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MASTER\"/>
    </mc:Choice>
  </mc:AlternateContent>
  <bookViews>
    <workbookView minimized="1" xWindow="0" yWindow="0" windowWidth="20400" windowHeight="7650" firstSheet="1" activeTab="1"/>
  </bookViews>
  <sheets>
    <sheet name="Flujos Planta Colchones(2)" sheetId="7" r:id="rId1"/>
    <sheet name="Flujos Planta Final" sheetId="4" r:id="rId2"/>
    <sheet name="Entrada metodo triangular num" sheetId="11" r:id="rId3"/>
    <sheet name="Entrada metodo triangular no nu" sheetId="12" r:id="rId4"/>
    <sheet name="Flujos Planta Espuma(2)" sheetId="6" r:id="rId5"/>
    <sheet name="Normativas" sheetId="2" r:id="rId6"/>
    <sheet name="MC tefect" sheetId="9" r:id="rId7"/>
    <sheet name="MC nj y zi" sheetId="10" r:id="rId8"/>
    <sheet name="--" sheetId="5" r:id="rId9"/>
    <sheet name="Flujos Planta Espuma " sheetId="3" r:id="rId10"/>
    <sheet name="Flujos Planta Colchones" sheetId="1" r:id="rId11"/>
    <sheet name="Hoja4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D71" i="4" l="1"/>
  <c r="Y1" i="11" l="1"/>
  <c r="W1" i="11"/>
  <c r="V1" i="11"/>
  <c r="U1" i="11"/>
  <c r="Q1" i="11"/>
  <c r="O1" i="11"/>
  <c r="N1" i="11"/>
  <c r="M1" i="11"/>
  <c r="I1" i="11"/>
  <c r="G1" i="11"/>
  <c r="F1" i="11"/>
  <c r="E1" i="11"/>
  <c r="B1" i="11" a="1"/>
  <c r="AB1" i="11" s="1"/>
  <c r="B1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2" i="11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A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A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5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A4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A3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A2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A1" i="12"/>
  <c r="B2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1" i="11"/>
  <c r="EA89" i="4"/>
  <c r="EA88" i="4"/>
  <c r="EA87" i="4"/>
  <c r="EA86" i="4"/>
  <c r="EA85" i="4"/>
  <c r="EA84" i="4"/>
  <c r="EA83" i="4"/>
  <c r="EA82" i="4"/>
  <c r="EA81" i="4"/>
  <c r="EA80" i="4"/>
  <c r="EA79" i="4"/>
  <c r="EA78" i="4"/>
  <c r="EA77" i="4"/>
  <c r="EA76" i="4"/>
  <c r="EA75" i="4"/>
  <c r="EA73" i="4"/>
  <c r="EA72" i="4"/>
  <c r="EA71" i="4"/>
  <c r="EA70" i="4"/>
  <c r="EA69" i="4"/>
  <c r="EA68" i="4"/>
  <c r="EA67" i="4"/>
  <c r="EA65" i="4"/>
  <c r="EA64" i="4"/>
  <c r="EA63" i="4"/>
  <c r="DY82" i="4"/>
  <c r="DY70" i="4"/>
  <c r="DY65" i="4"/>
  <c r="DY64" i="4"/>
  <c r="DA63" i="4"/>
  <c r="DA66" i="4"/>
  <c r="DA67" i="4"/>
  <c r="DA68" i="4"/>
  <c r="DA69" i="4"/>
  <c r="DA71" i="4"/>
  <c r="DA72" i="4"/>
  <c r="DA73" i="4"/>
  <c r="DA74" i="4"/>
  <c r="DA75" i="4"/>
  <c r="DA76" i="4"/>
  <c r="DA77" i="4"/>
  <c r="DA78" i="4"/>
  <c r="DA79" i="4"/>
  <c r="DA80" i="4"/>
  <c r="DA81" i="4"/>
  <c r="DA83" i="4"/>
  <c r="DA84" i="4"/>
  <c r="DA85" i="4"/>
  <c r="DA86" i="4"/>
  <c r="DA87" i="4"/>
  <c r="DA88" i="4"/>
  <c r="DA89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Z63" i="4"/>
  <c r="DY66" i="4"/>
  <c r="DY67" i="4"/>
  <c r="DY68" i="4"/>
  <c r="DY69" i="4"/>
  <c r="DY71" i="4"/>
  <c r="DY72" i="4"/>
  <c r="DY73" i="4"/>
  <c r="DY74" i="4"/>
  <c r="DY76" i="4"/>
  <c r="DY77" i="4"/>
  <c r="DY78" i="4"/>
  <c r="DY79" i="4"/>
  <c r="DY83" i="4"/>
  <c r="DY84" i="4"/>
  <c r="DY85" i="4"/>
  <c r="DY86" i="4"/>
  <c r="DY87" i="4"/>
  <c r="DY88" i="4"/>
  <c r="DY89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Z64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Z65" i="4"/>
  <c r="DB66" i="4"/>
  <c r="DD66" i="4"/>
  <c r="DE66" i="4"/>
  <c r="DF66" i="4"/>
  <c r="DG66" i="4"/>
  <c r="DH66" i="4"/>
  <c r="DI66" i="4"/>
  <c r="DJ66" i="4"/>
  <c r="DK66" i="4"/>
  <c r="DL66" i="4"/>
  <c r="DN66" i="4"/>
  <c r="DO66" i="4"/>
  <c r="DP66" i="4"/>
  <c r="DQ66" i="4"/>
  <c r="DR66" i="4"/>
  <c r="DT66" i="4"/>
  <c r="DU66" i="4"/>
  <c r="DW66" i="4"/>
  <c r="DZ66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Z67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V68" i="4"/>
  <c r="DW68" i="4"/>
  <c r="DX68" i="4"/>
  <c r="DZ68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Z69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T70" i="4"/>
  <c r="DU70" i="4"/>
  <c r="DV70" i="4"/>
  <c r="DW70" i="4"/>
  <c r="DX70" i="4"/>
  <c r="DZ70" i="4"/>
  <c r="DB71" i="4"/>
  <c r="DC71" i="4"/>
  <c r="DE71" i="4"/>
  <c r="DF71" i="4"/>
  <c r="DG71" i="4"/>
  <c r="DI71" i="4"/>
  <c r="DJ71" i="4"/>
  <c r="DK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Z71" i="4"/>
  <c r="DB72" i="4"/>
  <c r="DC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Z72" i="4"/>
  <c r="DB73" i="4"/>
  <c r="DC73" i="4"/>
  <c r="DD73" i="4"/>
  <c r="DE73" i="4"/>
  <c r="DF73" i="4"/>
  <c r="DG73" i="4"/>
  <c r="DH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Z73" i="4"/>
  <c r="DB74" i="4"/>
  <c r="DC74" i="4"/>
  <c r="DD74" i="4"/>
  <c r="DE74" i="4"/>
  <c r="DF74" i="4"/>
  <c r="DG74" i="4"/>
  <c r="DH74" i="4"/>
  <c r="DI74" i="4"/>
  <c r="DJ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Z74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Z75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P76" i="4"/>
  <c r="DS76" i="4"/>
  <c r="DT76" i="4"/>
  <c r="DU76" i="4"/>
  <c r="DV76" i="4"/>
  <c r="DW76" i="4"/>
  <c r="DX76" i="4"/>
  <c r="DZ76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O77" i="4"/>
  <c r="DQ77" i="4"/>
  <c r="DR77" i="4"/>
  <c r="DS77" i="4"/>
  <c r="DT77" i="4"/>
  <c r="DU77" i="4"/>
  <c r="DV77" i="4"/>
  <c r="DW77" i="4"/>
  <c r="DX77" i="4"/>
  <c r="DZ77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R78" i="4"/>
  <c r="DS78" i="4"/>
  <c r="DT78" i="4"/>
  <c r="DU78" i="4"/>
  <c r="DV78" i="4"/>
  <c r="DW78" i="4"/>
  <c r="DZ78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S79" i="4"/>
  <c r="DT79" i="4"/>
  <c r="DU79" i="4"/>
  <c r="DV79" i="4"/>
  <c r="DW79" i="4"/>
  <c r="DX79" i="4"/>
  <c r="DZ79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Z80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Z81" i="4"/>
  <c r="DB82" i="4"/>
  <c r="DC82" i="4"/>
  <c r="DD82" i="4"/>
  <c r="DE82" i="4"/>
  <c r="DF82" i="4"/>
  <c r="DH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Z82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U83" i="4"/>
  <c r="DV83" i="4"/>
  <c r="DW83" i="4"/>
  <c r="DX83" i="4"/>
  <c r="DZ83" i="4"/>
  <c r="DB84" i="4"/>
  <c r="DC84" i="4"/>
  <c r="DD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Z84" i="4"/>
  <c r="DB85" i="4"/>
  <c r="DC85" i="4"/>
  <c r="DD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T85" i="4"/>
  <c r="DU85" i="4"/>
  <c r="DV85" i="4"/>
  <c r="DW85" i="4"/>
  <c r="DX85" i="4"/>
  <c r="DZ85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Z86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Z87" i="4"/>
  <c r="DG88" i="4"/>
  <c r="DH88" i="4"/>
  <c r="DI88" i="4"/>
  <c r="DK88" i="4"/>
  <c r="DL88" i="4"/>
  <c r="DN88" i="4"/>
  <c r="DO88" i="4"/>
  <c r="DP88" i="4"/>
  <c r="DQ88" i="4"/>
  <c r="DR88" i="4"/>
  <c r="DT88" i="4"/>
  <c r="DU88" i="4"/>
  <c r="DW88" i="4"/>
  <c r="DX88" i="4"/>
  <c r="DZ88" i="4"/>
  <c r="DB89" i="4"/>
  <c r="DC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X89" i="4"/>
  <c r="DZ89" i="4"/>
  <c r="CZ62" i="4"/>
  <c r="CZ89" i="4"/>
  <c r="CZ64" i="4"/>
  <c r="CZ67" i="4"/>
  <c r="CZ69" i="4"/>
  <c r="CZ70" i="4"/>
  <c r="CZ71" i="4"/>
  <c r="CZ72" i="4"/>
  <c r="CZ73" i="4"/>
  <c r="CZ74" i="4"/>
  <c r="CZ75" i="4"/>
  <c r="CZ76" i="4"/>
  <c r="CZ77" i="4"/>
  <c r="CZ78" i="4"/>
  <c r="CZ79" i="4"/>
  <c r="CZ80" i="4"/>
  <c r="CZ81" i="4"/>
  <c r="CZ85" i="4"/>
  <c r="CZ86" i="4"/>
  <c r="CZ87" i="4"/>
  <c r="H1" i="11" l="1"/>
  <c r="P1" i="11"/>
  <c r="X1" i="11"/>
  <c r="J1" i="11"/>
  <c r="R1" i="11"/>
  <c r="Z1" i="11"/>
  <c r="C1" i="11"/>
  <c r="K1" i="11"/>
  <c r="S1" i="11"/>
  <c r="AA1" i="11"/>
  <c r="D1" i="11"/>
  <c r="L1" i="11"/>
  <c r="T1" i="11"/>
  <c r="U1" i="10" l="1"/>
  <c r="U2" i="10"/>
  <c r="U3" i="10"/>
  <c r="U4" i="10"/>
  <c r="U5" i="10"/>
  <c r="U6" i="10"/>
  <c r="U7" i="10"/>
  <c r="U8" i="10"/>
  <c r="U9" i="10"/>
  <c r="U10" i="10"/>
  <c r="U11" i="10"/>
  <c r="U14" i="10"/>
  <c r="S12" i="10"/>
  <c r="T12" i="10"/>
  <c r="S13" i="10"/>
  <c r="T13" i="10"/>
  <c r="Q12" i="10"/>
  <c r="R12" i="10"/>
  <c r="Q13" i="10"/>
  <c r="R13" i="10"/>
  <c r="P2" i="10"/>
  <c r="P12" i="10"/>
  <c r="P13" i="10"/>
  <c r="P14" i="10"/>
  <c r="F2" i="10"/>
  <c r="G2" i="10"/>
  <c r="H2" i="10"/>
  <c r="C3" i="10"/>
  <c r="D3" i="10"/>
  <c r="E3" i="10"/>
  <c r="F3" i="10"/>
  <c r="G3" i="10"/>
  <c r="H3" i="10"/>
  <c r="F4" i="10"/>
  <c r="G4" i="10"/>
  <c r="H4" i="10"/>
  <c r="I4" i="10"/>
  <c r="J4" i="10"/>
  <c r="F5" i="10"/>
  <c r="G5" i="10"/>
  <c r="H5" i="10"/>
  <c r="I5" i="10"/>
  <c r="J5" i="10"/>
  <c r="K5" i="10"/>
  <c r="F6" i="10"/>
  <c r="G6" i="10"/>
  <c r="H6" i="10"/>
  <c r="I6" i="10"/>
  <c r="J6" i="10"/>
  <c r="F7" i="10"/>
  <c r="G7" i="10"/>
  <c r="H7" i="10"/>
  <c r="J7" i="10"/>
  <c r="K7" i="10"/>
  <c r="L7" i="10"/>
  <c r="F8" i="10"/>
  <c r="G8" i="10"/>
  <c r="H8" i="10"/>
  <c r="J8" i="10"/>
  <c r="K8" i="10"/>
  <c r="F9" i="10"/>
  <c r="G9" i="10"/>
  <c r="H9" i="10"/>
  <c r="J9" i="10"/>
  <c r="K9" i="10"/>
  <c r="F10" i="10"/>
  <c r="G10" i="10"/>
  <c r="H10" i="10"/>
  <c r="I10" i="10"/>
  <c r="J10" i="10"/>
  <c r="K10" i="10"/>
  <c r="L10" i="10"/>
  <c r="B11" i="10"/>
  <c r="F11" i="10"/>
  <c r="G11" i="10"/>
  <c r="H11" i="10"/>
  <c r="J11" i="10"/>
  <c r="B12" i="10"/>
  <c r="I12" i="10"/>
  <c r="J12" i="10"/>
  <c r="K12" i="10"/>
  <c r="L12" i="10"/>
  <c r="M12" i="10"/>
  <c r="N12" i="10"/>
  <c r="O12" i="10"/>
  <c r="B13" i="10"/>
  <c r="I13" i="10"/>
  <c r="J13" i="10"/>
  <c r="K13" i="10"/>
  <c r="L13" i="10"/>
  <c r="M13" i="10"/>
  <c r="N13" i="10"/>
  <c r="O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A14" i="10"/>
  <c r="S12" i="9"/>
  <c r="T12" i="9"/>
  <c r="S13" i="9"/>
  <c r="T13" i="9"/>
  <c r="S14" i="9"/>
  <c r="T14" i="9"/>
  <c r="F2" i="9"/>
  <c r="G2" i="9"/>
  <c r="H2" i="9"/>
  <c r="F3" i="9"/>
  <c r="G3" i="9"/>
  <c r="H3" i="9"/>
  <c r="F4" i="9"/>
  <c r="G4" i="9"/>
  <c r="H4" i="9"/>
  <c r="F5" i="9"/>
  <c r="G5" i="9"/>
  <c r="H5" i="9"/>
  <c r="F6" i="9"/>
  <c r="G6" i="9"/>
  <c r="H6" i="9"/>
  <c r="F7" i="9"/>
  <c r="G7" i="9"/>
  <c r="H7" i="9"/>
  <c r="F8" i="9"/>
  <c r="G8" i="9"/>
  <c r="H8" i="9"/>
  <c r="F9" i="9"/>
  <c r="G9" i="9"/>
  <c r="H9" i="9"/>
  <c r="F10" i="9"/>
  <c r="G10" i="9"/>
  <c r="H10" i="9"/>
  <c r="F11" i="9"/>
  <c r="G11" i="9"/>
  <c r="H11" i="9"/>
  <c r="B12" i="9"/>
  <c r="I12" i="9"/>
  <c r="J12" i="9"/>
  <c r="K12" i="9"/>
  <c r="L12" i="9"/>
  <c r="M12" i="9"/>
  <c r="N12" i="9"/>
  <c r="O12" i="9"/>
  <c r="P12" i="9"/>
  <c r="Q12" i="9"/>
  <c r="R12" i="9"/>
  <c r="B13" i="9"/>
  <c r="I13" i="9"/>
  <c r="J13" i="9"/>
  <c r="K13" i="9"/>
  <c r="L13" i="9"/>
  <c r="M13" i="9"/>
  <c r="N13" i="9"/>
  <c r="O13" i="9"/>
  <c r="P13" i="9"/>
  <c r="Q13" i="9"/>
  <c r="R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A14" i="9"/>
  <c r="DC121" i="2"/>
  <c r="CZ121" i="2"/>
  <c r="R14" i="10" s="1"/>
  <c r="DA121" i="2"/>
  <c r="S14" i="10" s="1"/>
  <c r="DB121" i="2"/>
  <c r="T14" i="10" s="1"/>
  <c r="CY121" i="2"/>
  <c r="Q14" i="10" s="1"/>
  <c r="BR101" i="2"/>
  <c r="BR119" i="2" s="1"/>
  <c r="BR102" i="2"/>
  <c r="BR120" i="2" s="1"/>
  <c r="CO120" i="2"/>
  <c r="H13" i="10" s="1"/>
  <c r="CJ119" i="2"/>
  <c r="CK119" i="2"/>
  <c r="D12" i="10" s="1"/>
  <c r="CL119" i="2"/>
  <c r="E12" i="10" s="1"/>
  <c r="CJ120" i="2"/>
  <c r="CK120" i="2"/>
  <c r="D13" i="10" s="1"/>
  <c r="CL120" i="2"/>
  <c r="E13" i="10" s="1"/>
  <c r="CM120" i="2"/>
  <c r="F13" i="10" s="1"/>
  <c r="CN120" i="2"/>
  <c r="G13" i="10" s="1"/>
  <c r="CI120" i="2"/>
  <c r="C13" i="10" s="1"/>
  <c r="CI119" i="2"/>
  <c r="C12" i="10" s="1"/>
  <c r="CQ110" i="2"/>
  <c r="J3" i="10" s="1"/>
  <c r="CQ109" i="2"/>
  <c r="J2" i="10" s="1"/>
  <c r="CQ118" i="2"/>
  <c r="CH118" i="2"/>
  <c r="CS117" i="2"/>
  <c r="CR117" i="2"/>
  <c r="CQ117" i="2"/>
  <c r="CP117" i="2"/>
  <c r="CS116" i="2"/>
  <c r="L9" i="10" s="1"/>
  <c r="CR116" i="2"/>
  <c r="CQ116" i="2"/>
  <c r="CS115" i="2"/>
  <c r="L8" i="10" s="1"/>
  <c r="CR115" i="2"/>
  <c r="CQ115" i="2"/>
  <c r="CS114" i="2"/>
  <c r="CR114" i="2"/>
  <c r="CQ114" i="2"/>
  <c r="CS113" i="2"/>
  <c r="L6" i="10" s="1"/>
  <c r="CR113" i="2"/>
  <c r="K6" i="10" s="1"/>
  <c r="CQ113" i="2"/>
  <c r="CP113" i="2"/>
  <c r="CS112" i="2"/>
  <c r="L5" i="10" s="1"/>
  <c r="CR112" i="2"/>
  <c r="CQ112" i="2"/>
  <c r="CP112" i="2"/>
  <c r="CW111" i="2"/>
  <c r="O4" i="10" s="1"/>
  <c r="CQ111" i="2"/>
  <c r="CP111" i="2"/>
  <c r="CW110" i="2"/>
  <c r="O3" i="10" s="1"/>
  <c r="CL110" i="2"/>
  <c r="CK110" i="2"/>
  <c r="CI110" i="2"/>
  <c r="CX109" i="2"/>
  <c r="CW109" i="2"/>
  <c r="O2" i="10" s="1"/>
  <c r="CV109" i="2"/>
  <c r="N2" i="10" s="1"/>
  <c r="CU109" i="2"/>
  <c r="M2" i="10" s="1"/>
  <c r="CT109" i="2"/>
  <c r="CS109" i="2"/>
  <c r="L2" i="10" s="1"/>
  <c r="DC108" i="2"/>
  <c r="AS101" i="2"/>
  <c r="AS119" i="2" s="1"/>
  <c r="AS102" i="2"/>
  <c r="AS120" i="2" s="1"/>
  <c r="AT101" i="2"/>
  <c r="AT119" i="2" s="1"/>
  <c r="AU101" i="2"/>
  <c r="AU119" i="2" s="1"/>
  <c r="AV101" i="2"/>
  <c r="AV119" i="2" s="1"/>
  <c r="AW101" i="2"/>
  <c r="AW119" i="2" s="1"/>
  <c r="AT102" i="2"/>
  <c r="AT120" i="2" s="1"/>
  <c r="AU102" i="2"/>
  <c r="AU120" i="2" s="1"/>
  <c r="AV102" i="2"/>
  <c r="AV120" i="2" s="1"/>
  <c r="AW102" i="2"/>
  <c r="AW120" i="2" s="1"/>
  <c r="CE109" i="2" a="1"/>
  <c r="CE109" i="2" s="1"/>
  <c r="DC109" i="2" s="1"/>
  <c r="AR101" i="2"/>
  <c r="AX101" i="2"/>
  <c r="AY101" i="2"/>
  <c r="AZ101" i="2"/>
  <c r="BA101" i="2"/>
  <c r="CP101" i="2" s="1"/>
  <c r="BB101" i="2"/>
  <c r="CQ101" i="2" s="1"/>
  <c r="BC101" i="2"/>
  <c r="CR101" i="2" s="1"/>
  <c r="BD101" i="2"/>
  <c r="CS101" i="2" s="1"/>
  <c r="BE101" i="2"/>
  <c r="CT101" i="2" s="1"/>
  <c r="BF101" i="2"/>
  <c r="CU101" i="2" s="1"/>
  <c r="BG101" i="2"/>
  <c r="BH101" i="2"/>
  <c r="BI101" i="2"/>
  <c r="CW101" i="2" s="1"/>
  <c r="BJ101" i="2"/>
  <c r="BJ119" i="2" s="1"/>
  <c r="CX119" i="2" s="1"/>
  <c r="BK101" i="2"/>
  <c r="BK119" i="2" s="1"/>
  <c r="BL101" i="2"/>
  <c r="BM101" i="2"/>
  <c r="BN101" i="2"/>
  <c r="CY101" i="2" s="1"/>
  <c r="BO101" i="2"/>
  <c r="CZ101" i="2" s="1"/>
  <c r="BP101" i="2"/>
  <c r="BQ101" i="2"/>
  <c r="DB101" i="2" s="1"/>
  <c r="BS101" i="2"/>
  <c r="BT101" i="2"/>
  <c r="BU101" i="2"/>
  <c r="AR102" i="2"/>
  <c r="CH102" i="2" s="1"/>
  <c r="AX102" i="2"/>
  <c r="AY102" i="2"/>
  <c r="AZ102" i="2"/>
  <c r="BA102" i="2"/>
  <c r="CP102" i="2" s="1"/>
  <c r="BB102" i="2"/>
  <c r="BB120" i="2" s="1"/>
  <c r="CQ120" i="2" s="1"/>
  <c r="BC102" i="2"/>
  <c r="CR102" i="2" s="1"/>
  <c r="BD102" i="2"/>
  <c r="CS102" i="2" s="1"/>
  <c r="BE102" i="2"/>
  <c r="CT102" i="2" s="1"/>
  <c r="BF102" i="2"/>
  <c r="BG102" i="2"/>
  <c r="BH102" i="2"/>
  <c r="CV102" i="2" s="1"/>
  <c r="BI102" i="2"/>
  <c r="CW102" i="2" s="1"/>
  <c r="BJ102" i="2"/>
  <c r="CX102" i="2" s="1"/>
  <c r="BK102" i="2"/>
  <c r="BK120" i="2" s="1"/>
  <c r="BL102" i="2"/>
  <c r="BM102" i="2"/>
  <c r="BN102" i="2"/>
  <c r="BN120" i="2" s="1"/>
  <c r="CY120" i="2" s="1"/>
  <c r="BO102" i="2"/>
  <c r="CZ102" i="2" s="1"/>
  <c r="BP102" i="2"/>
  <c r="DA102" i="2" s="1"/>
  <c r="BQ102" i="2"/>
  <c r="DB102" i="2" s="1"/>
  <c r="BS102" i="2"/>
  <c r="BT102" i="2"/>
  <c r="BU102" i="2"/>
  <c r="DCO120" i="2"/>
  <c r="DCO119" i="2"/>
  <c r="DCO118" i="2"/>
  <c r="DCO117" i="2"/>
  <c r="DCO114" i="2"/>
  <c r="DCO113" i="2"/>
  <c r="DCO112" i="2"/>
  <c r="DCO111" i="2"/>
  <c r="DCO110" i="2"/>
  <c r="DCO109" i="2"/>
  <c r="DCO108" i="2"/>
  <c r="B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70" i="2"/>
  <c r="A71" i="2"/>
  <c r="A72" i="2"/>
  <c r="A73" i="2"/>
  <c r="A74" i="2"/>
  <c r="A83" i="2"/>
  <c r="A84" i="2"/>
  <c r="A85" i="2"/>
  <c r="A86" i="2"/>
  <c r="A48" i="2"/>
  <c r="L47" i="2"/>
  <c r="C47" i="2"/>
  <c r="D47" i="2"/>
  <c r="E47" i="2"/>
  <c r="F47" i="2"/>
  <c r="G47" i="2"/>
  <c r="H47" i="2"/>
  <c r="I47" i="2"/>
  <c r="J47" i="2"/>
  <c r="K47" i="2"/>
  <c r="B47" i="2"/>
  <c r="BG120" i="2" l="1"/>
  <c r="BH120" i="2"/>
  <c r="CV120" i="2" s="1"/>
  <c r="BI120" i="2"/>
  <c r="CW120" i="2" s="1"/>
  <c r="BO119" i="2"/>
  <c r="CZ119" i="2" s="1"/>
  <c r="BA120" i="2"/>
  <c r="CP120" i="2" s="1"/>
  <c r="BQ119" i="2"/>
  <c r="DB119" i="2" s="1"/>
  <c r="BS120" i="2"/>
  <c r="BL119" i="2"/>
  <c r="AZ120" i="2"/>
  <c r="BG119" i="2"/>
  <c r="CE116" i="2"/>
  <c r="DC116" i="2" s="1"/>
  <c r="BP120" i="2"/>
  <c r="DA120" i="2" s="1"/>
  <c r="BD119" i="2"/>
  <c r="CS119" i="2" s="1"/>
  <c r="CE113" i="2"/>
  <c r="DC113" i="2" s="1"/>
  <c r="BO120" i="2"/>
  <c r="CZ120" i="2" s="1"/>
  <c r="BA119" i="2"/>
  <c r="CP119" i="2" s="1"/>
  <c r="CE112" i="2"/>
  <c r="DC112" i="2" s="1"/>
  <c r="BJ120" i="2"/>
  <c r="CX120" i="2" s="1"/>
  <c r="BQ120" i="2"/>
  <c r="DB120" i="2" s="1"/>
  <c r="AY120" i="2"/>
  <c r="BN119" i="2"/>
  <c r="CY119" i="2" s="1"/>
  <c r="BE119" i="2"/>
  <c r="CT119" i="2" s="1"/>
  <c r="BF119" i="2"/>
  <c r="CU119" i="2" s="1"/>
  <c r="BM119" i="2"/>
  <c r="CQ102" i="2"/>
  <c r="CX101" i="2"/>
  <c r="BE120" i="2"/>
  <c r="CT120" i="2" s="1"/>
  <c r="BU119" i="2"/>
  <c r="BC119" i="2"/>
  <c r="CR119" i="2" s="1"/>
  <c r="BM120" i="2"/>
  <c r="BD120" i="2"/>
  <c r="CS120" i="2" s="1"/>
  <c r="BT119" i="2"/>
  <c r="BB119" i="2"/>
  <c r="CQ119" i="2" s="1"/>
  <c r="AX119" i="2"/>
  <c r="DA101" i="2"/>
  <c r="BP119" i="2"/>
  <c r="DA119" i="2" s="1"/>
  <c r="CV101" i="2"/>
  <c r="BH119" i="2"/>
  <c r="CV119" i="2" s="1"/>
  <c r="AZ119" i="2"/>
  <c r="BU120" i="2"/>
  <c r="BL120" i="2"/>
  <c r="BC120" i="2"/>
  <c r="CR120" i="2" s="1"/>
  <c r="BS119" i="2"/>
  <c r="AR119" i="2"/>
  <c r="CH119" i="2" s="1"/>
  <c r="CU102" i="2"/>
  <c r="BF120" i="2"/>
  <c r="CU120" i="2" s="1"/>
  <c r="AX120" i="2"/>
  <c r="BT120" i="2"/>
  <c r="AR120" i="2"/>
  <c r="CH120" i="2" s="1"/>
  <c r="BI119" i="2"/>
  <c r="CW119" i="2" s="1"/>
  <c r="AY119" i="2"/>
  <c r="CY102" i="2"/>
  <c r="CE114" i="2"/>
  <c r="DC114" i="2" s="1"/>
  <c r="CE115" i="2"/>
  <c r="DC115" i="2" s="1"/>
  <c r="CE111" i="2"/>
  <c r="DC111" i="2" s="1"/>
  <c r="CE118" i="2"/>
  <c r="DC118" i="2" s="1"/>
  <c r="CE110" i="2"/>
  <c r="DC110" i="2" s="1"/>
  <c r="CE117" i="2"/>
  <c r="DC117" i="2" s="1"/>
  <c r="AD37" i="8" l="1"/>
  <c r="U79" i="2"/>
  <c r="V79" i="2"/>
  <c r="W79" i="2"/>
  <c r="Y79" i="2"/>
  <c r="Z79" i="2"/>
  <c r="U80" i="2"/>
  <c r="V80" i="2"/>
  <c r="W80" i="2"/>
  <c r="Y80" i="2"/>
  <c r="Z80" i="2"/>
  <c r="U81" i="2"/>
  <c r="V81" i="2"/>
  <c r="W81" i="2"/>
  <c r="Y81" i="2"/>
  <c r="Z81" i="2"/>
  <c r="U82" i="2"/>
  <c r="V82" i="2"/>
  <c r="W82" i="2"/>
  <c r="Y82" i="2"/>
  <c r="Z82" i="2"/>
  <c r="U83" i="2"/>
  <c r="V83" i="2"/>
  <c r="W83" i="2"/>
  <c r="Y83" i="2"/>
  <c r="Z83" i="2"/>
  <c r="U84" i="2"/>
  <c r="V84" i="2"/>
  <c r="W84" i="2"/>
  <c r="Y84" i="2"/>
  <c r="Z84" i="2"/>
  <c r="U85" i="2"/>
  <c r="V85" i="2"/>
  <c r="W85" i="2"/>
  <c r="Y85" i="2"/>
  <c r="Z85" i="2"/>
  <c r="U86" i="2"/>
  <c r="V86" i="2"/>
  <c r="W86" i="2"/>
  <c r="Y86" i="2"/>
  <c r="Z86" i="2"/>
  <c r="U78" i="2"/>
  <c r="V78" i="2"/>
  <c r="W78" i="2"/>
  <c r="Y78" i="2"/>
  <c r="Z78" i="2"/>
  <c r="Z24" i="2"/>
  <c r="H78" i="2"/>
  <c r="G79" i="2"/>
  <c r="H79" i="2"/>
  <c r="I79" i="2"/>
  <c r="K79" i="2"/>
  <c r="L79" i="2"/>
  <c r="G80" i="2"/>
  <c r="H80" i="2"/>
  <c r="I80" i="2"/>
  <c r="K80" i="2"/>
  <c r="L80" i="2"/>
  <c r="G81" i="2"/>
  <c r="H81" i="2"/>
  <c r="I81" i="2"/>
  <c r="K81" i="2"/>
  <c r="L81" i="2"/>
  <c r="G82" i="2"/>
  <c r="H82" i="2"/>
  <c r="I82" i="2"/>
  <c r="K82" i="2"/>
  <c r="L82" i="2"/>
  <c r="D83" i="2"/>
  <c r="E83" i="2"/>
  <c r="F83" i="2"/>
  <c r="G83" i="2"/>
  <c r="H83" i="2"/>
  <c r="I83" i="2"/>
  <c r="J83" i="2"/>
  <c r="K83" i="2"/>
  <c r="L83" i="2"/>
  <c r="D84" i="2"/>
  <c r="E84" i="2"/>
  <c r="F84" i="2"/>
  <c r="G84" i="2"/>
  <c r="H84" i="2"/>
  <c r="I84" i="2"/>
  <c r="J84" i="2"/>
  <c r="K84" i="2"/>
  <c r="L84" i="2"/>
  <c r="D85" i="2"/>
  <c r="E85" i="2"/>
  <c r="F85" i="2"/>
  <c r="G85" i="2"/>
  <c r="H85" i="2"/>
  <c r="I85" i="2"/>
  <c r="J85" i="2"/>
  <c r="K85" i="2"/>
  <c r="L85" i="2"/>
  <c r="D86" i="2"/>
  <c r="E86" i="2"/>
  <c r="F86" i="2"/>
  <c r="G86" i="2"/>
  <c r="H86" i="2"/>
  <c r="I86" i="2"/>
  <c r="J86" i="2"/>
  <c r="K86" i="2"/>
  <c r="L86" i="2"/>
  <c r="L78" i="2"/>
  <c r="G78" i="2"/>
  <c r="I78" i="2"/>
  <c r="K78" i="2"/>
  <c r="Q28" i="2"/>
  <c r="Q55" i="2" s="1"/>
  <c r="R28" i="2"/>
  <c r="R74" i="2" s="1"/>
  <c r="S28" i="2"/>
  <c r="S49" i="2" s="1"/>
  <c r="T28" i="2"/>
  <c r="T74" i="2" s="1"/>
  <c r="U28" i="2"/>
  <c r="U51" i="2" s="1"/>
  <c r="V28" i="2"/>
  <c r="V56" i="2" s="1"/>
  <c r="W28" i="2"/>
  <c r="W53" i="2" s="1"/>
  <c r="X28" i="2"/>
  <c r="X74" i="2" s="1"/>
  <c r="Y28" i="2"/>
  <c r="Y55" i="2" s="1"/>
  <c r="Z28" i="2"/>
  <c r="Z74" i="2" s="1"/>
  <c r="P28" i="2"/>
  <c r="P56" i="2" s="1"/>
  <c r="Y2" i="2"/>
  <c r="K2" i="2"/>
  <c r="K48" i="2" s="1"/>
  <c r="F14" i="2"/>
  <c r="F60" i="2" s="1"/>
  <c r="G14" i="2"/>
  <c r="G60" i="2" s="1"/>
  <c r="H14" i="2"/>
  <c r="H60" i="2" s="1"/>
  <c r="I14" i="2"/>
  <c r="I60" i="2" s="1"/>
  <c r="J14" i="2"/>
  <c r="J60" i="2" s="1"/>
  <c r="E14" i="2"/>
  <c r="E60" i="2" s="1"/>
  <c r="B60" i="2"/>
  <c r="O14" i="2"/>
  <c r="T14" i="2"/>
  <c r="U14" i="2"/>
  <c r="V14" i="2"/>
  <c r="W14" i="2"/>
  <c r="X14" i="2"/>
  <c r="S14" i="2"/>
  <c r="C35" i="2"/>
  <c r="B35" i="2"/>
  <c r="P75" i="2"/>
  <c r="Q75" i="2"/>
  <c r="R75" i="2"/>
  <c r="S75" i="2"/>
  <c r="T75" i="2"/>
  <c r="U75" i="2"/>
  <c r="V75" i="2"/>
  <c r="W75" i="2"/>
  <c r="X75" i="2"/>
  <c r="Y75" i="2"/>
  <c r="Z75" i="2"/>
  <c r="P76" i="2"/>
  <c r="Q76" i="2"/>
  <c r="R76" i="2"/>
  <c r="S76" i="2"/>
  <c r="T76" i="2"/>
  <c r="U76" i="2"/>
  <c r="V76" i="2"/>
  <c r="W76" i="2"/>
  <c r="X76" i="2"/>
  <c r="Y76" i="2"/>
  <c r="Z76" i="2"/>
  <c r="R77" i="2"/>
  <c r="S77" i="2"/>
  <c r="T77" i="2"/>
  <c r="U77" i="2"/>
  <c r="V77" i="2"/>
  <c r="W77" i="2"/>
  <c r="X77" i="2"/>
  <c r="Y77" i="2"/>
  <c r="Z77" i="2"/>
  <c r="O68" i="2"/>
  <c r="O69" i="2"/>
  <c r="O74" i="2"/>
  <c r="O75" i="2"/>
  <c r="O76" i="2"/>
  <c r="O77" i="2"/>
  <c r="AI77" i="2" s="1"/>
  <c r="O85" i="2"/>
  <c r="AI85" i="2" s="1"/>
  <c r="O48" i="2"/>
  <c r="AI48" i="2" s="1"/>
  <c r="K74" i="2"/>
  <c r="C52" i="2"/>
  <c r="D52" i="2"/>
  <c r="E52" i="2"/>
  <c r="F52" i="2"/>
  <c r="G52" i="2"/>
  <c r="H52" i="2"/>
  <c r="I52" i="2"/>
  <c r="J52" i="2"/>
  <c r="D53" i="2"/>
  <c r="E53" i="2"/>
  <c r="F53" i="2"/>
  <c r="G53" i="2"/>
  <c r="H53" i="2"/>
  <c r="I53" i="2"/>
  <c r="J53" i="2"/>
  <c r="D54" i="2"/>
  <c r="E54" i="2"/>
  <c r="F54" i="2"/>
  <c r="G54" i="2"/>
  <c r="H54" i="2"/>
  <c r="I54" i="2"/>
  <c r="J54" i="2"/>
  <c r="D55" i="2"/>
  <c r="E55" i="2"/>
  <c r="F55" i="2"/>
  <c r="G55" i="2"/>
  <c r="H55" i="2"/>
  <c r="I55" i="2"/>
  <c r="J55" i="2"/>
  <c r="D56" i="2"/>
  <c r="E56" i="2"/>
  <c r="F56" i="2"/>
  <c r="G56" i="2"/>
  <c r="H56" i="2"/>
  <c r="I56" i="2"/>
  <c r="J56" i="2"/>
  <c r="D57" i="2"/>
  <c r="J57" i="2"/>
  <c r="D58" i="2"/>
  <c r="G58" i="2"/>
  <c r="F59" i="2"/>
  <c r="G59" i="2"/>
  <c r="H59" i="2"/>
  <c r="C65" i="2"/>
  <c r="D65" i="2"/>
  <c r="D67" i="2"/>
  <c r="C68" i="2"/>
  <c r="D68" i="2"/>
  <c r="E68" i="2"/>
  <c r="F68" i="2"/>
  <c r="G68" i="2"/>
  <c r="H68" i="2"/>
  <c r="I68" i="2"/>
  <c r="J68" i="2"/>
  <c r="K68" i="2"/>
  <c r="L68" i="2"/>
  <c r="C69" i="2"/>
  <c r="D69" i="2"/>
  <c r="E69" i="2"/>
  <c r="F69" i="2"/>
  <c r="H69" i="2"/>
  <c r="I69" i="2"/>
  <c r="J69" i="2"/>
  <c r="K69" i="2"/>
  <c r="L69" i="2"/>
  <c r="C74" i="2"/>
  <c r="D74" i="2"/>
  <c r="E74" i="2"/>
  <c r="F74" i="2"/>
  <c r="G74" i="2"/>
  <c r="H74" i="2"/>
  <c r="I74" i="2"/>
  <c r="J74" i="2"/>
  <c r="L74" i="2"/>
  <c r="C75" i="2"/>
  <c r="D75" i="2"/>
  <c r="E75" i="2"/>
  <c r="F75" i="2"/>
  <c r="G75" i="2"/>
  <c r="H75" i="2"/>
  <c r="I75" i="2"/>
  <c r="J75" i="2"/>
  <c r="K75" i="2"/>
  <c r="L75" i="2"/>
  <c r="C76" i="2"/>
  <c r="D76" i="2"/>
  <c r="E76" i="2"/>
  <c r="F76" i="2"/>
  <c r="G76" i="2"/>
  <c r="H76" i="2"/>
  <c r="I76" i="2"/>
  <c r="J76" i="2"/>
  <c r="K76" i="2"/>
  <c r="L76" i="2"/>
  <c r="D77" i="2"/>
  <c r="E77" i="2"/>
  <c r="F77" i="2"/>
  <c r="G77" i="2"/>
  <c r="H77" i="2"/>
  <c r="I77" i="2"/>
  <c r="J77" i="2"/>
  <c r="K77" i="2"/>
  <c r="L77" i="2"/>
  <c r="B52" i="2"/>
  <c r="B53" i="2"/>
  <c r="B54" i="2"/>
  <c r="B55" i="2"/>
  <c r="B56" i="2"/>
  <c r="B64" i="2"/>
  <c r="M64" i="2" s="1"/>
  <c r="B65" i="2"/>
  <c r="B68" i="2"/>
  <c r="B69" i="2"/>
  <c r="B74" i="2"/>
  <c r="B75" i="2"/>
  <c r="B76" i="2"/>
  <c r="D51" i="2"/>
  <c r="E51" i="2"/>
  <c r="F51" i="2"/>
  <c r="G51" i="2"/>
  <c r="H51" i="2"/>
  <c r="I51" i="2"/>
  <c r="J51" i="2"/>
  <c r="C51" i="2"/>
  <c r="B51" i="2"/>
  <c r="D50" i="2"/>
  <c r="E50" i="2"/>
  <c r="F50" i="2"/>
  <c r="G50" i="2"/>
  <c r="H50" i="2"/>
  <c r="I50" i="2"/>
  <c r="J50" i="2"/>
  <c r="B50" i="2"/>
  <c r="C49" i="2"/>
  <c r="D49" i="2"/>
  <c r="E49" i="2"/>
  <c r="F49" i="2"/>
  <c r="J49" i="2"/>
  <c r="C48" i="2"/>
  <c r="D48" i="2"/>
  <c r="E48" i="2"/>
  <c r="F48" i="2"/>
  <c r="G48" i="2"/>
  <c r="H48" i="2"/>
  <c r="I48" i="2"/>
  <c r="J48" i="2"/>
  <c r="Q32" i="2"/>
  <c r="P32" i="2"/>
  <c r="P37" i="2"/>
  <c r="C40" i="2"/>
  <c r="Q40" i="2"/>
  <c r="O40" i="2"/>
  <c r="O86" i="2" s="1"/>
  <c r="AI86" i="2" s="1"/>
  <c r="R39" i="2"/>
  <c r="R86" i="2" s="1"/>
  <c r="S39" i="2"/>
  <c r="S86" i="2" s="1"/>
  <c r="T39" i="2"/>
  <c r="T86" i="2" s="1"/>
  <c r="X39" i="2"/>
  <c r="X85" i="2" s="1"/>
  <c r="Q38" i="2"/>
  <c r="Q37" i="2"/>
  <c r="C37" i="2"/>
  <c r="C38" i="2"/>
  <c r="Q36" i="2"/>
  <c r="P36" i="2"/>
  <c r="Q34" i="2"/>
  <c r="P34" i="2"/>
  <c r="Q33" i="2"/>
  <c r="P33" i="2"/>
  <c r="Q31" i="2"/>
  <c r="Q77" i="2" s="1"/>
  <c r="P31" i="2"/>
  <c r="P77" i="2" s="1"/>
  <c r="R37" i="2"/>
  <c r="R83" i="2" s="1"/>
  <c r="S37" i="2"/>
  <c r="T37" i="2"/>
  <c r="X37" i="2"/>
  <c r="P38" i="2"/>
  <c r="R38" i="2"/>
  <c r="S38" i="2"/>
  <c r="T38" i="2"/>
  <c r="X38" i="2"/>
  <c r="O38" i="2"/>
  <c r="O84" i="2" s="1"/>
  <c r="AI84" i="2" s="1"/>
  <c r="O37" i="2"/>
  <c r="O83" i="2" s="1"/>
  <c r="AI83" i="2" s="1"/>
  <c r="C36" i="2"/>
  <c r="B36" i="2"/>
  <c r="C33" i="2"/>
  <c r="B33" i="2"/>
  <c r="C34" i="2"/>
  <c r="B34" i="2"/>
  <c r="C32" i="2"/>
  <c r="B32" i="2"/>
  <c r="J33" i="2"/>
  <c r="X33" i="2" s="1"/>
  <c r="J34" i="2"/>
  <c r="X34" i="2" s="1"/>
  <c r="J35" i="2"/>
  <c r="X35" i="2" s="1"/>
  <c r="J36" i="2"/>
  <c r="X36" i="2" s="1"/>
  <c r="F33" i="2"/>
  <c r="T33" i="2" s="1"/>
  <c r="F34" i="2"/>
  <c r="T34" i="2" s="1"/>
  <c r="T80" i="2" s="1"/>
  <c r="F35" i="2"/>
  <c r="T35" i="2" s="1"/>
  <c r="F36" i="2"/>
  <c r="T36" i="2" s="1"/>
  <c r="E33" i="2"/>
  <c r="S33" i="2" s="1"/>
  <c r="E34" i="2"/>
  <c r="S34" i="2" s="1"/>
  <c r="E35" i="2"/>
  <c r="S35" i="2" s="1"/>
  <c r="E36" i="2"/>
  <c r="S36" i="2" s="1"/>
  <c r="D33" i="2"/>
  <c r="R33" i="2" s="1"/>
  <c r="D34" i="2"/>
  <c r="R34" i="2" s="1"/>
  <c r="D35" i="2"/>
  <c r="R35" i="2" s="1"/>
  <c r="D36" i="2"/>
  <c r="R36" i="2" s="1"/>
  <c r="D32" i="2"/>
  <c r="R32" i="2" s="1"/>
  <c r="E32" i="2"/>
  <c r="S32" i="2" s="1"/>
  <c r="F32" i="2"/>
  <c r="T32" i="2" s="1"/>
  <c r="J32" i="2"/>
  <c r="X32" i="2" s="1"/>
  <c r="A33" i="2"/>
  <c r="A34" i="2"/>
  <c r="A35" i="2"/>
  <c r="A36" i="2"/>
  <c r="A32" i="2"/>
  <c r="A78" i="2" s="1"/>
  <c r="Z27" i="2"/>
  <c r="Z26" i="2"/>
  <c r="Z72" i="2" s="1"/>
  <c r="Z25" i="2"/>
  <c r="O25" i="2"/>
  <c r="O71" i="2" s="1"/>
  <c r="AI71" i="2" s="1"/>
  <c r="O26" i="2"/>
  <c r="O72" i="2" s="1"/>
  <c r="AI72" i="2" s="1"/>
  <c r="O27" i="2"/>
  <c r="O73" i="2" s="1"/>
  <c r="AI73" i="2" s="1"/>
  <c r="O24" i="2"/>
  <c r="O70" i="2" s="1"/>
  <c r="AI70" i="2" s="1"/>
  <c r="Z1" i="2"/>
  <c r="Z47" i="2" s="1"/>
  <c r="L27" i="2"/>
  <c r="L73" i="2" s="1"/>
  <c r="M73" i="2" s="1"/>
  <c r="L26" i="2"/>
  <c r="L72" i="2" s="1"/>
  <c r="M72" i="2" s="1"/>
  <c r="L25" i="2"/>
  <c r="L71" i="2" s="1"/>
  <c r="M71" i="2" s="1"/>
  <c r="L24" i="2"/>
  <c r="L70" i="2" s="1"/>
  <c r="M70" i="2" s="1"/>
  <c r="BU100" i="7"/>
  <c r="BU40" i="7" s="1"/>
  <c r="BU99" i="7"/>
  <c r="BX93" i="7"/>
  <c r="CI787" i="7"/>
  <c r="CJ791" i="7"/>
  <c r="CJ787" i="7"/>
  <c r="DS17" i="7"/>
  <c r="DR17" i="7"/>
  <c r="DQ17" i="7"/>
  <c r="DP17" i="7"/>
  <c r="DO17" i="7"/>
  <c r="CD850" i="7"/>
  <c r="CB850" i="7"/>
  <c r="CE850" i="7" s="1"/>
  <c r="CI850" i="7" s="1"/>
  <c r="CB847" i="7"/>
  <c r="CI846" i="7"/>
  <c r="CB846" i="7"/>
  <c r="CB845" i="7"/>
  <c r="CE845" i="7" s="1"/>
  <c r="CI845" i="7" s="1"/>
  <c r="CB844" i="7"/>
  <c r="CE844" i="7" s="1"/>
  <c r="CI844" i="7" s="1"/>
  <c r="CB843" i="7"/>
  <c r="CE843" i="7" s="1"/>
  <c r="CI843" i="7" s="1"/>
  <c r="CB842" i="7"/>
  <c r="CE842" i="7" s="1"/>
  <c r="CI842" i="7" s="1"/>
  <c r="CB841" i="7"/>
  <c r="CE841" i="7" s="1"/>
  <c r="CI841" i="7" s="1"/>
  <c r="CB840" i="7"/>
  <c r="CE840" i="7" s="1"/>
  <c r="CI840" i="7" s="1"/>
  <c r="CB839" i="7"/>
  <c r="CE839" i="7" s="1"/>
  <c r="CI839" i="7" s="1"/>
  <c r="CB838" i="7"/>
  <c r="CF837" i="7"/>
  <c r="AC5" i="8"/>
  <c r="DS17" i="4"/>
  <c r="DR62" i="4" s="1"/>
  <c r="DR17" i="4"/>
  <c r="DQ62" i="4" s="1"/>
  <c r="DQ17" i="4"/>
  <c r="DP62" i="4" s="1"/>
  <c r="DP17" i="4"/>
  <c r="DO62" i="4" s="1"/>
  <c r="DO17" i="4"/>
  <c r="DN62" i="4" s="1"/>
  <c r="CB850" i="4"/>
  <c r="CD850" i="4"/>
  <c r="CI846" i="4"/>
  <c r="DS32" i="4" s="1"/>
  <c r="DR76" i="4" s="1"/>
  <c r="CB847" i="4"/>
  <c r="CB846" i="4"/>
  <c r="CB845" i="4"/>
  <c r="CE845" i="4" s="1"/>
  <c r="CI845" i="4" s="1"/>
  <c r="CB844" i="4"/>
  <c r="CE844" i="4" s="1"/>
  <c r="CI844" i="4" s="1"/>
  <c r="CB843" i="4"/>
  <c r="CE843" i="4" s="1"/>
  <c r="CI843" i="4" s="1"/>
  <c r="CB842" i="4"/>
  <c r="CE842" i="4" s="1"/>
  <c r="CI842" i="4" s="1"/>
  <c r="CB841" i="4"/>
  <c r="CE841" i="4" s="1"/>
  <c r="CI841" i="4" s="1"/>
  <c r="CB840" i="4"/>
  <c r="CE840" i="4" s="1"/>
  <c r="CI840" i="4" s="1"/>
  <c r="CB839" i="4"/>
  <c r="CE839" i="4" s="1"/>
  <c r="CI839" i="4" s="1"/>
  <c r="CB838" i="4"/>
  <c r="Y12" i="2"/>
  <c r="Y1" i="2"/>
  <c r="Y47" i="2" s="1"/>
  <c r="K12" i="2"/>
  <c r="K58" i="2" s="1"/>
  <c r="DN17" i="4"/>
  <c r="DM62" i="4" s="1"/>
  <c r="DN17" i="7"/>
  <c r="CD802" i="7"/>
  <c r="CB802" i="7"/>
  <c r="CE802" i="7" s="1"/>
  <c r="CD801" i="7"/>
  <c r="CB801" i="7"/>
  <c r="CB794" i="7"/>
  <c r="CE791" i="7"/>
  <c r="CE786" i="7"/>
  <c r="BX782" i="7"/>
  <c r="CH778" i="7"/>
  <c r="CA789" i="7" s="1"/>
  <c r="DA45" i="7"/>
  <c r="CC242" i="7"/>
  <c r="CC243" i="7"/>
  <c r="CB241" i="7"/>
  <c r="CB243" i="7"/>
  <c r="CB242" i="7"/>
  <c r="CC188" i="7"/>
  <c r="CB188" i="7"/>
  <c r="CB187" i="7"/>
  <c r="CB186" i="7"/>
  <c r="CC127" i="7"/>
  <c r="CB127" i="7"/>
  <c r="CB126" i="7"/>
  <c r="CB125" i="7"/>
  <c r="CG732" i="7"/>
  <c r="CB732" i="7"/>
  <c r="CI732" i="7" s="1"/>
  <c r="CJ717" i="7" s="1"/>
  <c r="CB731" i="7"/>
  <c r="CE731" i="7" s="1"/>
  <c r="CI730" i="7"/>
  <c r="CB729" i="7"/>
  <c r="CE729" i="7" s="1"/>
  <c r="CI729" i="7" s="1"/>
  <c r="CD728" i="7"/>
  <c r="CB728" i="7"/>
  <c r="CE728" i="7" s="1"/>
  <c r="CI728" i="7" s="1"/>
  <c r="CD727" i="7"/>
  <c r="CB727" i="7"/>
  <c r="CG726" i="7"/>
  <c r="CD726" i="7"/>
  <c r="CE726" i="7" s="1"/>
  <c r="CG725" i="7"/>
  <c r="CD725" i="7"/>
  <c r="CB725" i="7"/>
  <c r="CE725" i="7" s="1"/>
  <c r="CI725" i="7" s="1"/>
  <c r="CB724" i="7"/>
  <c r="CE724" i="7" s="1"/>
  <c r="CI724" i="7" s="1"/>
  <c r="CD723" i="7"/>
  <c r="CB723" i="7"/>
  <c r="CE723" i="7" s="1"/>
  <c r="CB722" i="7"/>
  <c r="CE722" i="7" s="1"/>
  <c r="CB720" i="7"/>
  <c r="CI717" i="7"/>
  <c r="CF712" i="7"/>
  <c r="CK684" i="7"/>
  <c r="CK683" i="7"/>
  <c r="CK682" i="7"/>
  <c r="CJ682" i="7"/>
  <c r="BU667" i="7"/>
  <c r="CH609" i="7"/>
  <c r="CC609" i="7"/>
  <c r="CJ609" i="7" s="1"/>
  <c r="CK595" i="7" s="1"/>
  <c r="CJ608" i="7"/>
  <c r="CJ571" i="7" s="1"/>
  <c r="CH563" i="7" s="1"/>
  <c r="CC607" i="7"/>
  <c r="CF607" i="7" s="1"/>
  <c r="CJ607" i="7" s="1"/>
  <c r="CE606" i="7"/>
  <c r="CC606" i="7"/>
  <c r="CF606" i="7" s="1"/>
  <c r="CJ606" i="7" s="1"/>
  <c r="CE605" i="7"/>
  <c r="CC605" i="7"/>
  <c r="CF605" i="7" s="1"/>
  <c r="CJ605" i="7" s="1"/>
  <c r="BU339" i="7" s="1"/>
  <c r="CH604" i="7"/>
  <c r="CE604" i="7"/>
  <c r="CF604" i="7" s="1"/>
  <c r="CH603" i="7"/>
  <c r="CE603" i="7"/>
  <c r="CF603" i="7" s="1"/>
  <c r="CJ603" i="7" s="1"/>
  <c r="CC602" i="7"/>
  <c r="CF602" i="7" s="1"/>
  <c r="CJ602" i="7" s="1"/>
  <c r="CE601" i="7"/>
  <c r="CC601" i="7"/>
  <c r="CF601" i="7" s="1"/>
  <c r="CF600" i="7"/>
  <c r="CI583" i="7" s="1"/>
  <c r="CC583" i="7" s="1"/>
  <c r="CC600" i="7"/>
  <c r="CJ595" i="7"/>
  <c r="CG590" i="7"/>
  <c r="CD584" i="7"/>
  <c r="CD583" i="7"/>
  <c r="CD582" i="7"/>
  <c r="CC582" i="7"/>
  <c r="CI571" i="7"/>
  <c r="CH562" i="7" s="1"/>
  <c r="CI563" i="7"/>
  <c r="CI562" i="7"/>
  <c r="CI561" i="7"/>
  <c r="CH561" i="7"/>
  <c r="BV545" i="7"/>
  <c r="CE533" i="7"/>
  <c r="CF533" i="7" s="1"/>
  <c r="CF532" i="7"/>
  <c r="CL493" i="7" s="1"/>
  <c r="CK484" i="7" s="1"/>
  <c r="CC532" i="7"/>
  <c r="CH531" i="7"/>
  <c r="CC531" i="7"/>
  <c r="CJ531" i="7" s="1"/>
  <c r="CK517" i="7" s="1"/>
  <c r="CJ530" i="7"/>
  <c r="CC529" i="7"/>
  <c r="CF529" i="7" s="1"/>
  <c r="CJ529" i="7" s="1"/>
  <c r="CE528" i="7"/>
  <c r="CC528" i="7"/>
  <c r="CF528" i="7" s="1"/>
  <c r="CJ528" i="7" s="1"/>
  <c r="CF527" i="7"/>
  <c r="CJ527" i="7" s="1"/>
  <c r="BU338" i="7" s="1"/>
  <c r="CE527" i="7"/>
  <c r="CC527" i="7"/>
  <c r="CH526" i="7"/>
  <c r="CE526" i="7"/>
  <c r="CF526" i="7" s="1"/>
  <c r="CH525" i="7"/>
  <c r="CF525" i="7"/>
  <c r="CE525" i="7"/>
  <c r="CC525" i="7"/>
  <c r="CF524" i="7"/>
  <c r="CJ524" i="7" s="1"/>
  <c r="CC524" i="7"/>
  <c r="CE523" i="7"/>
  <c r="CC523" i="7"/>
  <c r="CF523" i="7" s="1"/>
  <c r="CJ523" i="7" s="1"/>
  <c r="CC522" i="7"/>
  <c r="CF522" i="7" s="1"/>
  <c r="CJ522" i="7" s="1"/>
  <c r="CJ517" i="7"/>
  <c r="CG512" i="7"/>
  <c r="CB509" i="7"/>
  <c r="CB508" i="7"/>
  <c r="CA507" i="7"/>
  <c r="CL485" i="7"/>
  <c r="CI485" i="7"/>
  <c r="CL484" i="7"/>
  <c r="CI484" i="7"/>
  <c r="CL483" i="7"/>
  <c r="CK483" i="7"/>
  <c r="CI483" i="7"/>
  <c r="CH483" i="7"/>
  <c r="BV467" i="7"/>
  <c r="CE457" i="7"/>
  <c r="CF457" i="7" s="1"/>
  <c r="CC456" i="7"/>
  <c r="CF456" i="7" s="1"/>
  <c r="CH455" i="7"/>
  <c r="CC455" i="7"/>
  <c r="CJ455" i="7" s="1"/>
  <c r="CK441" i="7" s="1"/>
  <c r="CJ454" i="7"/>
  <c r="CC453" i="7"/>
  <c r="CF453" i="7" s="1"/>
  <c r="CJ453" i="7" s="1"/>
  <c r="CE452" i="7"/>
  <c r="CC452" i="7"/>
  <c r="CF452" i="7" s="1"/>
  <c r="CJ452" i="7" s="1"/>
  <c r="CE451" i="7"/>
  <c r="CC451" i="7"/>
  <c r="CF451" i="7" s="1"/>
  <c r="CJ451" i="7" s="1"/>
  <c r="BU337" i="7" s="1"/>
  <c r="CH450" i="7"/>
  <c r="CE450" i="7"/>
  <c r="CF450" i="7" s="1"/>
  <c r="CI433" i="7" s="1"/>
  <c r="CF438" i="7" s="1"/>
  <c r="CH449" i="7"/>
  <c r="CE449" i="7"/>
  <c r="CC449" i="7"/>
  <c r="CC448" i="7"/>
  <c r="CF448" i="7" s="1"/>
  <c r="CJ448" i="7" s="1"/>
  <c r="CE447" i="7"/>
  <c r="CC447" i="7"/>
  <c r="CJ446" i="7"/>
  <c r="CJ429" i="7" s="1"/>
  <c r="CA433" i="7" s="1"/>
  <c r="CF446" i="7"/>
  <c r="CI429" i="7" s="1"/>
  <c r="CA432" i="7" s="1"/>
  <c r="CC446" i="7"/>
  <c r="CJ441" i="7"/>
  <c r="CG436" i="7"/>
  <c r="CB433" i="7"/>
  <c r="CB432" i="7"/>
  <c r="CA431" i="7"/>
  <c r="CL409" i="7"/>
  <c r="CI409" i="7"/>
  <c r="CL408" i="7"/>
  <c r="CI408" i="7"/>
  <c r="CL407" i="7"/>
  <c r="CK407" i="7"/>
  <c r="CI407" i="7"/>
  <c r="CH407" i="7"/>
  <c r="BV391" i="7"/>
  <c r="CH381" i="7"/>
  <c r="CC381" i="7"/>
  <c r="CJ380" i="7"/>
  <c r="CJ343" i="7" s="1"/>
  <c r="CH335" i="7" s="1"/>
  <c r="CC379" i="7"/>
  <c r="CF379" i="7" s="1"/>
  <c r="CJ379" i="7" s="1"/>
  <c r="CF378" i="7"/>
  <c r="CJ378" i="7" s="1"/>
  <c r="CE378" i="7"/>
  <c r="CC378" i="7"/>
  <c r="CE377" i="7"/>
  <c r="CC377" i="7"/>
  <c r="CF377" i="7" s="1"/>
  <c r="CJ377" i="7" s="1"/>
  <c r="BU336" i="7" s="1"/>
  <c r="CH376" i="7"/>
  <c r="CE376" i="7"/>
  <c r="CF376" i="7" s="1"/>
  <c r="CI359" i="7" s="1"/>
  <c r="CF364" i="7" s="1"/>
  <c r="CH375" i="7"/>
  <c r="CE375" i="7"/>
  <c r="CF375" i="7" s="1"/>
  <c r="CJ375" i="7" s="1"/>
  <c r="CC374" i="7"/>
  <c r="CF374" i="7" s="1"/>
  <c r="CJ374" i="7" s="1"/>
  <c r="CE373" i="7"/>
  <c r="CC373" i="7"/>
  <c r="CF373" i="7" s="1"/>
  <c r="CC372" i="7"/>
  <c r="CF372" i="7" s="1"/>
  <c r="CA362" i="7" s="1"/>
  <c r="CJ367" i="7"/>
  <c r="CG362" i="7"/>
  <c r="CI343" i="7"/>
  <c r="CH334" i="7" s="1"/>
  <c r="BV343" i="7"/>
  <c r="BV342" i="7"/>
  <c r="BV341" i="7"/>
  <c r="BV340" i="7"/>
  <c r="BV339" i="7"/>
  <c r="BV338" i="7"/>
  <c r="BV337" i="7"/>
  <c r="CI335" i="7"/>
  <c r="CI334" i="7"/>
  <c r="CI333" i="7"/>
  <c r="CH333" i="7"/>
  <c r="BT323" i="7"/>
  <c r="BV317" i="7"/>
  <c r="CF262" i="7"/>
  <c r="CA262" i="7"/>
  <c r="CH262" i="7" s="1"/>
  <c r="CI248" i="7" s="1"/>
  <c r="CH261" i="7"/>
  <c r="CD260" i="7"/>
  <c r="CH260" i="7" s="1"/>
  <c r="CA260" i="7"/>
  <c r="CC259" i="7"/>
  <c r="CA259" i="7"/>
  <c r="CC258" i="7"/>
  <c r="CA258" i="7"/>
  <c r="CD258" i="7" s="1"/>
  <c r="CH258" i="7" s="1"/>
  <c r="BU341" i="7" s="1"/>
  <c r="CF257" i="7"/>
  <c r="CC257" i="7"/>
  <c r="CD257" i="7" s="1"/>
  <c r="CF256" i="7"/>
  <c r="CC256" i="7"/>
  <c r="CA256" i="7"/>
  <c r="CA255" i="7"/>
  <c r="CD255" i="7" s="1"/>
  <c r="CH255" i="7" s="1"/>
  <c r="CC254" i="7"/>
  <c r="CA254" i="7"/>
  <c r="CD254" i="7" s="1"/>
  <c r="CA253" i="7"/>
  <c r="CD253" i="7" s="1"/>
  <c r="CA251" i="7"/>
  <c r="CH248" i="7"/>
  <c r="CE243" i="7"/>
  <c r="CC203" i="7"/>
  <c r="CA203" i="7"/>
  <c r="CD203" i="7" s="1"/>
  <c r="CH203" i="7" s="1"/>
  <c r="CC202" i="7"/>
  <c r="CA202" i="7"/>
  <c r="CD202" i="7" s="1"/>
  <c r="CF201" i="7"/>
  <c r="CC201" i="7"/>
  <c r="CD201" i="7" s="1"/>
  <c r="CH201" i="7" s="1"/>
  <c r="CF200" i="7"/>
  <c r="CC200" i="7"/>
  <c r="CA200" i="7"/>
  <c r="CD199" i="7"/>
  <c r="CH199" i="7" s="1"/>
  <c r="CA199" i="7"/>
  <c r="CC198" i="7"/>
  <c r="CA198" i="7"/>
  <c r="CD198" i="7" s="1"/>
  <c r="CH198" i="7" s="1"/>
  <c r="BT198" i="7"/>
  <c r="CA197" i="7"/>
  <c r="CD197" i="7" s="1"/>
  <c r="CH197" i="7" s="1"/>
  <c r="CG174" i="7"/>
  <c r="BW168" i="7"/>
  <c r="BT166" i="7"/>
  <c r="BM155" i="7"/>
  <c r="CF140" i="7"/>
  <c r="CC140" i="7"/>
  <c r="CD140" i="7" s="1"/>
  <c r="CC139" i="7"/>
  <c r="CD139" i="7" s="1"/>
  <c r="CH139" i="7" s="1"/>
  <c r="CC138" i="7"/>
  <c r="CA138" i="7"/>
  <c r="CD138" i="7" s="1"/>
  <c r="CA136" i="7"/>
  <c r="CD136" i="7" s="1"/>
  <c r="CH136" i="7" s="1"/>
  <c r="BW114" i="7"/>
  <c r="CG113" i="7"/>
  <c r="BW113" i="7"/>
  <c r="BW112" i="7"/>
  <c r="BZ109" i="7"/>
  <c r="BW109" i="7" s="1"/>
  <c r="BW107" i="7"/>
  <c r="BT105" i="7"/>
  <c r="BQ96" i="7"/>
  <c r="CC93" i="7"/>
  <c r="BV90" i="7"/>
  <c r="BV89" i="7"/>
  <c r="CC79" i="7"/>
  <c r="CD79" i="7" s="1"/>
  <c r="CH79" i="7" s="1"/>
  <c r="BW79" i="7"/>
  <c r="CC78" i="7"/>
  <c r="CC77" i="7"/>
  <c r="CD77" i="7" s="1"/>
  <c r="CH77" i="7" s="1"/>
  <c r="CC76" i="7"/>
  <c r="CC75" i="7"/>
  <c r="CA75" i="7"/>
  <c r="CC74" i="7"/>
  <c r="CD74" i="7" s="1"/>
  <c r="CH74" i="7" s="1"/>
  <c r="BK70" i="7"/>
  <c r="CG58" i="7"/>
  <c r="BZ69" i="7" s="1"/>
  <c r="BU59" i="7" s="1"/>
  <c r="BG53" i="7"/>
  <c r="BF53" i="7"/>
  <c r="CG52" i="7"/>
  <c r="BZ38" i="7" s="1"/>
  <c r="BW51" i="7"/>
  <c r="BK50" i="7"/>
  <c r="BW46" i="7"/>
  <c r="CZ45" i="7"/>
  <c r="EB17" i="7" s="1"/>
  <c r="BV40" i="7"/>
  <c r="BT40" i="7"/>
  <c r="CZ41" i="7"/>
  <c r="DX17" i="7" s="1"/>
  <c r="CZ40" i="7"/>
  <c r="DW17" i="7" s="1"/>
  <c r="CZ39" i="7"/>
  <c r="DV17" i="7" s="1"/>
  <c r="BQ35" i="7"/>
  <c r="CB28" i="7"/>
  <c r="CZ24" i="7"/>
  <c r="DG17" i="7" s="1"/>
  <c r="CZ23" i="7"/>
  <c r="CZ21" i="7"/>
  <c r="BW21" i="7"/>
  <c r="CZ20" i="7"/>
  <c r="DC17" i="7" s="1"/>
  <c r="CZ18" i="7"/>
  <c r="ED17" i="7"/>
  <c r="EA17" i="7"/>
  <c r="DZ17" i="7"/>
  <c r="DY17" i="7"/>
  <c r="DU17" i="7"/>
  <c r="DM17" i="7"/>
  <c r="DL17" i="7"/>
  <c r="DK17" i="7"/>
  <c r="DJ17" i="7"/>
  <c r="DI17" i="7"/>
  <c r="DH17" i="7"/>
  <c r="DF17" i="7"/>
  <c r="DE17" i="7"/>
  <c r="DD17" i="7"/>
  <c r="DB17" i="7"/>
  <c r="DA17" i="7"/>
  <c r="CZ41" i="6"/>
  <c r="DX17" i="6" s="1"/>
  <c r="BY343" i="6"/>
  <c r="BY342" i="6"/>
  <c r="CJ355" i="6"/>
  <c r="CD803" i="6"/>
  <c r="CB803" i="6"/>
  <c r="CE803" i="6" s="1"/>
  <c r="CE802" i="6"/>
  <c r="CD802" i="6"/>
  <c r="CB802" i="6"/>
  <c r="CB795" i="6"/>
  <c r="CE792" i="6"/>
  <c r="CE787" i="6"/>
  <c r="BX783" i="6"/>
  <c r="CH779" i="6"/>
  <c r="CA790" i="6" s="1"/>
  <c r="CG732" i="6"/>
  <c r="CB732" i="6"/>
  <c r="CI732" i="6" s="1"/>
  <c r="CB731" i="6"/>
  <c r="CE731" i="6" s="1"/>
  <c r="CI730" i="6"/>
  <c r="CB729" i="6"/>
  <c r="CE729" i="6" s="1"/>
  <c r="CI729" i="6" s="1"/>
  <c r="CD728" i="6"/>
  <c r="CB728" i="6"/>
  <c r="CE728" i="6" s="1"/>
  <c r="CI728" i="6" s="1"/>
  <c r="CD727" i="6"/>
  <c r="CB727" i="6"/>
  <c r="CE727" i="6" s="1"/>
  <c r="CI727" i="6" s="1"/>
  <c r="CG726" i="6"/>
  <c r="CE726" i="6"/>
  <c r="CI726" i="6" s="1"/>
  <c r="CD726" i="6"/>
  <c r="CG725" i="6"/>
  <c r="CE725" i="6"/>
  <c r="CI725" i="6" s="1"/>
  <c r="CD725" i="6"/>
  <c r="CB725" i="6"/>
  <c r="CE724" i="6"/>
  <c r="CI724" i="6" s="1"/>
  <c r="CB724" i="6"/>
  <c r="CD723" i="6"/>
  <c r="CB723" i="6"/>
  <c r="CB722" i="6"/>
  <c r="CE722" i="6" s="1"/>
  <c r="CB720" i="6"/>
  <c r="BX708" i="6"/>
  <c r="BY338" i="6"/>
  <c r="CJ381" i="6"/>
  <c r="CH381" i="6"/>
  <c r="CC381" i="6"/>
  <c r="CJ380" i="6"/>
  <c r="CJ379" i="6"/>
  <c r="CF379" i="6"/>
  <c r="CC379" i="6"/>
  <c r="CJ378" i="6"/>
  <c r="CF378" i="6"/>
  <c r="CE378" i="6"/>
  <c r="CC378" i="6"/>
  <c r="CJ377" i="6"/>
  <c r="CF377" i="6"/>
  <c r="CE377" i="6"/>
  <c r="CC377" i="6"/>
  <c r="CJ376" i="6"/>
  <c r="CH376" i="6"/>
  <c r="CF376" i="6"/>
  <c r="CE376" i="6"/>
  <c r="CJ375" i="6"/>
  <c r="CH375" i="6"/>
  <c r="CF375" i="6"/>
  <c r="CE375" i="6"/>
  <c r="CJ374" i="6"/>
  <c r="CF374" i="6"/>
  <c r="CC374" i="6"/>
  <c r="CF373" i="6"/>
  <c r="CE373" i="6"/>
  <c r="CC373" i="6"/>
  <c r="CF372" i="6"/>
  <c r="CC372" i="6"/>
  <c r="AW366" i="6"/>
  <c r="BZ365" i="6"/>
  <c r="AW365" i="6"/>
  <c r="BZ364" i="6"/>
  <c r="AW364" i="6"/>
  <c r="BZ363" i="6"/>
  <c r="AW363" i="6"/>
  <c r="AW362" i="6"/>
  <c r="AW361" i="6"/>
  <c r="AW360" i="6"/>
  <c r="AW359" i="6"/>
  <c r="BX353" i="6"/>
  <c r="AB343" i="6"/>
  <c r="AB342" i="6"/>
  <c r="AB341" i="6"/>
  <c r="AB340" i="6"/>
  <c r="BY339" i="6"/>
  <c r="AB339" i="6"/>
  <c r="AB338" i="6"/>
  <c r="AB337" i="6"/>
  <c r="AB336" i="6"/>
  <c r="AU329" i="6"/>
  <c r="CF262" i="6"/>
  <c r="CA262" i="6"/>
  <c r="CH262" i="6" s="1"/>
  <c r="CH261" i="6"/>
  <c r="CA260" i="6"/>
  <c r="CD260" i="6" s="1"/>
  <c r="CH260" i="6" s="1"/>
  <c r="CC259" i="6"/>
  <c r="CA259" i="6"/>
  <c r="CD259" i="6" s="1"/>
  <c r="CH259" i="6" s="1"/>
  <c r="CC258" i="6"/>
  <c r="CA258" i="6"/>
  <c r="CF257" i="6"/>
  <c r="CD257" i="6"/>
  <c r="CH257" i="6" s="1"/>
  <c r="CC257" i="6"/>
  <c r="CF256" i="6"/>
  <c r="CD256" i="6"/>
  <c r="CH256" i="6" s="1"/>
  <c r="CC256" i="6"/>
  <c r="CA256" i="6"/>
  <c r="CD255" i="6"/>
  <c r="CH255" i="6" s="1"/>
  <c r="CA255" i="6"/>
  <c r="CC254" i="6"/>
  <c r="CA254" i="6"/>
  <c r="CA253" i="6"/>
  <c r="CD253" i="6" s="1"/>
  <c r="CA251" i="6"/>
  <c r="BW239" i="6"/>
  <c r="CH203" i="6"/>
  <c r="CD203" i="6"/>
  <c r="CC203" i="6"/>
  <c r="CA203" i="6"/>
  <c r="CH202" i="6"/>
  <c r="CD202" i="6"/>
  <c r="CC202" i="6"/>
  <c r="CA202" i="6"/>
  <c r="CH201" i="6"/>
  <c r="CF201" i="6"/>
  <c r="CD201" i="6"/>
  <c r="CC201" i="6"/>
  <c r="CF200" i="6"/>
  <c r="CD200" i="6"/>
  <c r="CH200" i="6" s="1"/>
  <c r="CC200" i="6"/>
  <c r="CA200" i="6"/>
  <c r="CH199" i="6"/>
  <c r="CD199" i="6"/>
  <c r="CA199" i="6"/>
  <c r="CD198" i="6"/>
  <c r="CH198" i="6" s="1"/>
  <c r="CC198" i="6"/>
  <c r="CA198" i="6"/>
  <c r="CH197" i="6"/>
  <c r="CD197" i="6"/>
  <c r="CA197" i="6"/>
  <c r="BW183" i="6"/>
  <c r="CG180" i="6"/>
  <c r="CH140" i="6"/>
  <c r="CF140" i="6"/>
  <c r="CD140" i="6"/>
  <c r="CC140" i="6"/>
  <c r="CC139" i="6"/>
  <c r="CD139" i="6" s="1"/>
  <c r="CH139" i="6" s="1"/>
  <c r="CH138" i="6"/>
  <c r="CI138" i="6" s="1"/>
  <c r="CD138" i="6"/>
  <c r="CC138" i="6"/>
  <c r="CA138" i="6"/>
  <c r="CH136" i="6"/>
  <c r="CD136" i="6"/>
  <c r="CA136" i="6"/>
  <c r="BN131" i="6"/>
  <c r="BN130" i="6"/>
  <c r="BN129" i="6"/>
  <c r="BN128" i="6"/>
  <c r="BN127" i="6"/>
  <c r="BN126" i="6"/>
  <c r="BN125" i="6"/>
  <c r="BN124" i="6"/>
  <c r="CG119" i="6"/>
  <c r="CH119" i="6" s="1"/>
  <c r="CZ37" i="6"/>
  <c r="DT17" i="6" s="1"/>
  <c r="CZ36" i="6"/>
  <c r="CZ35" i="6"/>
  <c r="CZ24" i="6"/>
  <c r="CZ23" i="6"/>
  <c r="CZ21" i="6"/>
  <c r="DD17" i="6" s="1"/>
  <c r="CZ20" i="6"/>
  <c r="DC17" i="6" s="1"/>
  <c r="CZ18" i="6"/>
  <c r="DZ17" i="6"/>
  <c r="DW17" i="6"/>
  <c r="DV17" i="6"/>
  <c r="DU17" i="6"/>
  <c r="DS17" i="6"/>
  <c r="DR17" i="6"/>
  <c r="DQ17" i="6"/>
  <c r="DM17" i="6"/>
  <c r="DL17" i="6"/>
  <c r="DK17" i="6"/>
  <c r="DJ17" i="6"/>
  <c r="DI17" i="6"/>
  <c r="DH17" i="6"/>
  <c r="DG17" i="6"/>
  <c r="DF17" i="6"/>
  <c r="DE17" i="6"/>
  <c r="DB17" i="6"/>
  <c r="DA17" i="6"/>
  <c r="BV391" i="5"/>
  <c r="BW408" i="5"/>
  <c r="BV408" i="5" s="1"/>
  <c r="BZ408" i="5"/>
  <c r="BW410" i="5"/>
  <c r="BZ404" i="5" s="1"/>
  <c r="BZ403" i="5" s="1"/>
  <c r="BZ414" i="5"/>
  <c r="CI433" i="5"/>
  <c r="CJ433" i="5"/>
  <c r="CL424" i="5" s="1"/>
  <c r="CG436" i="5"/>
  <c r="CJ437" i="5"/>
  <c r="CG438" i="5" s="1"/>
  <c r="CK437" i="5"/>
  <c r="CG437" i="5" s="1"/>
  <c r="CF438" i="5"/>
  <c r="CJ441" i="5"/>
  <c r="CK441" i="5"/>
  <c r="CI429" i="5"/>
  <c r="CJ429" i="5"/>
  <c r="CA431" i="5"/>
  <c r="CA432" i="5"/>
  <c r="CB432" i="5"/>
  <c r="CA433" i="5"/>
  <c r="CB433" i="5"/>
  <c r="CC446" i="5"/>
  <c r="CF446" i="5"/>
  <c r="CJ446" i="5"/>
  <c r="CC447" i="5"/>
  <c r="CE447" i="5"/>
  <c r="CF447" i="5"/>
  <c r="CJ447" i="5"/>
  <c r="CC448" i="5"/>
  <c r="CF448" i="5"/>
  <c r="CJ448" i="5"/>
  <c r="CC449" i="5"/>
  <c r="CE449" i="5"/>
  <c r="CF449" i="5"/>
  <c r="CH449" i="5"/>
  <c r="CJ449" i="5"/>
  <c r="CE450" i="5"/>
  <c r="CF450" i="5"/>
  <c r="CH450" i="5"/>
  <c r="CJ450" i="5"/>
  <c r="CC451" i="5"/>
  <c r="CE451" i="5"/>
  <c r="CF451" i="5"/>
  <c r="CJ451" i="5"/>
  <c r="CC452" i="5"/>
  <c r="CE452" i="5"/>
  <c r="CF452" i="5"/>
  <c r="CJ452" i="5"/>
  <c r="CK452" i="5"/>
  <c r="CN427" i="5" s="1"/>
  <c r="CL428" i="5" s="1"/>
  <c r="CC453" i="5"/>
  <c r="CF453" i="5"/>
  <c r="CJ453" i="5"/>
  <c r="CJ454" i="5"/>
  <c r="CC455" i="5"/>
  <c r="CH455" i="5"/>
  <c r="CJ455" i="5"/>
  <c r="CC456" i="5"/>
  <c r="CF456" i="5"/>
  <c r="CJ456" i="5"/>
  <c r="CE457" i="5"/>
  <c r="CF457" i="5"/>
  <c r="CJ457" i="5"/>
  <c r="BV467" i="5"/>
  <c r="CH483" i="5"/>
  <c r="CI483" i="5"/>
  <c r="CK483" i="5"/>
  <c r="CL483" i="5"/>
  <c r="CH484" i="5"/>
  <c r="CI484" i="5"/>
  <c r="CK484" i="5"/>
  <c r="CL484" i="5"/>
  <c r="CH485" i="5"/>
  <c r="CI485" i="5"/>
  <c r="CK485" i="5"/>
  <c r="CL485" i="5"/>
  <c r="CI493" i="5"/>
  <c r="CJ493" i="5"/>
  <c r="CL493" i="5"/>
  <c r="CM493" i="5"/>
  <c r="CJ499" i="5"/>
  <c r="CL500" i="5" s="1"/>
  <c r="CL506" i="5" s="1"/>
  <c r="CI505" i="5"/>
  <c r="CJ505" i="5"/>
  <c r="CA507" i="5"/>
  <c r="CA508" i="5"/>
  <c r="CB508" i="5"/>
  <c r="CA509" i="5"/>
  <c r="CB509" i="5"/>
  <c r="CI509" i="5"/>
  <c r="CJ509" i="5"/>
  <c r="CG512" i="5"/>
  <c r="CF513" i="5"/>
  <c r="CG513" i="5"/>
  <c r="CJ513" i="5"/>
  <c r="CK513" i="5"/>
  <c r="CF514" i="5"/>
  <c r="CG514" i="5"/>
  <c r="CJ517" i="5"/>
  <c r="CK517" i="5"/>
  <c r="CC522" i="5"/>
  <c r="CF522" i="5"/>
  <c r="CJ522" i="5"/>
  <c r="CC523" i="5"/>
  <c r="CE523" i="5"/>
  <c r="CF523" i="5"/>
  <c r="CJ523" i="5"/>
  <c r="CC524" i="5"/>
  <c r="CF524" i="5"/>
  <c r="CJ524" i="5"/>
  <c r="CC525" i="5"/>
  <c r="CE525" i="5"/>
  <c r="CF525" i="5"/>
  <c r="CH525" i="5"/>
  <c r="CJ525" i="5"/>
  <c r="CE526" i="5"/>
  <c r="CF526" i="5"/>
  <c r="CH526" i="5"/>
  <c r="CJ526" i="5"/>
  <c r="CC527" i="5"/>
  <c r="CE527" i="5"/>
  <c r="CF527" i="5"/>
  <c r="CJ527" i="5"/>
  <c r="CC528" i="5"/>
  <c r="CE528" i="5"/>
  <c r="CF528" i="5"/>
  <c r="CJ528" i="5"/>
  <c r="CK528" i="5"/>
  <c r="CN503" i="5" s="1"/>
  <c r="CL504" i="5" s="1"/>
  <c r="CC529" i="5"/>
  <c r="CF529" i="5"/>
  <c r="CJ529" i="5"/>
  <c r="CJ530" i="5"/>
  <c r="CC531" i="5"/>
  <c r="CH531" i="5"/>
  <c r="CJ531" i="5"/>
  <c r="CC532" i="5"/>
  <c r="CF532" i="5"/>
  <c r="CJ532" i="5"/>
  <c r="CE533" i="5"/>
  <c r="CF533" i="5"/>
  <c r="CJ533" i="5"/>
  <c r="BV545" i="5"/>
  <c r="CH561" i="5"/>
  <c r="CI561" i="5"/>
  <c r="CH562" i="5"/>
  <c r="CI562" i="5"/>
  <c r="CH563" i="5"/>
  <c r="CI563" i="5"/>
  <c r="CI571" i="5"/>
  <c r="CJ571" i="5"/>
  <c r="CJ577" i="5"/>
  <c r="CI577" i="5" s="1"/>
  <c r="BZ562" i="5" s="1"/>
  <c r="BW564" i="5" s="1"/>
  <c r="CC582" i="5"/>
  <c r="CD582" i="5"/>
  <c r="CC583" i="5"/>
  <c r="CD583" i="5"/>
  <c r="CI583" i="5"/>
  <c r="CJ583" i="5"/>
  <c r="CC584" i="5"/>
  <c r="CD584" i="5"/>
  <c r="CI587" i="5"/>
  <c r="CJ587" i="5"/>
  <c r="CG590" i="5"/>
  <c r="CF591" i="5"/>
  <c r="CG591" i="5"/>
  <c r="CJ591" i="5"/>
  <c r="CK591" i="5"/>
  <c r="CF592" i="5"/>
  <c r="CG592" i="5"/>
  <c r="CJ595" i="5"/>
  <c r="CK595" i="5"/>
  <c r="CC600" i="5"/>
  <c r="CF600" i="5"/>
  <c r="CJ600" i="5"/>
  <c r="CC601" i="5"/>
  <c r="CE601" i="5"/>
  <c r="CF601" i="5"/>
  <c r="CJ601" i="5"/>
  <c r="CC602" i="5"/>
  <c r="CF602" i="5"/>
  <c r="CJ602" i="5"/>
  <c r="CE603" i="5"/>
  <c r="CF603" i="5"/>
  <c r="CH603" i="5"/>
  <c r="CJ603" i="5"/>
  <c r="CE604" i="5"/>
  <c r="CF604" i="5"/>
  <c r="CH604" i="5"/>
  <c r="CJ604" i="5"/>
  <c r="CC605" i="5"/>
  <c r="CE605" i="5"/>
  <c r="CF605" i="5"/>
  <c r="CJ605" i="5"/>
  <c r="CC606" i="5"/>
  <c r="CE606" i="5"/>
  <c r="CF606" i="5"/>
  <c r="CJ606" i="5"/>
  <c r="CK606" i="5"/>
  <c r="CN581" i="5" s="1"/>
  <c r="CL582" i="5" s="1"/>
  <c r="CC607" i="5"/>
  <c r="CF607" i="5"/>
  <c r="CJ607" i="5"/>
  <c r="CJ608" i="5"/>
  <c r="CC609" i="5"/>
  <c r="CH609" i="5"/>
  <c r="CJ609" i="5"/>
  <c r="CN354" i="5"/>
  <c r="CN353" i="5"/>
  <c r="CL235" i="5"/>
  <c r="CL234" i="5"/>
  <c r="CH236" i="5"/>
  <c r="CL179" i="5"/>
  <c r="CL178" i="5"/>
  <c r="CL118" i="5"/>
  <c r="CL117" i="5"/>
  <c r="CD803" i="5"/>
  <c r="CB803" i="5"/>
  <c r="CE803" i="5" s="1"/>
  <c r="CI803" i="5" s="1"/>
  <c r="CI780" i="5" s="1"/>
  <c r="CD783" i="5" s="1"/>
  <c r="CB791" i="5" s="1"/>
  <c r="CD802" i="5"/>
  <c r="CB802" i="5"/>
  <c r="CE802" i="5" s="1"/>
  <c r="CI788" i="5" s="1"/>
  <c r="CF789" i="5" s="1"/>
  <c r="CB795" i="5"/>
  <c r="CE792" i="5"/>
  <c r="CE787" i="5"/>
  <c r="CD787" i="5"/>
  <c r="BX783" i="5"/>
  <c r="CD782" i="5"/>
  <c r="CH780" i="5"/>
  <c r="CA791" i="5" s="1"/>
  <c r="BY785" i="5" s="1"/>
  <c r="CH779" i="5"/>
  <c r="CA790" i="5" s="1"/>
  <c r="CI732" i="5"/>
  <c r="CG732" i="5"/>
  <c r="CB732" i="5"/>
  <c r="CB731" i="5"/>
  <c r="CE731" i="5" s="1"/>
  <c r="CK692" i="5" s="1"/>
  <c r="CJ683" i="5" s="1"/>
  <c r="CI730" i="5"/>
  <c r="CE729" i="5"/>
  <c r="CI729" i="5" s="1"/>
  <c r="CB729" i="5"/>
  <c r="CD728" i="5"/>
  <c r="CB728" i="5"/>
  <c r="CE728" i="5" s="1"/>
  <c r="CI728" i="5" s="1"/>
  <c r="CE727" i="5"/>
  <c r="CI727" i="5" s="1"/>
  <c r="CD727" i="5"/>
  <c r="CB727" i="5"/>
  <c r="CI726" i="5"/>
  <c r="CI709" i="5" s="1"/>
  <c r="CE713" i="5" s="1"/>
  <c r="CG726" i="5"/>
  <c r="CE726" i="5"/>
  <c r="CD726" i="5"/>
  <c r="CG725" i="5"/>
  <c r="CD725" i="5"/>
  <c r="CB725" i="5"/>
  <c r="CE725" i="5" s="1"/>
  <c r="CI725" i="5" s="1"/>
  <c r="CE724" i="5"/>
  <c r="CI724" i="5" s="1"/>
  <c r="CB724" i="5"/>
  <c r="CE723" i="5"/>
  <c r="CD723" i="5"/>
  <c r="CB723" i="5"/>
  <c r="CB722" i="5"/>
  <c r="CE722" i="5" s="1"/>
  <c r="CI722" i="5" s="1"/>
  <c r="CB720" i="5"/>
  <c r="CJ717" i="5"/>
  <c r="CI717" i="5"/>
  <c r="CF712" i="5"/>
  <c r="CH709" i="5"/>
  <c r="CE714" i="5" s="1"/>
  <c r="BX708" i="5"/>
  <c r="CH705" i="5"/>
  <c r="CA717" i="5" s="1"/>
  <c r="CA365" i="5" s="1"/>
  <c r="CK684" i="5"/>
  <c r="CK683" i="5"/>
  <c r="CK682" i="5"/>
  <c r="CJ682" i="5"/>
  <c r="BU667" i="5"/>
  <c r="CH381" i="5"/>
  <c r="CC381" i="5"/>
  <c r="CJ381" i="5" s="1"/>
  <c r="CJ380" i="5"/>
  <c r="CJ379" i="5"/>
  <c r="CF379" i="5"/>
  <c r="CC379" i="5"/>
  <c r="CF378" i="5"/>
  <c r="CJ378" i="5" s="1"/>
  <c r="CE378" i="5"/>
  <c r="CC378" i="5"/>
  <c r="CE377" i="5"/>
  <c r="CC377" i="5"/>
  <c r="CF377" i="5" s="1"/>
  <c r="CJ377" i="5" s="1"/>
  <c r="CH376" i="5"/>
  <c r="CF376" i="5"/>
  <c r="CE376" i="5"/>
  <c r="CH375" i="5"/>
  <c r="CE375" i="5"/>
  <c r="CF375" i="5" s="1"/>
  <c r="CJ375" i="5" s="1"/>
  <c r="CJ374" i="5"/>
  <c r="CF374" i="5"/>
  <c r="CC374" i="5"/>
  <c r="CF373" i="5"/>
  <c r="CJ373" i="5" s="1"/>
  <c r="CE373" i="5"/>
  <c r="CC373" i="5"/>
  <c r="CC372" i="5"/>
  <c r="CF372" i="5" s="1"/>
  <c r="AW366" i="5"/>
  <c r="BZ365" i="5"/>
  <c r="AW365" i="5"/>
  <c r="BZ364" i="5"/>
  <c r="AW364" i="5"/>
  <c r="BZ363" i="5"/>
  <c r="AW363" i="5"/>
  <c r="AW362" i="5"/>
  <c r="AW361" i="5"/>
  <c r="AW360" i="5"/>
  <c r="AW359" i="5"/>
  <c r="BX353" i="5"/>
  <c r="CF262" i="5"/>
  <c r="CA262" i="5"/>
  <c r="CH262" i="5" s="1"/>
  <c r="CH261" i="5"/>
  <c r="CA260" i="5"/>
  <c r="CD260" i="5" s="1"/>
  <c r="CH260" i="5" s="1"/>
  <c r="CD259" i="5"/>
  <c r="CH259" i="5" s="1"/>
  <c r="CC259" i="5"/>
  <c r="CA259" i="5"/>
  <c r="CC258" i="5"/>
  <c r="CD258" i="5" s="1"/>
  <c r="CH258" i="5" s="1"/>
  <c r="CA258" i="5"/>
  <c r="CF257" i="5"/>
  <c r="CC257" i="5"/>
  <c r="CD257" i="5" s="1"/>
  <c r="CH256" i="5"/>
  <c r="CF256" i="5"/>
  <c r="CD256" i="5"/>
  <c r="CC256" i="5"/>
  <c r="CA256" i="5"/>
  <c r="CA255" i="5"/>
  <c r="CD255" i="5" s="1"/>
  <c r="CH255" i="5" s="1"/>
  <c r="CC254" i="5"/>
  <c r="CD254" i="5" s="1"/>
  <c r="CA254" i="5"/>
  <c r="CD253" i="5"/>
  <c r="CA253" i="5"/>
  <c r="CA251" i="5"/>
  <c r="BW239" i="5"/>
  <c r="CC203" i="5"/>
  <c r="CA203" i="5"/>
  <c r="CD203" i="5" s="1"/>
  <c r="CH203" i="5" s="1"/>
  <c r="CC202" i="5"/>
  <c r="CA202" i="5"/>
  <c r="CD202" i="5" s="1"/>
  <c r="CF201" i="5"/>
  <c r="CC201" i="5"/>
  <c r="CD201" i="5" s="1"/>
  <c r="CH201" i="5" s="1"/>
  <c r="CF200" i="5"/>
  <c r="CD200" i="5"/>
  <c r="CH200" i="5" s="1"/>
  <c r="CC200" i="5"/>
  <c r="CA200" i="5"/>
  <c r="CA199" i="5"/>
  <c r="CD199" i="5" s="1"/>
  <c r="CH199" i="5" s="1"/>
  <c r="CH198" i="5"/>
  <c r="CC198" i="5"/>
  <c r="CA198" i="5"/>
  <c r="CD198" i="5" s="1"/>
  <c r="CA197" i="5"/>
  <c r="CD197" i="5" s="1"/>
  <c r="BW183" i="5"/>
  <c r="CG180" i="5"/>
  <c r="CF140" i="5"/>
  <c r="CC140" i="5"/>
  <c r="CD140" i="5" s="1"/>
  <c r="CH139" i="5"/>
  <c r="CD139" i="5"/>
  <c r="CC139" i="5"/>
  <c r="CC138" i="5"/>
  <c r="CA138" i="5"/>
  <c r="CD138" i="5" s="1"/>
  <c r="CA136" i="5"/>
  <c r="CD136" i="5" s="1"/>
  <c r="CH136" i="5" s="1"/>
  <c r="BN131" i="5"/>
  <c r="CA130" i="5"/>
  <c r="BW134" i="5" s="1"/>
  <c r="BO128" i="5" s="1"/>
  <c r="BN130" i="5"/>
  <c r="BN129" i="5"/>
  <c r="BN128" i="5"/>
  <c r="BN127" i="5"/>
  <c r="BN126" i="5"/>
  <c r="BN125" i="5"/>
  <c r="BN124" i="5"/>
  <c r="CG119" i="5"/>
  <c r="CH119" i="5" s="1"/>
  <c r="CC126" i="5" s="1"/>
  <c r="CC79" i="5"/>
  <c r="CD79" i="5" s="1"/>
  <c r="CH79" i="5" s="1"/>
  <c r="BO64" i="5" s="1"/>
  <c r="BW79" i="5"/>
  <c r="CH78" i="5"/>
  <c r="CD78" i="5"/>
  <c r="CC78" i="5"/>
  <c r="CC77" i="5"/>
  <c r="CA38" i="5" s="1"/>
  <c r="CC76" i="5"/>
  <c r="CD76" i="5" s="1"/>
  <c r="CC75" i="5"/>
  <c r="CA75" i="5"/>
  <c r="CD75" i="5" s="1"/>
  <c r="CD74" i="5"/>
  <c r="CH74" i="5" s="1"/>
  <c r="CC74" i="5"/>
  <c r="BK70" i="5"/>
  <c r="CG58" i="5"/>
  <c r="BZ69" i="5" s="1"/>
  <c r="BU59" i="5" s="1"/>
  <c r="BG53" i="5"/>
  <c r="BF53" i="5"/>
  <c r="CG52" i="5"/>
  <c r="BW51" i="5"/>
  <c r="BK50" i="5"/>
  <c r="BW46" i="5"/>
  <c r="CZ41" i="5"/>
  <c r="BV40" i="5"/>
  <c r="BT40" i="5"/>
  <c r="CC39" i="5"/>
  <c r="CB29" i="5" s="1"/>
  <c r="BU39" i="5"/>
  <c r="BX33" i="5" s="1"/>
  <c r="BU38" i="5"/>
  <c r="CZ37" i="5"/>
  <c r="CZ36" i="5"/>
  <c r="DA35" i="5"/>
  <c r="CZ35" i="5"/>
  <c r="BQ35" i="5"/>
  <c r="CB28" i="5"/>
  <c r="CZ24" i="5"/>
  <c r="DG17" i="5" s="1"/>
  <c r="CZ23" i="5"/>
  <c r="CZ21" i="5"/>
  <c r="DD17" i="5" s="1"/>
  <c r="BW21" i="5"/>
  <c r="CZ20" i="5"/>
  <c r="CZ18" i="5"/>
  <c r="DZ17" i="5"/>
  <c r="DX17" i="5"/>
  <c r="DW17" i="5"/>
  <c r="DV17" i="5"/>
  <c r="DU17" i="5"/>
  <c r="DT17" i="5"/>
  <c r="DS17" i="5"/>
  <c r="DR17" i="5"/>
  <c r="DQ17" i="5"/>
  <c r="DM17" i="5"/>
  <c r="DL17" i="5"/>
  <c r="DK17" i="5"/>
  <c r="DJ17" i="5"/>
  <c r="DI17" i="5"/>
  <c r="DH17" i="5"/>
  <c r="DF17" i="5"/>
  <c r="DE17" i="5"/>
  <c r="DC17" i="5"/>
  <c r="DB17" i="5"/>
  <c r="DA17" i="5"/>
  <c r="BX782" i="4"/>
  <c r="CH778" i="4"/>
  <c r="CA789" i="4" s="1"/>
  <c r="CE791" i="4"/>
  <c r="CE786" i="4"/>
  <c r="CB801" i="4"/>
  <c r="CB802" i="4"/>
  <c r="CD802" i="4"/>
  <c r="CD801" i="4"/>
  <c r="CB794" i="4"/>
  <c r="X13" i="2"/>
  <c r="X12" i="2"/>
  <c r="X11" i="2"/>
  <c r="X1" i="2"/>
  <c r="X47" i="2" s="1"/>
  <c r="J13" i="2"/>
  <c r="J59" i="2" s="1"/>
  <c r="J12" i="2"/>
  <c r="J58" i="2" s="1"/>
  <c r="BZ364" i="4"/>
  <c r="BV342" i="4"/>
  <c r="CI716" i="4"/>
  <c r="CG731" i="4"/>
  <c r="CB731" i="4"/>
  <c r="CB730" i="4"/>
  <c r="CE730" i="4" s="1"/>
  <c r="CK691" i="4" s="1"/>
  <c r="CK683" i="4"/>
  <c r="CK682" i="4"/>
  <c r="CK681" i="4"/>
  <c r="CJ681" i="4"/>
  <c r="CB721" i="4"/>
  <c r="CE721" i="4" s="1"/>
  <c r="CH704" i="4" s="1"/>
  <c r="CI729" i="4"/>
  <c r="CB728" i="4"/>
  <c r="CE728" i="4" s="1"/>
  <c r="CI728" i="4" s="1"/>
  <c r="CD727" i="4"/>
  <c r="CB727" i="4"/>
  <c r="CD726" i="4"/>
  <c r="CB726" i="4"/>
  <c r="CG725" i="4"/>
  <c r="CD725" i="4"/>
  <c r="CE725" i="4" s="1"/>
  <c r="CG724" i="4"/>
  <c r="CD724" i="4"/>
  <c r="CB724" i="4"/>
  <c r="CB723" i="4"/>
  <c r="CE723" i="4" s="1"/>
  <c r="CI723" i="4" s="1"/>
  <c r="CD722" i="4"/>
  <c r="CB722" i="4"/>
  <c r="CB719" i="4"/>
  <c r="CF711" i="4"/>
  <c r="BX707" i="4"/>
  <c r="BU666" i="4"/>
  <c r="DM17" i="4"/>
  <c r="DL62" i="4" s="1"/>
  <c r="DL17" i="4"/>
  <c r="DK62" i="4" s="1"/>
  <c r="BT322" i="4"/>
  <c r="DK17" i="4"/>
  <c r="DJ62" i="4" s="1"/>
  <c r="BV341" i="4"/>
  <c r="BV340" i="4"/>
  <c r="CE801" i="4" l="1"/>
  <c r="CI787" i="4" s="1"/>
  <c r="CE802" i="4"/>
  <c r="CE724" i="4"/>
  <c r="CI724" i="4" s="1"/>
  <c r="CI730" i="4"/>
  <c r="CL691" i="4" s="1"/>
  <c r="CK834" i="4"/>
  <c r="CE722" i="4"/>
  <c r="CI722" i="4" s="1"/>
  <c r="CJ712" i="4" s="1"/>
  <c r="CF712" i="4" s="1"/>
  <c r="CE726" i="4"/>
  <c r="CI726" i="4" s="1"/>
  <c r="BU342" i="4" s="1"/>
  <c r="BT342" i="4" s="1"/>
  <c r="A103" i="2" a="1"/>
  <c r="X83" i="2"/>
  <c r="T83" i="2"/>
  <c r="T84" i="2"/>
  <c r="W74" i="2"/>
  <c r="P70" i="2"/>
  <c r="P51" i="2"/>
  <c r="U50" i="2"/>
  <c r="X82" i="2"/>
  <c r="X84" i="2"/>
  <c r="X81" i="2"/>
  <c r="P74" i="2"/>
  <c r="T78" i="2"/>
  <c r="P58" i="2"/>
  <c r="S73" i="2"/>
  <c r="P57" i="2"/>
  <c r="T82" i="2"/>
  <c r="P48" i="2"/>
  <c r="S67" i="2"/>
  <c r="T81" i="2"/>
  <c r="X66" i="2"/>
  <c r="P64" i="2"/>
  <c r="T79" i="2"/>
  <c r="U61" i="2"/>
  <c r="P60" i="2"/>
  <c r="AA77" i="2"/>
  <c r="Z65" i="2"/>
  <c r="U55" i="2"/>
  <c r="R49" i="2"/>
  <c r="R70" i="2"/>
  <c r="R61" i="2"/>
  <c r="Z56" i="2"/>
  <c r="S84" i="2"/>
  <c r="AA75" i="2"/>
  <c r="R73" i="2"/>
  <c r="W69" i="2"/>
  <c r="X65" i="2"/>
  <c r="Z59" i="2"/>
  <c r="Z54" i="2"/>
  <c r="P49" i="2"/>
  <c r="Z48" i="2"/>
  <c r="R71" i="2"/>
  <c r="R78" i="2"/>
  <c r="S79" i="2"/>
  <c r="X79" i="2"/>
  <c r="W60" i="2"/>
  <c r="U69" i="2"/>
  <c r="R65" i="2"/>
  <c r="R59" i="2"/>
  <c r="V53" i="2"/>
  <c r="Z70" i="2"/>
  <c r="Z71" i="2"/>
  <c r="AA76" i="2"/>
  <c r="R72" i="2"/>
  <c r="R69" i="2"/>
  <c r="U53" i="2"/>
  <c r="R48" i="2"/>
  <c r="U74" i="2"/>
  <c r="U60" i="2"/>
  <c r="P72" i="2"/>
  <c r="Z68" i="2"/>
  <c r="P63" i="2"/>
  <c r="Z57" i="2"/>
  <c r="P53" i="2"/>
  <c r="U71" i="2"/>
  <c r="R68" i="2"/>
  <c r="Z61" i="2"/>
  <c r="R57" i="2"/>
  <c r="R51" i="2"/>
  <c r="M55" i="2"/>
  <c r="F81" i="2"/>
  <c r="M50" i="2"/>
  <c r="T62" i="2"/>
  <c r="R79" i="2"/>
  <c r="M48" i="2"/>
  <c r="M77" i="2"/>
  <c r="T73" i="2"/>
  <c r="S70" i="2"/>
  <c r="P69" i="2"/>
  <c r="T67" i="2"/>
  <c r="S64" i="2"/>
  <c r="X55" i="2"/>
  <c r="P54" i="2"/>
  <c r="S51" i="2"/>
  <c r="W49" i="2"/>
  <c r="M49" i="2"/>
  <c r="M74" i="2"/>
  <c r="M75" i="2"/>
  <c r="M69" i="2"/>
  <c r="E79" i="2"/>
  <c r="W61" i="2"/>
  <c r="W55" i="2"/>
  <c r="S83" i="2"/>
  <c r="S81" i="2"/>
  <c r="W68" i="2"/>
  <c r="T60" i="2"/>
  <c r="S78" i="2"/>
  <c r="S80" i="2"/>
  <c r="X80" i="2"/>
  <c r="M68" i="2"/>
  <c r="M56" i="2"/>
  <c r="D82" i="2"/>
  <c r="D81" i="2"/>
  <c r="P73" i="2"/>
  <c r="W71" i="2"/>
  <c r="Z69" i="2"/>
  <c r="U68" i="2"/>
  <c r="S65" i="2"/>
  <c r="Z62" i="2"/>
  <c r="T61" i="2"/>
  <c r="U56" i="2"/>
  <c r="P55" i="2"/>
  <c r="S53" i="2"/>
  <c r="W50" i="2"/>
  <c r="R82" i="2"/>
  <c r="R84" i="2"/>
  <c r="M54" i="2"/>
  <c r="F78" i="2"/>
  <c r="J79" i="2"/>
  <c r="W48" i="2"/>
  <c r="W72" i="2"/>
  <c r="P68" i="2"/>
  <c r="W66" i="2"/>
  <c r="S62" i="2"/>
  <c r="P61" i="2"/>
  <c r="S56" i="2"/>
  <c r="X54" i="2"/>
  <c r="P52" i="2"/>
  <c r="T50" i="2"/>
  <c r="T85" i="2"/>
  <c r="M60" i="2"/>
  <c r="T56" i="2"/>
  <c r="R81" i="2"/>
  <c r="M51" i="2"/>
  <c r="M65" i="2"/>
  <c r="M53" i="2"/>
  <c r="M52" i="2"/>
  <c r="S74" i="2"/>
  <c r="E78" i="2"/>
  <c r="J80" i="2"/>
  <c r="U48" i="2"/>
  <c r="U72" i="2"/>
  <c r="P71" i="2"/>
  <c r="T69" i="2"/>
  <c r="Z67" i="2"/>
  <c r="U66" i="2"/>
  <c r="V64" i="2"/>
  <c r="R62" i="2"/>
  <c r="Z60" i="2"/>
  <c r="P59" i="2"/>
  <c r="W57" i="2"/>
  <c r="R56" i="2"/>
  <c r="S54" i="2"/>
  <c r="Z51" i="2"/>
  <c r="P50" i="2"/>
  <c r="R85" i="2"/>
  <c r="R80" i="2"/>
  <c r="O32" i="2"/>
  <c r="O78" i="2" s="1"/>
  <c r="AI78" i="2" s="1"/>
  <c r="M76" i="2"/>
  <c r="T72" i="2"/>
  <c r="T70" i="2"/>
  <c r="U67" i="2"/>
  <c r="S66" i="2"/>
  <c r="U64" i="2"/>
  <c r="P62" i="2"/>
  <c r="Z58" i="2"/>
  <c r="U57" i="2"/>
  <c r="R54" i="2"/>
  <c r="T51" i="2"/>
  <c r="Z49" i="2"/>
  <c r="D79" i="2"/>
  <c r="Q48" i="2"/>
  <c r="V72" i="2"/>
  <c r="Y71" i="2"/>
  <c r="Q71" i="2"/>
  <c r="V69" i="2"/>
  <c r="Y68" i="2"/>
  <c r="Q68" i="2"/>
  <c r="X63" i="2"/>
  <c r="V61" i="2"/>
  <c r="Y60" i="2"/>
  <c r="Y57" i="2"/>
  <c r="Q57" i="2"/>
  <c r="X52" i="2"/>
  <c r="V50" i="2"/>
  <c r="Y49" i="2"/>
  <c r="Q49" i="2"/>
  <c r="X78" i="2"/>
  <c r="S82" i="2"/>
  <c r="Y63" i="2"/>
  <c r="Q63" i="2"/>
  <c r="Q60" i="2"/>
  <c r="Y52" i="2"/>
  <c r="Q52" i="2"/>
  <c r="O33" i="2"/>
  <c r="O79" i="2" s="1"/>
  <c r="AI79" i="2" s="1"/>
  <c r="A79" i="2"/>
  <c r="Y74" i="2"/>
  <c r="D78" i="2"/>
  <c r="J82" i="2"/>
  <c r="E81" i="2"/>
  <c r="X48" i="2"/>
  <c r="Y48" i="2"/>
  <c r="X71" i="2"/>
  <c r="X68" i="2"/>
  <c r="V66" i="2"/>
  <c r="Y65" i="2"/>
  <c r="Q65" i="2"/>
  <c r="T64" i="2"/>
  <c r="W63" i="2"/>
  <c r="X60" i="2"/>
  <c r="X57" i="2"/>
  <c r="V55" i="2"/>
  <c r="Y54" i="2"/>
  <c r="Q54" i="2"/>
  <c r="T53" i="2"/>
  <c r="W52" i="2"/>
  <c r="X49" i="2"/>
  <c r="X86" i="2"/>
  <c r="S85" i="2"/>
  <c r="Y73" i="2"/>
  <c r="Q73" i="2"/>
  <c r="Y70" i="2"/>
  <c r="Q70" i="2"/>
  <c r="V63" i="2"/>
  <c r="Y62" i="2"/>
  <c r="Q62" i="2"/>
  <c r="Y59" i="2"/>
  <c r="Q59" i="2"/>
  <c r="V52" i="2"/>
  <c r="Y51" i="2"/>
  <c r="Q51" i="2"/>
  <c r="V74" i="2"/>
  <c r="F80" i="2"/>
  <c r="V48" i="2"/>
  <c r="X73" i="2"/>
  <c r="S72" i="2"/>
  <c r="V71" i="2"/>
  <c r="X70" i="2"/>
  <c r="S69" i="2"/>
  <c r="V68" i="2"/>
  <c r="Y67" i="2"/>
  <c r="T66" i="2"/>
  <c r="W65" i="2"/>
  <c r="Z64" i="2"/>
  <c r="R64" i="2"/>
  <c r="U63" i="2"/>
  <c r="X62" i="2"/>
  <c r="S61" i="2"/>
  <c r="V60" i="2"/>
  <c r="X59" i="2"/>
  <c r="V57" i="2"/>
  <c r="Y56" i="2"/>
  <c r="Q56" i="2"/>
  <c r="T55" i="2"/>
  <c r="W54" i="2"/>
  <c r="Z53" i="2"/>
  <c r="R53" i="2"/>
  <c r="U52" i="2"/>
  <c r="X51" i="2"/>
  <c r="S50" i="2"/>
  <c r="V49" i="2"/>
  <c r="J78" i="2"/>
  <c r="J81" i="2"/>
  <c r="E80" i="2"/>
  <c r="W73" i="2"/>
  <c r="W70" i="2"/>
  <c r="X67" i="2"/>
  <c r="V65" i="2"/>
  <c r="Y64" i="2"/>
  <c r="Q64" i="2"/>
  <c r="T63" i="2"/>
  <c r="W62" i="2"/>
  <c r="X56" i="2"/>
  <c r="S55" i="2"/>
  <c r="V54" i="2"/>
  <c r="Y53" i="2"/>
  <c r="Q53" i="2"/>
  <c r="T52" i="2"/>
  <c r="W51" i="2"/>
  <c r="Z50" i="2"/>
  <c r="R50" i="2"/>
  <c r="U49" i="2"/>
  <c r="Z73" i="2"/>
  <c r="O36" i="2"/>
  <c r="O82" i="2" s="1"/>
  <c r="AI82" i="2" s="1"/>
  <c r="A82" i="2"/>
  <c r="F82" i="2"/>
  <c r="D80" i="2"/>
  <c r="T48" i="2"/>
  <c r="V73" i="2"/>
  <c r="Y72" i="2"/>
  <c r="Q72" i="2"/>
  <c r="T71" i="2"/>
  <c r="V70" i="2"/>
  <c r="Y69" i="2"/>
  <c r="Q69" i="2"/>
  <c r="T68" i="2"/>
  <c r="W67" i="2"/>
  <c r="Z66" i="2"/>
  <c r="R66" i="2"/>
  <c r="U65" i="2"/>
  <c r="X64" i="2"/>
  <c r="S63" i="2"/>
  <c r="V62" i="2"/>
  <c r="Y61" i="2"/>
  <c r="Q61" i="2"/>
  <c r="S60" i="2"/>
  <c r="Y58" i="2"/>
  <c r="Q58" i="2"/>
  <c r="W56" i="2"/>
  <c r="Z55" i="2"/>
  <c r="R55" i="2"/>
  <c r="U54" i="2"/>
  <c r="X53" i="2"/>
  <c r="S52" i="2"/>
  <c r="V51" i="2"/>
  <c r="Y50" i="2"/>
  <c r="Q50" i="2"/>
  <c r="T49" i="2"/>
  <c r="O34" i="2"/>
  <c r="O80" i="2" s="1"/>
  <c r="AI80" i="2" s="1"/>
  <c r="A80" i="2"/>
  <c r="O35" i="2"/>
  <c r="O81" i="2" s="1"/>
  <c r="AI81" i="2" s="1"/>
  <c r="A81" i="2"/>
  <c r="Q74" i="2"/>
  <c r="E82" i="2"/>
  <c r="F79" i="2"/>
  <c r="S48" i="2"/>
  <c r="U73" i="2"/>
  <c r="X72" i="2"/>
  <c r="S71" i="2"/>
  <c r="U70" i="2"/>
  <c r="X69" i="2"/>
  <c r="S68" i="2"/>
  <c r="V67" i="2"/>
  <c r="Y66" i="2"/>
  <c r="Q66" i="2"/>
  <c r="T65" i="2"/>
  <c r="W64" i="2"/>
  <c r="Z63" i="2"/>
  <c r="R63" i="2"/>
  <c r="U62" i="2"/>
  <c r="X61" i="2"/>
  <c r="R60" i="2"/>
  <c r="X58" i="2"/>
  <c r="T54" i="2"/>
  <c r="Z52" i="2"/>
  <c r="R52" i="2"/>
  <c r="X50" i="2"/>
  <c r="CL117" i="6"/>
  <c r="DW35" i="6" s="1"/>
  <c r="CL118" i="6"/>
  <c r="BZ192" i="6"/>
  <c r="CA364" i="6" s="1"/>
  <c r="CA38" i="7"/>
  <c r="BU39" i="7"/>
  <c r="BX33" i="7" s="1"/>
  <c r="BX32" i="7"/>
  <c r="CA48" i="7"/>
  <c r="BW47" i="7" s="1"/>
  <c r="BU38" i="7"/>
  <c r="BZ48" i="7"/>
  <c r="BW48" i="7" s="1"/>
  <c r="BU37" i="7"/>
  <c r="DD45" i="7" s="1"/>
  <c r="BZ165" i="7"/>
  <c r="BT167" i="7" s="1"/>
  <c r="CH257" i="7"/>
  <c r="CH240" i="7" s="1"/>
  <c r="CD244" i="7" s="1"/>
  <c r="CG240" i="7"/>
  <c r="CD245" i="7" s="1"/>
  <c r="CH202" i="7"/>
  <c r="BU342" i="7" s="1"/>
  <c r="BS342" i="7" s="1"/>
  <c r="BZ170" i="7"/>
  <c r="CA170" i="7" s="1"/>
  <c r="BW169" i="7" s="1"/>
  <c r="CJ601" i="7"/>
  <c r="CK591" i="7" s="1"/>
  <c r="CG591" i="7" s="1"/>
  <c r="CJ591" i="7"/>
  <c r="CG592" i="7" s="1"/>
  <c r="CJ533" i="7"/>
  <c r="CJ493" i="7" s="1"/>
  <c r="CH485" i="7" s="1"/>
  <c r="CI493" i="7"/>
  <c r="CH484" i="7" s="1"/>
  <c r="CJ577" i="7"/>
  <c r="BY339" i="7"/>
  <c r="BN64" i="7"/>
  <c r="BK72" i="7" s="1"/>
  <c r="BG54" i="7"/>
  <c r="CJ456" i="7"/>
  <c r="CM417" i="7" s="1"/>
  <c r="CK409" i="7" s="1"/>
  <c r="CL417" i="7"/>
  <c r="CK408" i="7" s="1"/>
  <c r="BO64" i="7"/>
  <c r="BK71" i="7" s="1"/>
  <c r="DX45" i="7" s="1"/>
  <c r="CH138" i="7"/>
  <c r="CI138" i="7" s="1"/>
  <c r="CA99" i="7" s="1"/>
  <c r="CC101" i="7" s="1"/>
  <c r="BZ99" i="7"/>
  <c r="CJ526" i="7"/>
  <c r="CJ509" i="7" s="1"/>
  <c r="CF513" i="7" s="1"/>
  <c r="CI509" i="7"/>
  <c r="CF514" i="7" s="1"/>
  <c r="BK49" i="7"/>
  <c r="BG62" i="7" s="1"/>
  <c r="CC40" i="7"/>
  <c r="CF447" i="7"/>
  <c r="CJ447" i="7" s="1"/>
  <c r="CK437" i="7" s="1"/>
  <c r="CG437" i="7" s="1"/>
  <c r="BG55" i="7"/>
  <c r="BW340" i="7" s="1"/>
  <c r="CJ532" i="7"/>
  <c r="CM493" i="7" s="1"/>
  <c r="CK485" i="7" s="1"/>
  <c r="CD76" i="7"/>
  <c r="CH76" i="7" s="1"/>
  <c r="CA59" i="7" s="1"/>
  <c r="DB45" i="7" s="1"/>
  <c r="BW22" i="7"/>
  <c r="BU89" i="7"/>
  <c r="BW91" i="7" s="1"/>
  <c r="DD46" i="7" s="1"/>
  <c r="CJ381" i="7"/>
  <c r="CK367" i="7" s="1"/>
  <c r="CF449" i="7"/>
  <c r="CJ449" i="7" s="1"/>
  <c r="CJ423" i="7" s="1"/>
  <c r="CE801" i="7"/>
  <c r="CF788" i="7" s="1"/>
  <c r="CH140" i="7"/>
  <c r="CC39" i="7"/>
  <c r="CB29" i="7" s="1"/>
  <c r="CB30" i="7" s="1"/>
  <c r="CI505" i="7"/>
  <c r="CA508" i="7" s="1"/>
  <c r="BX37" i="7"/>
  <c r="CD78" i="7"/>
  <c r="CH78" i="7" s="1"/>
  <c r="CJ600" i="7"/>
  <c r="CJ583" i="7" s="1"/>
  <c r="CC584" i="7" s="1"/>
  <c r="CJ846" i="7"/>
  <c r="CM821" i="7" s="1"/>
  <c r="CM834" i="7"/>
  <c r="CK835" i="7" s="1"/>
  <c r="CK834" i="7"/>
  <c r="CL833" i="7" s="1"/>
  <c r="CI725" i="4"/>
  <c r="CH708" i="4"/>
  <c r="CE713" i="4" s="1"/>
  <c r="CM834" i="4"/>
  <c r="CK835" i="4" s="1"/>
  <c r="DP32" i="4"/>
  <c r="DO76" i="4" s="1"/>
  <c r="CI801" i="4"/>
  <c r="CJ787" i="4" s="1"/>
  <c r="CI802" i="4"/>
  <c r="CI779" i="4" s="1"/>
  <c r="CD782" i="4" s="1"/>
  <c r="CH779" i="4"/>
  <c r="CA790" i="4" s="1"/>
  <c r="BY784" i="4" s="1"/>
  <c r="CE850" i="4"/>
  <c r="CI850" i="4" s="1"/>
  <c r="CE727" i="4"/>
  <c r="CI727" i="4" s="1"/>
  <c r="CI731" i="4"/>
  <c r="CJ716" i="4" s="1"/>
  <c r="CH779" i="7"/>
  <c r="CA790" i="7" s="1"/>
  <c r="BY784" i="7" s="1"/>
  <c r="CI802" i="7"/>
  <c r="CI779" i="7" s="1"/>
  <c r="DN21" i="7" s="1"/>
  <c r="CA361" i="7"/>
  <c r="CA109" i="7"/>
  <c r="CH113" i="7"/>
  <c r="CJ114" i="7" s="1"/>
  <c r="BY342" i="7"/>
  <c r="BY341" i="7"/>
  <c r="BX98" i="7"/>
  <c r="BW52" i="7"/>
  <c r="BY336" i="7"/>
  <c r="CJ349" i="7"/>
  <c r="CI417" i="7"/>
  <c r="CH408" i="7" s="1"/>
  <c r="CJ457" i="7"/>
  <c r="CJ417" i="7" s="1"/>
  <c r="CH409" i="7" s="1"/>
  <c r="BT342" i="7"/>
  <c r="BV69" i="7"/>
  <c r="BU69" i="7"/>
  <c r="CH52" i="7"/>
  <c r="CI355" i="7"/>
  <c r="CJ372" i="7"/>
  <c r="BT337" i="7"/>
  <c r="BS337" i="7"/>
  <c r="CJ363" i="7"/>
  <c r="CG364" i="7" s="1"/>
  <c r="CJ373" i="7"/>
  <c r="CK363" i="7" s="1"/>
  <c r="CG363" i="7" s="1"/>
  <c r="CI577" i="7"/>
  <c r="BZ562" i="7" s="1"/>
  <c r="BW564" i="7" s="1"/>
  <c r="CI722" i="7"/>
  <c r="CH705" i="7"/>
  <c r="CA717" i="7" s="1"/>
  <c r="CI726" i="7"/>
  <c r="CI709" i="7" s="1"/>
  <c r="CE713" i="7" s="1"/>
  <c r="CH709" i="7"/>
  <c r="CE714" i="7" s="1"/>
  <c r="CI731" i="7"/>
  <c r="CL692" i="7" s="1"/>
  <c r="CJ684" i="7" s="1"/>
  <c r="CK692" i="7"/>
  <c r="CJ683" i="7" s="1"/>
  <c r="BU90" i="7"/>
  <c r="BT338" i="7"/>
  <c r="BS338" i="7"/>
  <c r="CI723" i="7"/>
  <c r="CJ713" i="7" s="1"/>
  <c r="CF713" i="7" s="1"/>
  <c r="CI713" i="7"/>
  <c r="CF714" i="7" s="1"/>
  <c r="BT341" i="7"/>
  <c r="BS341" i="7"/>
  <c r="CD75" i="7"/>
  <c r="BZ104" i="7"/>
  <c r="BT106" i="7" s="1"/>
  <c r="BY104" i="7"/>
  <c r="BT107" i="7" s="1"/>
  <c r="CD200" i="7"/>
  <c r="CH200" i="7" s="1"/>
  <c r="CH174" i="7" s="1"/>
  <c r="CD256" i="7"/>
  <c r="CH256" i="7" s="1"/>
  <c r="CD259" i="7"/>
  <c r="CH259" i="7" s="1"/>
  <c r="CJ376" i="7"/>
  <c r="CJ359" i="7" s="1"/>
  <c r="CF363" i="7" s="1"/>
  <c r="CJ450" i="7"/>
  <c r="CJ433" i="7" s="1"/>
  <c r="CF437" i="7" s="1"/>
  <c r="CJ505" i="7"/>
  <c r="CA509" i="7" s="1"/>
  <c r="CJ525" i="7"/>
  <c r="CE727" i="7"/>
  <c r="CI727" i="7" s="1"/>
  <c r="BU343" i="7" s="1"/>
  <c r="BU91" i="7"/>
  <c r="CI142" i="7"/>
  <c r="CL117" i="7" s="1"/>
  <c r="CJ118" i="7" s="1"/>
  <c r="BW170" i="7"/>
  <c r="BY337" i="7"/>
  <c r="CI587" i="7"/>
  <c r="CF592" i="7" s="1"/>
  <c r="CJ604" i="7"/>
  <c r="CJ587" i="7" s="1"/>
  <c r="CF591" i="7" s="1"/>
  <c r="CI699" i="7"/>
  <c r="BY343" i="7"/>
  <c r="BT336" i="7"/>
  <c r="BS336" i="7"/>
  <c r="BT339" i="7"/>
  <c r="BS339" i="7"/>
  <c r="DC45" i="7"/>
  <c r="BZ59" i="7"/>
  <c r="BW53" i="7" s="1"/>
  <c r="BY165" i="7"/>
  <c r="BT168" i="7" s="1"/>
  <c r="CH253" i="7"/>
  <c r="CK513" i="7"/>
  <c r="CG513" i="7" s="1"/>
  <c r="CJ513" i="7"/>
  <c r="CG514" i="7" s="1"/>
  <c r="CH254" i="7"/>
  <c r="CI244" i="7" s="1"/>
  <c r="CE244" i="7" s="1"/>
  <c r="CH244" i="7"/>
  <c r="CE245" i="7" s="1"/>
  <c r="DU42" i="7"/>
  <c r="BY338" i="7"/>
  <c r="BY341" i="6"/>
  <c r="CD258" i="6"/>
  <c r="CH258" i="6" s="1"/>
  <c r="CI355" i="6"/>
  <c r="CJ372" i="6"/>
  <c r="CI731" i="6"/>
  <c r="CI203" i="6"/>
  <c r="CA362" i="6"/>
  <c r="CA130" i="6"/>
  <c r="CI142" i="6"/>
  <c r="CA192" i="6"/>
  <c r="CH253" i="6"/>
  <c r="CG236" i="6"/>
  <c r="BZ248" i="6" s="1"/>
  <c r="CA363" i="6" s="1"/>
  <c r="BY337" i="6"/>
  <c r="CC126" i="6"/>
  <c r="CD254" i="6"/>
  <c r="CI802" i="6"/>
  <c r="CI788" i="6"/>
  <c r="CF789" i="6" s="1"/>
  <c r="BY336" i="6"/>
  <c r="CI722" i="6"/>
  <c r="CH705" i="6"/>
  <c r="CA717" i="6" s="1"/>
  <c r="CA365" i="6" s="1"/>
  <c r="CH780" i="6"/>
  <c r="CA791" i="6" s="1"/>
  <c r="BY785" i="6" s="1"/>
  <c r="CI803" i="6"/>
  <c r="CI780" i="6" s="1"/>
  <c r="CC121" i="6"/>
  <c r="CH180" i="6"/>
  <c r="CE723" i="6"/>
  <c r="CJ373" i="6"/>
  <c r="BO388" i="5"/>
  <c r="BV390" i="5"/>
  <c r="CF437" i="5"/>
  <c r="CL430" i="5"/>
  <c r="BZ558" i="5"/>
  <c r="BZ557" i="5" s="1"/>
  <c r="BZ568" i="5"/>
  <c r="BW562" i="5"/>
  <c r="BV562" i="5" s="1"/>
  <c r="CI499" i="5"/>
  <c r="BZ484" i="5" s="1"/>
  <c r="BW486" i="5" s="1"/>
  <c r="CL578" i="5"/>
  <c r="CL584" i="5" s="1"/>
  <c r="DD42" i="5"/>
  <c r="CH140" i="5"/>
  <c r="CH254" i="5"/>
  <c r="CH138" i="5"/>
  <c r="CI138" i="5" s="1"/>
  <c r="BV69" i="5"/>
  <c r="BU69" i="5"/>
  <c r="CA69" i="5"/>
  <c r="BK71" i="5"/>
  <c r="DT41" i="5" s="1"/>
  <c r="CI705" i="5"/>
  <c r="CH197" i="5"/>
  <c r="BZ192" i="5"/>
  <c r="CA364" i="5" s="1"/>
  <c r="BZ59" i="5"/>
  <c r="BW53" i="5" s="1"/>
  <c r="CH76" i="5"/>
  <c r="CA59" i="5" s="1"/>
  <c r="BX37" i="5"/>
  <c r="CH257" i="5"/>
  <c r="CH75" i="5"/>
  <c r="CI75" i="5" s="1"/>
  <c r="BN54" i="5"/>
  <c r="CB30" i="5"/>
  <c r="BN64" i="5"/>
  <c r="BK72" i="5" s="1"/>
  <c r="BG54" i="5"/>
  <c r="BK49" i="5"/>
  <c r="BG55" i="5"/>
  <c r="BU40" i="5"/>
  <c r="BU37" i="5" s="1"/>
  <c r="CH202" i="5"/>
  <c r="BY784" i="5"/>
  <c r="CD793" i="5"/>
  <c r="DQ38" i="5"/>
  <c r="CI355" i="5"/>
  <c r="CA362" i="5"/>
  <c r="CJ372" i="5"/>
  <c r="CA48" i="5"/>
  <c r="CC122" i="5"/>
  <c r="BZ130" i="5"/>
  <c r="BW130" i="5"/>
  <c r="BW132" i="5"/>
  <c r="BO126" i="5" s="1"/>
  <c r="BX43" i="5"/>
  <c r="CB130" i="5"/>
  <c r="BW136" i="5"/>
  <c r="BO130" i="5" s="1"/>
  <c r="BX32" i="5"/>
  <c r="BW22" i="5" s="1"/>
  <c r="CI731" i="5"/>
  <c r="CL692" i="5" s="1"/>
  <c r="CJ684" i="5" s="1"/>
  <c r="CH253" i="5"/>
  <c r="CG236" i="5"/>
  <c r="BZ248" i="5" s="1"/>
  <c r="CA363" i="5" s="1"/>
  <c r="CI802" i="5"/>
  <c r="BW135" i="5"/>
  <c r="BO129" i="5" s="1"/>
  <c r="BW137" i="5"/>
  <c r="BZ38" i="5"/>
  <c r="CD77" i="5"/>
  <c r="CH77" i="5" s="1"/>
  <c r="CH52" i="5" s="1"/>
  <c r="BW131" i="5"/>
  <c r="BO125" i="5" s="1"/>
  <c r="CI699" i="5"/>
  <c r="CC121" i="5"/>
  <c r="CC132" i="5"/>
  <c r="BZ48" i="5"/>
  <c r="BW48" i="5" s="1"/>
  <c r="BX126" i="5"/>
  <c r="BW133" i="5"/>
  <c r="BO127" i="5" s="1"/>
  <c r="CJ376" i="5"/>
  <c r="CI723" i="5"/>
  <c r="CJ713" i="5" s="1"/>
  <c r="CF713" i="5" s="1"/>
  <c r="CI713" i="5"/>
  <c r="CF714" i="5" s="1"/>
  <c r="CF788" i="4"/>
  <c r="CJ682" i="4"/>
  <c r="CA716" i="4"/>
  <c r="CA364" i="4" s="1"/>
  <c r="CI721" i="4"/>
  <c r="DJ17" i="4"/>
  <c r="DI62" i="4" s="1"/>
  <c r="DU17" i="4"/>
  <c r="DS62" i="4" s="1"/>
  <c r="DI17" i="4"/>
  <c r="DH62" i="4" s="1"/>
  <c r="CC92" i="4"/>
  <c r="DH17" i="4"/>
  <c r="DG62" i="4" s="1"/>
  <c r="CZ24" i="4"/>
  <c r="CZ40" i="4"/>
  <c r="CZ20" i="4"/>
  <c r="CZ39" i="4"/>
  <c r="ED17" i="4"/>
  <c r="EA62" i="4" s="1"/>
  <c r="BV339" i="4"/>
  <c r="BJ339" i="4" s="1"/>
  <c r="DE17" i="4"/>
  <c r="DE62" i="4" s="1"/>
  <c r="CZ23" i="4"/>
  <c r="CZ41" i="4"/>
  <c r="EA17" i="4"/>
  <c r="DY62" i="4" s="1"/>
  <c r="DZ17" i="4"/>
  <c r="DX62" i="4" s="1"/>
  <c r="DY17" i="4"/>
  <c r="DW62" i="4" s="1"/>
  <c r="CB28" i="4"/>
  <c r="CZ45" i="4"/>
  <c r="DB17" i="4"/>
  <c r="DB62" i="4" s="1"/>
  <c r="CZ21" i="4"/>
  <c r="DA17" i="4"/>
  <c r="DA62" i="4" s="1"/>
  <c r="CZ18" i="4"/>
  <c r="CZ63" i="4" s="1"/>
  <c r="BO350" i="1"/>
  <c r="BO349" i="1"/>
  <c r="BC349" i="1" s="1"/>
  <c r="BO348" i="1"/>
  <c r="BC348" i="1" s="1"/>
  <c r="AD360" i="1"/>
  <c r="V354" i="1" s="1"/>
  <c r="AD359" i="1"/>
  <c r="V353" i="1" s="1"/>
  <c r="AD358" i="1"/>
  <c r="V352" i="1" s="1"/>
  <c r="AD357" i="1"/>
  <c r="V351" i="1" s="1"/>
  <c r="AD356" i="1"/>
  <c r="V350" i="1" s="1"/>
  <c r="AD355" i="1"/>
  <c r="AD354" i="1"/>
  <c r="V348" i="1" s="1"/>
  <c r="U354" i="1"/>
  <c r="AH353" i="1"/>
  <c r="AG353" i="1" s="1"/>
  <c r="AD353" i="1"/>
  <c r="V347" i="1" s="1"/>
  <c r="U353" i="1"/>
  <c r="U352" i="1"/>
  <c r="U351" i="1"/>
  <c r="BC350" i="1"/>
  <c r="U350" i="1"/>
  <c r="AJ349" i="1"/>
  <c r="V349" i="1"/>
  <c r="U349" i="1"/>
  <c r="U348" i="1"/>
  <c r="U347" i="1"/>
  <c r="BD346" i="1"/>
  <c r="BC346" i="1"/>
  <c r="AN340" i="1"/>
  <c r="CH341" i="1"/>
  <c r="CI341" i="1"/>
  <c r="CI342" i="1"/>
  <c r="CI343" i="1"/>
  <c r="CC362" i="1"/>
  <c r="CD363" i="1"/>
  <c r="CD364" i="1"/>
  <c r="AR305" i="3"/>
  <c r="AR304" i="3"/>
  <c r="AR303" i="3"/>
  <c r="AU291" i="3"/>
  <c r="CB308" i="3"/>
  <c r="CB307" i="3"/>
  <c r="AR302" i="3"/>
  <c r="AR301" i="3"/>
  <c r="AR300" i="3"/>
  <c r="AR299" i="3"/>
  <c r="AR298" i="3"/>
  <c r="AU295" i="3"/>
  <c r="CD287" i="3"/>
  <c r="CD311" i="3"/>
  <c r="CO291" i="3"/>
  <c r="CG311" i="3"/>
  <c r="CD312" i="3"/>
  <c r="CF312" i="3"/>
  <c r="CG312" i="3" s="1"/>
  <c r="CK312" i="3" s="1"/>
  <c r="CD313" i="3"/>
  <c r="CG313" i="3" s="1"/>
  <c r="CK313" i="3" s="1"/>
  <c r="CF314" i="3"/>
  <c r="CG314" i="3" s="1"/>
  <c r="CK314" i="3" s="1"/>
  <c r="CI314" i="3"/>
  <c r="CF315" i="3"/>
  <c r="CG315" i="3"/>
  <c r="CK315" i="3" s="1"/>
  <c r="CI315" i="3"/>
  <c r="CD316" i="3"/>
  <c r="CF316" i="3"/>
  <c r="CG316" i="3"/>
  <c r="CK316" i="3" s="1"/>
  <c r="CD317" i="3"/>
  <c r="CG317" i="3" s="1"/>
  <c r="CK317" i="3" s="1"/>
  <c r="CF317" i="3"/>
  <c r="CD318" i="3"/>
  <c r="CG318" i="3"/>
  <c r="CK318" i="3" s="1"/>
  <c r="CK319" i="3"/>
  <c r="CD320" i="3"/>
  <c r="CK320" i="3" s="1"/>
  <c r="CI320" i="3"/>
  <c r="AU328" i="4"/>
  <c r="BJ334" i="4"/>
  <c r="BK334" i="4"/>
  <c r="AB342" i="4"/>
  <c r="AB341" i="4"/>
  <c r="AB340" i="4"/>
  <c r="AB339" i="4"/>
  <c r="AB338" i="4"/>
  <c r="AB337" i="4"/>
  <c r="AB336" i="4"/>
  <c r="AB335" i="4"/>
  <c r="BV338" i="4"/>
  <c r="BJ338" i="4" s="1"/>
  <c r="BV337" i="4"/>
  <c r="BJ337" i="4" s="1"/>
  <c r="BV336" i="4"/>
  <c r="BJ336" i="4" s="1"/>
  <c r="BZ363" i="4"/>
  <c r="BZ362" i="4"/>
  <c r="AW365" i="4"/>
  <c r="AW364" i="4"/>
  <c r="AW363" i="4"/>
  <c r="AW362" i="4"/>
  <c r="AW361" i="4"/>
  <c r="AW360" i="4"/>
  <c r="AW359" i="4"/>
  <c r="AW358" i="4"/>
  <c r="U13" i="2"/>
  <c r="U59" i="2" s="1"/>
  <c r="U12" i="2"/>
  <c r="U58" i="2" s="1"/>
  <c r="U1" i="2"/>
  <c r="U47" i="2" s="1"/>
  <c r="CP467" i="3"/>
  <c r="CK470" i="3" s="1"/>
  <c r="CP466" i="3"/>
  <c r="CJ496" i="3"/>
  <c r="CL496" i="3" s="1"/>
  <c r="CE496" i="3"/>
  <c r="CL495" i="3"/>
  <c r="CE494" i="3"/>
  <c r="CH494" i="3" s="1"/>
  <c r="CL494" i="3" s="1"/>
  <c r="CH493" i="3"/>
  <c r="CL493" i="3" s="1"/>
  <c r="CG493" i="3"/>
  <c r="CE493" i="3"/>
  <c r="CG492" i="3"/>
  <c r="CH492" i="3" s="1"/>
  <c r="CL492" i="3" s="1"/>
  <c r="CE492" i="3"/>
  <c r="CJ491" i="3"/>
  <c r="CG491" i="3"/>
  <c r="CH491" i="3" s="1"/>
  <c r="CL491" i="3" s="1"/>
  <c r="CJ490" i="3"/>
  <c r="CH490" i="3"/>
  <c r="CL490" i="3" s="1"/>
  <c r="CG490" i="3"/>
  <c r="CH489" i="3"/>
  <c r="CL489" i="3" s="1"/>
  <c r="CE489" i="3"/>
  <c r="CG488" i="3"/>
  <c r="CE488" i="3"/>
  <c r="CH488" i="3" s="1"/>
  <c r="CL488" i="3" s="1"/>
  <c r="CE487" i="3"/>
  <c r="CH487" i="3" s="1"/>
  <c r="CL487" i="3" s="1"/>
  <c r="CM589" i="1"/>
  <c r="CI604" i="1" s="1"/>
  <c r="CD474" i="3"/>
  <c r="CD473" i="3"/>
  <c r="CC472" i="3"/>
  <c r="CD583" i="4"/>
  <c r="CD582" i="4"/>
  <c r="CC581" i="4"/>
  <c r="CD581" i="4"/>
  <c r="CC592" i="1"/>
  <c r="CB591" i="1"/>
  <c r="CG618" i="1"/>
  <c r="CB618" i="1"/>
  <c r="CI617" i="1"/>
  <c r="CB616" i="1"/>
  <c r="CE616" i="1" s="1"/>
  <c r="CI616" i="1" s="1"/>
  <c r="CD615" i="1"/>
  <c r="CB615" i="1"/>
  <c r="CD614" i="1"/>
  <c r="CB614" i="1"/>
  <c r="CG613" i="1"/>
  <c r="CD613" i="1"/>
  <c r="CE613" i="1" s="1"/>
  <c r="CG612" i="1"/>
  <c r="CD612" i="1"/>
  <c r="CE612" i="1" s="1"/>
  <c r="CB611" i="1"/>
  <c r="CE611" i="1" s="1"/>
  <c r="CI611" i="1" s="1"/>
  <c r="CD610" i="1"/>
  <c r="CB610" i="1"/>
  <c r="CB609" i="1"/>
  <c r="CE609" i="1" s="1"/>
  <c r="CF599" i="1"/>
  <c r="CH572" i="1"/>
  <c r="CH571" i="1"/>
  <c r="CH570" i="1"/>
  <c r="CG570" i="1"/>
  <c r="BU554" i="1"/>
  <c r="CC606" i="4"/>
  <c r="CF606" i="4" s="1"/>
  <c r="CJ606" i="4" s="1"/>
  <c r="CJ607" i="4"/>
  <c r="CJ570" i="4" s="1"/>
  <c r="CH562" i="4" s="1"/>
  <c r="CH608" i="4"/>
  <c r="CC608" i="4"/>
  <c r="CE605" i="4"/>
  <c r="CC605" i="4"/>
  <c r="CE604" i="4"/>
  <c r="CC604" i="4"/>
  <c r="CH603" i="4"/>
  <c r="CE603" i="4"/>
  <c r="CF603" i="4" s="1"/>
  <c r="CH602" i="4"/>
  <c r="CE602" i="4"/>
  <c r="CF602" i="4" s="1"/>
  <c r="CC601" i="4"/>
  <c r="CF601" i="4" s="1"/>
  <c r="CJ601" i="4" s="1"/>
  <c r="CE600" i="4"/>
  <c r="CC600" i="4"/>
  <c r="CC599" i="4"/>
  <c r="CF599" i="4" s="1"/>
  <c r="CJ594" i="4"/>
  <c r="CG589" i="4"/>
  <c r="CI570" i="4"/>
  <c r="CH561" i="4" s="1"/>
  <c r="CI562" i="4"/>
  <c r="CI561" i="4"/>
  <c r="CI560" i="4"/>
  <c r="CH560" i="4"/>
  <c r="BV544" i="4"/>
  <c r="W13" i="2"/>
  <c r="W59" i="2" s="1"/>
  <c r="W12" i="2"/>
  <c r="W58" i="2" s="1"/>
  <c r="W1" i="2"/>
  <c r="W47" i="2" s="1"/>
  <c r="I13" i="2"/>
  <c r="I59" i="2" s="1"/>
  <c r="I12" i="2"/>
  <c r="I58" i="2" s="1"/>
  <c r="CP417" i="3"/>
  <c r="CG448" i="3"/>
  <c r="CH448" i="3" s="1"/>
  <c r="CL448" i="3" s="1"/>
  <c r="CE447" i="3"/>
  <c r="CH447" i="3" s="1"/>
  <c r="CL447" i="3" s="1"/>
  <c r="CL446" i="3"/>
  <c r="CJ446" i="3"/>
  <c r="CE446" i="3"/>
  <c r="CL445" i="3"/>
  <c r="CE444" i="3"/>
  <c r="CH444" i="3" s="1"/>
  <c r="CL444" i="3" s="1"/>
  <c r="CG443" i="3"/>
  <c r="CH443" i="3" s="1"/>
  <c r="CL443" i="3" s="1"/>
  <c r="CE443" i="3"/>
  <c r="CG442" i="3"/>
  <c r="CE442" i="3"/>
  <c r="CH442" i="3" s="1"/>
  <c r="CL442" i="3" s="1"/>
  <c r="CL441" i="3"/>
  <c r="CJ441" i="3"/>
  <c r="CH441" i="3"/>
  <c r="CG441" i="3"/>
  <c r="CJ440" i="3"/>
  <c r="CG440" i="3"/>
  <c r="CE440" i="3"/>
  <c r="CH440" i="3" s="1"/>
  <c r="CL440" i="3" s="1"/>
  <c r="CH439" i="3"/>
  <c r="CL439" i="3" s="1"/>
  <c r="CE439" i="3"/>
  <c r="CG438" i="3"/>
  <c r="CE438" i="3"/>
  <c r="CH438" i="3" s="1"/>
  <c r="CL438" i="3" s="1"/>
  <c r="CE437" i="3"/>
  <c r="CH437" i="3" s="1"/>
  <c r="CL437" i="3" s="1"/>
  <c r="CM443" i="3" s="1"/>
  <c r="CD424" i="3"/>
  <c r="CD423" i="3"/>
  <c r="CC422" i="3"/>
  <c r="CP416" i="3"/>
  <c r="CN511" i="1"/>
  <c r="CJ526" i="1" s="1"/>
  <c r="CE542" i="1"/>
  <c r="CF542" i="1" s="1"/>
  <c r="CC541" i="1"/>
  <c r="CF541" i="1" s="1"/>
  <c r="CH540" i="1"/>
  <c r="CC540" i="1"/>
  <c r="CJ539" i="1"/>
  <c r="CC538" i="1"/>
  <c r="CE537" i="1"/>
  <c r="CC537" i="1"/>
  <c r="CE536" i="1"/>
  <c r="CC536" i="1"/>
  <c r="CH535" i="1"/>
  <c r="CE535" i="1"/>
  <c r="CF535" i="1" s="1"/>
  <c r="CH534" i="1"/>
  <c r="CE534" i="1"/>
  <c r="CC534" i="1"/>
  <c r="CC533" i="1"/>
  <c r="CF533" i="1" s="1"/>
  <c r="CJ533" i="1" s="1"/>
  <c r="CE532" i="1"/>
  <c r="CC532" i="1"/>
  <c r="CC531" i="1"/>
  <c r="CF531" i="1" s="1"/>
  <c r="CJ531" i="1" s="1"/>
  <c r="CG521" i="1"/>
  <c r="CB518" i="1"/>
  <c r="CB517" i="1"/>
  <c r="CA516" i="1"/>
  <c r="CL494" i="1"/>
  <c r="CI494" i="1"/>
  <c r="CL493" i="1"/>
  <c r="CI493" i="1"/>
  <c r="CK492" i="1"/>
  <c r="CI492" i="1"/>
  <c r="CH492" i="1"/>
  <c r="BV476" i="1"/>
  <c r="CC531" i="4"/>
  <c r="CF531" i="4" s="1"/>
  <c r="CJ531" i="4" s="1"/>
  <c r="CM492" i="4" s="1"/>
  <c r="CC464" i="1"/>
  <c r="CF464" i="1" s="1"/>
  <c r="CE396" i="3"/>
  <c r="CC455" i="4"/>
  <c r="CF455" i="4" s="1"/>
  <c r="CE532" i="4"/>
  <c r="CF532" i="4" s="1"/>
  <c r="CJ532" i="4" s="1"/>
  <c r="CJ492" i="4" s="1"/>
  <c r="CH484" i="4" s="1"/>
  <c r="CH530" i="4"/>
  <c r="CC530" i="4"/>
  <c r="CJ529" i="4"/>
  <c r="CC528" i="4"/>
  <c r="CF528" i="4" s="1"/>
  <c r="CJ528" i="4" s="1"/>
  <c r="CE527" i="4"/>
  <c r="CC527" i="4"/>
  <c r="CE526" i="4"/>
  <c r="CC526" i="4"/>
  <c r="CH525" i="4"/>
  <c r="CE525" i="4"/>
  <c r="CF525" i="4" s="1"/>
  <c r="CI508" i="4" s="1"/>
  <c r="CF513" i="4" s="1"/>
  <c r="CH524" i="4"/>
  <c r="CE524" i="4"/>
  <c r="CC524" i="4"/>
  <c r="CC523" i="4"/>
  <c r="CF523" i="4" s="1"/>
  <c r="CJ523" i="4" s="1"/>
  <c r="CE522" i="4"/>
  <c r="CC522" i="4"/>
  <c r="CC521" i="4"/>
  <c r="CF521" i="4" s="1"/>
  <c r="CI504" i="4" s="1"/>
  <c r="CA507" i="4" s="1"/>
  <c r="CJ516" i="4"/>
  <c r="CG511" i="4"/>
  <c r="CB508" i="4"/>
  <c r="CB507" i="4"/>
  <c r="CA506" i="4"/>
  <c r="CL484" i="4"/>
  <c r="CI484" i="4"/>
  <c r="CL483" i="4"/>
  <c r="CI483" i="4"/>
  <c r="CL482" i="4"/>
  <c r="CK482" i="4"/>
  <c r="CI482" i="4"/>
  <c r="CH482" i="4"/>
  <c r="BV466" i="4"/>
  <c r="H12" i="2"/>
  <c r="H58" i="2" s="1"/>
  <c r="V12" i="2"/>
  <c r="V58" i="2" s="1"/>
  <c r="V13" i="2"/>
  <c r="V59" i="2" s="1"/>
  <c r="V1" i="2"/>
  <c r="V47" i="2" s="1"/>
  <c r="CP365" i="3"/>
  <c r="CP366" i="3"/>
  <c r="CL369" i="3" s="1"/>
  <c r="CC373" i="3" s="1"/>
  <c r="CG397" i="3"/>
  <c r="CH397" i="3" s="1"/>
  <c r="CH396" i="3"/>
  <c r="CL396" i="3" s="1"/>
  <c r="CJ395" i="3"/>
  <c r="CL395" i="3" s="1"/>
  <c r="CE395" i="3"/>
  <c r="CL394" i="3"/>
  <c r="CH393" i="3"/>
  <c r="CL393" i="3" s="1"/>
  <c r="CE393" i="3"/>
  <c r="CH392" i="3"/>
  <c r="CL392" i="3" s="1"/>
  <c r="CG392" i="3"/>
  <c r="CE392" i="3"/>
  <c r="CH391" i="3"/>
  <c r="CL391" i="3" s="1"/>
  <c r="CG391" i="3"/>
  <c r="CE391" i="3"/>
  <c r="CJ390" i="3"/>
  <c r="CG390" i="3"/>
  <c r="CH390" i="3" s="1"/>
  <c r="CL390" i="3" s="1"/>
  <c r="CJ389" i="3"/>
  <c r="CG389" i="3"/>
  <c r="CE389" i="3"/>
  <c r="CH389" i="3" s="1"/>
  <c r="CL389" i="3" s="1"/>
  <c r="CE388" i="3"/>
  <c r="CH388" i="3" s="1"/>
  <c r="CL388" i="3" s="1"/>
  <c r="CH387" i="3"/>
  <c r="CL387" i="3" s="1"/>
  <c r="CG387" i="3"/>
  <c r="CE387" i="3"/>
  <c r="CH386" i="3"/>
  <c r="CL386" i="3" s="1"/>
  <c r="CE386" i="3"/>
  <c r="CD373" i="3"/>
  <c r="CD372" i="3"/>
  <c r="CC371" i="3"/>
  <c r="CN434" i="1"/>
  <c r="BN348" i="1" s="1"/>
  <c r="CE465" i="1"/>
  <c r="CF465" i="1" s="1"/>
  <c r="CJ465" i="1" s="1"/>
  <c r="CH463" i="1"/>
  <c r="CC463" i="1"/>
  <c r="CJ462" i="1"/>
  <c r="CC461" i="1"/>
  <c r="CF461" i="1" s="1"/>
  <c r="CJ461" i="1" s="1"/>
  <c r="CE460" i="1"/>
  <c r="CC460" i="1"/>
  <c r="CE459" i="1"/>
  <c r="CC459" i="1"/>
  <c r="CH458" i="1"/>
  <c r="CE458" i="1"/>
  <c r="CF458" i="1" s="1"/>
  <c r="CH457" i="1"/>
  <c r="CE457" i="1"/>
  <c r="CC457" i="1"/>
  <c r="CC456" i="1"/>
  <c r="CF456" i="1" s="1"/>
  <c r="CJ456" i="1" s="1"/>
  <c r="CE455" i="1"/>
  <c r="CC455" i="1"/>
  <c r="CC454" i="1"/>
  <c r="CF454" i="1" s="1"/>
  <c r="CJ454" i="1" s="1"/>
  <c r="CG444" i="1"/>
  <c r="CB441" i="1"/>
  <c r="CB440" i="1"/>
  <c r="CA439" i="1"/>
  <c r="CL417" i="1"/>
  <c r="CI417" i="1"/>
  <c r="CL416" i="1"/>
  <c r="CI416" i="1"/>
  <c r="CL415" i="1"/>
  <c r="CK415" i="1"/>
  <c r="CI415" i="1"/>
  <c r="CH415" i="1"/>
  <c r="BV399" i="1"/>
  <c r="CA430" i="4"/>
  <c r="CB432" i="4"/>
  <c r="CB431" i="4"/>
  <c r="CL408" i="4"/>
  <c r="CL407" i="4"/>
  <c r="CL406" i="4"/>
  <c r="CK406" i="4"/>
  <c r="CJ440" i="4"/>
  <c r="CE456" i="4"/>
  <c r="CF456" i="4" s="1"/>
  <c r="CJ456" i="4" s="1"/>
  <c r="CJ416" i="4" s="1"/>
  <c r="CH406" i="4"/>
  <c r="CI406" i="4"/>
  <c r="CI407" i="4"/>
  <c r="CI408" i="4"/>
  <c r="CH454" i="4"/>
  <c r="CC454" i="4"/>
  <c r="CJ453" i="4"/>
  <c r="CC452" i="4"/>
  <c r="CF452" i="4" s="1"/>
  <c r="CJ452" i="4" s="1"/>
  <c r="CE451" i="4"/>
  <c r="CC451" i="4"/>
  <c r="CE450" i="4"/>
  <c r="CC450" i="4"/>
  <c r="CH449" i="4"/>
  <c r="CE449" i="4"/>
  <c r="CF449" i="4" s="1"/>
  <c r="CH448" i="4"/>
  <c r="CE448" i="4"/>
  <c r="CC448" i="4"/>
  <c r="CC447" i="4"/>
  <c r="CF447" i="4" s="1"/>
  <c r="CJ447" i="4" s="1"/>
  <c r="CE446" i="4"/>
  <c r="CC446" i="4"/>
  <c r="CC445" i="4"/>
  <c r="CF445" i="4" s="1"/>
  <c r="CJ366" i="4"/>
  <c r="CG435" i="4"/>
  <c r="BV390" i="4"/>
  <c r="T12" i="2"/>
  <c r="T58" i="2" s="1"/>
  <c r="T11" i="2"/>
  <c r="T57" i="2" s="1"/>
  <c r="F11" i="2"/>
  <c r="F57" i="2" s="1"/>
  <c r="T13" i="2"/>
  <c r="T59" i="2" s="1"/>
  <c r="T1" i="2"/>
  <c r="T47" i="2" s="1"/>
  <c r="CO258" i="3"/>
  <c r="CJ261" i="3" s="1"/>
  <c r="CN360" i="1"/>
  <c r="BN347" i="1" s="1"/>
  <c r="BM347" i="1" s="1"/>
  <c r="CH389" i="1"/>
  <c r="CC389" i="1"/>
  <c r="CJ388" i="1"/>
  <c r="CC387" i="1"/>
  <c r="CF387" i="1" s="1"/>
  <c r="CJ387" i="1" s="1"/>
  <c r="CE386" i="1"/>
  <c r="CC386" i="1"/>
  <c r="CE385" i="1"/>
  <c r="CC385" i="1"/>
  <c r="CH384" i="1"/>
  <c r="CE384" i="1"/>
  <c r="CF384" i="1" s="1"/>
  <c r="CH383" i="1"/>
  <c r="CE383" i="1"/>
  <c r="CF383" i="1" s="1"/>
  <c r="CC382" i="1"/>
  <c r="CF382" i="1" s="1"/>
  <c r="CJ382" i="1" s="1"/>
  <c r="CE381" i="1"/>
  <c r="CC381" i="1"/>
  <c r="CC380" i="1"/>
  <c r="CF380" i="1" s="1"/>
  <c r="CC378" i="1"/>
  <c r="CG370" i="1"/>
  <c r="BV325" i="1"/>
  <c r="BX352" i="4"/>
  <c r="CI334" i="4"/>
  <c r="CI333" i="4"/>
  <c r="CH332" i="4"/>
  <c r="CI332" i="4"/>
  <c r="CI342" i="4"/>
  <c r="CH333" i="4" s="1"/>
  <c r="CC380" i="4"/>
  <c r="CH380" i="4"/>
  <c r="CJ379" i="4"/>
  <c r="CJ342" i="4" s="1"/>
  <c r="CC378" i="4"/>
  <c r="CF378" i="4" s="1"/>
  <c r="CJ378" i="4" s="1"/>
  <c r="BY342" i="4" s="1"/>
  <c r="CC377" i="4"/>
  <c r="CE377" i="4"/>
  <c r="CC376" i="4"/>
  <c r="CA255" i="4"/>
  <c r="CC373" i="4"/>
  <c r="CF373" i="4" s="1"/>
  <c r="CJ373" i="4" s="1"/>
  <c r="CC372" i="4"/>
  <c r="CC371" i="4"/>
  <c r="CF371" i="4" s="1"/>
  <c r="CA361" i="4" s="1"/>
  <c r="CE376" i="4"/>
  <c r="CH375" i="4"/>
  <c r="CE375" i="4"/>
  <c r="CF375" i="4" s="1"/>
  <c r="CH374" i="4"/>
  <c r="CE374" i="4"/>
  <c r="CF374" i="4" s="1"/>
  <c r="CE372" i="4"/>
  <c r="CG361" i="4"/>
  <c r="BV316" i="4"/>
  <c r="S12" i="2"/>
  <c r="S58" i="2" s="1"/>
  <c r="E12" i="2"/>
  <c r="S11" i="2"/>
  <c r="S57" i="2" s="1"/>
  <c r="E11" i="2"/>
  <c r="E57" i="2" s="1"/>
  <c r="S13" i="2"/>
  <c r="S59" i="2" s="1"/>
  <c r="E13" i="2"/>
  <c r="E59" i="2" s="1"/>
  <c r="O13" i="2"/>
  <c r="O59" i="2" s="1"/>
  <c r="AI59" i="2" s="1"/>
  <c r="S1" i="2"/>
  <c r="S47" i="2" s="1"/>
  <c r="CD293" i="1"/>
  <c r="CC292" i="1"/>
  <c r="BO206" i="1"/>
  <c r="CC311" i="1"/>
  <c r="CF311" i="1" s="1"/>
  <c r="CJ311" i="1" s="1"/>
  <c r="CE310" i="1"/>
  <c r="CC310" i="1"/>
  <c r="CE309" i="1"/>
  <c r="CC309" i="1"/>
  <c r="CH308" i="1"/>
  <c r="CE308" i="1"/>
  <c r="CF308" i="1" s="1"/>
  <c r="CH307" i="1"/>
  <c r="CE307" i="1"/>
  <c r="CC307" i="1"/>
  <c r="CC306" i="1"/>
  <c r="CF306" i="1" s="1"/>
  <c r="CJ306" i="1" s="1"/>
  <c r="CE305" i="1"/>
  <c r="CC305" i="1"/>
  <c r="CC304" i="1"/>
  <c r="CF304" i="1" s="1"/>
  <c r="CI287" i="1" s="1"/>
  <c r="CC293" i="1" s="1"/>
  <c r="CC302" i="1"/>
  <c r="CK299" i="1"/>
  <c r="CJ299" i="1"/>
  <c r="CG294" i="1"/>
  <c r="BV249" i="1"/>
  <c r="CI287" i="3"/>
  <c r="CK287" i="3"/>
  <c r="CK286" i="3"/>
  <c r="CD285" i="3"/>
  <c r="CG285" i="3" s="1"/>
  <c r="CK285" i="3" s="1"/>
  <c r="CF284" i="3"/>
  <c r="CD284" i="3"/>
  <c r="CG284" i="3" s="1"/>
  <c r="CK284" i="3" s="1"/>
  <c r="CF283" i="3"/>
  <c r="CG283" i="3" s="1"/>
  <c r="CK283" i="3" s="1"/>
  <c r="CD283" i="3"/>
  <c r="CI282" i="3"/>
  <c r="CF282" i="3"/>
  <c r="CG282" i="3" s="1"/>
  <c r="CI281" i="3"/>
  <c r="CG281" i="3"/>
  <c r="CK281" i="3" s="1"/>
  <c r="CF281" i="3"/>
  <c r="CD281" i="3"/>
  <c r="CD280" i="3"/>
  <c r="CG280" i="3" s="1"/>
  <c r="CK280" i="3" s="1"/>
  <c r="CF279" i="3"/>
  <c r="CG279" i="3" s="1"/>
  <c r="CK279" i="3" s="1"/>
  <c r="CD279" i="3"/>
  <c r="CG278" i="3"/>
  <c r="CK278" i="3" s="1"/>
  <c r="CD278" i="3"/>
  <c r="CD276" i="3"/>
  <c r="BZ264" i="3"/>
  <c r="BM154" i="4"/>
  <c r="BT197" i="4"/>
  <c r="CE242" i="4"/>
  <c r="CH247" i="4"/>
  <c r="CF261" i="4"/>
  <c r="CA261" i="4"/>
  <c r="CA252" i="4"/>
  <c r="CD252" i="4" s="1"/>
  <c r="CA259" i="4"/>
  <c r="CD259" i="4" s="1"/>
  <c r="CH259" i="4" s="1"/>
  <c r="CH260" i="4"/>
  <c r="CA258" i="4"/>
  <c r="CC258" i="4"/>
  <c r="CA253" i="4"/>
  <c r="CA250" i="4"/>
  <c r="CA202" i="4"/>
  <c r="BV34" i="1"/>
  <c r="BT34" i="1"/>
  <c r="BT40" i="4"/>
  <c r="BV40" i="4"/>
  <c r="CC257" i="4"/>
  <c r="CA257" i="4"/>
  <c r="CF256" i="4"/>
  <c r="CC256" i="4"/>
  <c r="CD256" i="4" s="1"/>
  <c r="CG239" i="4" s="1"/>
  <c r="CD244" i="4" s="1"/>
  <c r="CF255" i="4"/>
  <c r="CC255" i="4"/>
  <c r="CA254" i="4"/>
  <c r="CD254" i="4" s="1"/>
  <c r="CH254" i="4" s="1"/>
  <c r="CC253" i="4"/>
  <c r="BW238" i="4"/>
  <c r="R12" i="2"/>
  <c r="R58" i="2" s="1"/>
  <c r="O12" i="2"/>
  <c r="O58" i="2" s="1"/>
  <c r="AI58" i="2" s="1"/>
  <c r="O11" i="2"/>
  <c r="O57" i="2" s="1"/>
  <c r="AI57" i="2" s="1"/>
  <c r="Q1" i="2"/>
  <c r="Q47" i="2" s="1"/>
  <c r="R1" i="2"/>
  <c r="R47" i="2" s="1"/>
  <c r="R21" i="2"/>
  <c r="R67" i="2" s="1"/>
  <c r="CL141" i="3"/>
  <c r="CG144" i="3" s="1"/>
  <c r="CL140" i="3"/>
  <c r="CL49" i="1"/>
  <c r="CE115" i="1"/>
  <c r="CM87" i="3" s="1"/>
  <c r="CJ88" i="3" s="1"/>
  <c r="CK88" i="3" s="1"/>
  <c r="CM88" i="3" s="1"/>
  <c r="CL49" i="3"/>
  <c r="CE169" i="1"/>
  <c r="BZ172" i="1" s="1"/>
  <c r="BV180" i="1" s="1"/>
  <c r="CC167" i="3"/>
  <c r="CA167" i="3"/>
  <c r="CD167" i="3" s="1"/>
  <c r="CH167" i="3" s="1"/>
  <c r="CC166" i="3"/>
  <c r="CD166" i="3" s="1"/>
  <c r="CA166" i="3"/>
  <c r="CF165" i="3"/>
  <c r="CC165" i="3"/>
  <c r="CD165" i="3" s="1"/>
  <c r="CF164" i="3"/>
  <c r="CD164" i="3"/>
  <c r="CH164" i="3" s="1"/>
  <c r="CC164" i="3"/>
  <c r="CA164" i="3"/>
  <c r="CA163" i="3"/>
  <c r="CD163" i="3" s="1"/>
  <c r="CH163" i="3" s="1"/>
  <c r="CC162" i="3"/>
  <c r="CD162" i="3" s="1"/>
  <c r="CH162" i="3" s="1"/>
  <c r="CA162" i="3"/>
  <c r="CA161" i="3"/>
  <c r="CD161" i="3" s="1"/>
  <c r="BW147" i="3"/>
  <c r="BV178" i="1"/>
  <c r="BV195" i="1"/>
  <c r="BT195" i="1"/>
  <c r="BV194" i="1"/>
  <c r="BT194" i="1"/>
  <c r="BY193" i="1"/>
  <c r="BV193" i="1"/>
  <c r="BW193" i="1" s="1"/>
  <c r="BY192" i="1"/>
  <c r="BV192" i="1"/>
  <c r="BT192" i="1"/>
  <c r="BT191" i="1"/>
  <c r="BW191" i="1" s="1"/>
  <c r="CA191" i="1" s="1"/>
  <c r="BV190" i="1"/>
  <c r="BT190" i="1"/>
  <c r="BT189" i="1"/>
  <c r="BW189" i="1" s="1"/>
  <c r="CA189" i="1" s="1"/>
  <c r="BP160" i="1"/>
  <c r="BM158" i="1"/>
  <c r="BW182" i="4"/>
  <c r="CC201" i="4"/>
  <c r="CG179" i="4"/>
  <c r="CA198" i="4"/>
  <c r="CD198" i="4" s="1"/>
  <c r="CA201" i="4"/>
  <c r="CA197" i="4"/>
  <c r="CC202" i="4"/>
  <c r="CF200" i="4"/>
  <c r="CF139" i="4"/>
  <c r="CF199" i="4"/>
  <c r="CC199" i="4"/>
  <c r="CC197" i="4"/>
  <c r="CA199" i="4"/>
  <c r="CA196" i="4"/>
  <c r="CD196" i="4" s="1"/>
  <c r="CH196" i="4" s="1"/>
  <c r="CC200" i="4"/>
  <c r="CD200" i="4" s="1"/>
  <c r="CG173" i="4"/>
  <c r="BW167" i="4"/>
  <c r="BT165" i="4"/>
  <c r="CE114" i="1"/>
  <c r="BY139" i="1"/>
  <c r="BV139" i="1"/>
  <c r="BW139" i="1" s="1"/>
  <c r="BV138" i="1"/>
  <c r="BW138" i="1" s="1"/>
  <c r="CA138" i="1" s="1"/>
  <c r="BV137" i="1"/>
  <c r="BO89" i="1" s="1"/>
  <c r="BT137" i="1"/>
  <c r="BT135" i="1"/>
  <c r="BW135" i="1" s="1"/>
  <c r="CA135" i="1" s="1"/>
  <c r="BP112" i="1"/>
  <c r="BP111" i="1"/>
  <c r="BS108" i="1"/>
  <c r="BP108" i="1" s="1"/>
  <c r="BP106" i="1"/>
  <c r="BM104" i="1"/>
  <c r="BN97" i="1"/>
  <c r="BJ96" i="1" s="1"/>
  <c r="BM97" i="1"/>
  <c r="BJ97" i="1" s="1"/>
  <c r="BJ95" i="1"/>
  <c r="CI109" i="3"/>
  <c r="CF109" i="3"/>
  <c r="CG109" i="3" s="1"/>
  <c r="CK109" i="3" s="1"/>
  <c r="CG108" i="3"/>
  <c r="CK108" i="3" s="1"/>
  <c r="CF108" i="3"/>
  <c r="CF107" i="3"/>
  <c r="CD107" i="3"/>
  <c r="CG107" i="3" s="1"/>
  <c r="CK107" i="3" s="1"/>
  <c r="CL107" i="3" s="1"/>
  <c r="CK105" i="3"/>
  <c r="CL111" i="3" s="1"/>
  <c r="CG105" i="3"/>
  <c r="CD105" i="3"/>
  <c r="BQ100" i="3"/>
  <c r="BQ99" i="3"/>
  <c r="BQ98" i="3"/>
  <c r="BQ97" i="3"/>
  <c r="BQ96" i="3"/>
  <c r="BQ95" i="3"/>
  <c r="BQ94" i="3"/>
  <c r="BQ93" i="3"/>
  <c r="BZ83" i="3"/>
  <c r="C17" i="2"/>
  <c r="C63" i="2" s="1"/>
  <c r="BN130" i="4"/>
  <c r="BN124" i="4"/>
  <c r="BN125" i="4"/>
  <c r="BN126" i="4"/>
  <c r="BN127" i="4"/>
  <c r="BN128" i="4"/>
  <c r="BN129" i="4"/>
  <c r="BN123" i="4"/>
  <c r="CI712" i="4" l="1"/>
  <c r="CF713" i="4" s="1"/>
  <c r="DN21" i="4"/>
  <c r="DM66" i="4" s="1"/>
  <c r="DF17" i="4"/>
  <c r="BS342" i="4"/>
  <c r="DX17" i="4"/>
  <c r="DV62" i="4" s="1"/>
  <c r="CZ84" i="4"/>
  <c r="DG17" i="4"/>
  <c r="DF62" i="4" s="1"/>
  <c r="CZ68" i="4"/>
  <c r="CI698" i="4"/>
  <c r="CH698" i="4" s="1"/>
  <c r="BY683" i="4" s="1"/>
  <c r="BV685" i="4" s="1"/>
  <c r="BW342" i="4" s="1"/>
  <c r="DD17" i="4"/>
  <c r="DD62" i="4" s="1"/>
  <c r="CZ66" i="4"/>
  <c r="CJ846" i="4"/>
  <c r="DR32" i="4"/>
  <c r="DQ76" i="4" s="1"/>
  <c r="EB17" i="4"/>
  <c r="DZ62" i="4" s="1"/>
  <c r="CZ88" i="4"/>
  <c r="BY335" i="4"/>
  <c r="DV17" i="4"/>
  <c r="DT62" i="4" s="1"/>
  <c r="CZ82" i="4"/>
  <c r="DC17" i="4"/>
  <c r="DC62" i="4" s="1"/>
  <c r="CZ65" i="4"/>
  <c r="DW17" i="4"/>
  <c r="DU62" i="4" s="1"/>
  <c r="CZ83" i="4"/>
  <c r="A117" i="2" a="1"/>
  <c r="A117" i="2" s="1"/>
  <c r="AQ121" i="2" s="1"/>
  <c r="CG121" i="2" s="1"/>
  <c r="AB117" i="2"/>
  <c r="BR121" i="2" s="1"/>
  <c r="AM117" i="2"/>
  <c r="CC121" i="2" s="1"/>
  <c r="B117" i="2"/>
  <c r="AR121" i="2" s="1"/>
  <c r="CH121" i="2" s="1"/>
  <c r="J117" i="2"/>
  <c r="AZ121" i="2" s="1"/>
  <c r="CP121" i="2" s="1"/>
  <c r="AG117" i="2"/>
  <c r="BW121" i="2" s="1"/>
  <c r="A103" i="2"/>
  <c r="AQ103" i="2" s="1"/>
  <c r="CG103" i="2" s="1"/>
  <c r="B103" i="2"/>
  <c r="L103" i="2"/>
  <c r="V103" i="2"/>
  <c r="AH103" i="2"/>
  <c r="C103" i="2"/>
  <c r="M103" i="2"/>
  <c r="X103" i="2"/>
  <c r="AI103" i="2"/>
  <c r="T103" i="2"/>
  <c r="D103" i="2"/>
  <c r="N103" i="2"/>
  <c r="Z103" i="2"/>
  <c r="AJ103" i="2"/>
  <c r="E103" i="2"/>
  <c r="P103" i="2"/>
  <c r="AA103" i="2"/>
  <c r="AK103" i="2"/>
  <c r="AD103" i="2"/>
  <c r="F103" i="2"/>
  <c r="R103" i="2"/>
  <c r="AB103" i="2"/>
  <c r="AL103" i="2"/>
  <c r="H103" i="2"/>
  <c r="S103" i="2"/>
  <c r="AC103" i="2"/>
  <c r="AN103" i="2"/>
  <c r="J103" i="2"/>
  <c r="K103" i="2"/>
  <c r="U103" i="2"/>
  <c r="AF103" i="2"/>
  <c r="AM103" i="2"/>
  <c r="Q103" i="2"/>
  <c r="AE103" i="2"/>
  <c r="I103" i="2"/>
  <c r="W103" i="2"/>
  <c r="AO103" i="2"/>
  <c r="CE103" i="2" s="1"/>
  <c r="O103" i="2"/>
  <c r="Y103" i="2"/>
  <c r="G103" i="2"/>
  <c r="AG103" i="2"/>
  <c r="AD75" i="2"/>
  <c r="AD76" i="2"/>
  <c r="AD77" i="2"/>
  <c r="M57" i="2"/>
  <c r="AA69" i="2"/>
  <c r="AD69" i="2" s="1"/>
  <c r="M59" i="2"/>
  <c r="AA64" i="2"/>
  <c r="AD64" i="2" s="1"/>
  <c r="AG64" i="2" s="1"/>
  <c r="AA70" i="2"/>
  <c r="AD70" i="2" s="1"/>
  <c r="AG70" i="2" s="1"/>
  <c r="AA62" i="2"/>
  <c r="AA72" i="2"/>
  <c r="AD72" i="2" s="1"/>
  <c r="AG72" i="2" s="1"/>
  <c r="F12" i="2"/>
  <c r="F58" i="2" s="1"/>
  <c r="E58" i="2"/>
  <c r="AA56" i="2"/>
  <c r="AD56" i="2" s="1"/>
  <c r="AA73" i="2"/>
  <c r="AD73" i="2" s="1"/>
  <c r="AG73" i="2" s="1"/>
  <c r="AA61" i="2"/>
  <c r="AA60" i="2"/>
  <c r="AD60" i="2" s="1"/>
  <c r="AG60" i="2" s="1"/>
  <c r="AA74" i="2"/>
  <c r="AD74" i="2" s="1"/>
  <c r="AA71" i="2"/>
  <c r="AD71" i="2" s="1"/>
  <c r="AG71" i="2" s="1"/>
  <c r="AA53" i="2"/>
  <c r="AD53" i="2" s="1"/>
  <c r="AA59" i="2"/>
  <c r="AA52" i="2"/>
  <c r="AD52" i="2" s="1"/>
  <c r="AG52" i="2" s="1"/>
  <c r="AA48" i="2"/>
  <c r="AD48" i="2" s="1"/>
  <c r="AG48" i="2" s="1"/>
  <c r="AA68" i="2"/>
  <c r="AD68" i="2" s="1"/>
  <c r="AA55" i="2"/>
  <c r="AD55" i="2" s="1"/>
  <c r="AA54" i="2"/>
  <c r="AD54" i="2" s="1"/>
  <c r="AA63" i="2"/>
  <c r="AA50" i="2"/>
  <c r="AD50" i="2" s="1"/>
  <c r="AA58" i="2"/>
  <c r="AA51" i="2"/>
  <c r="AD51" i="2" s="1"/>
  <c r="AG51" i="2" s="1"/>
  <c r="AA49" i="2"/>
  <c r="AD49" i="2" s="1"/>
  <c r="AG49" i="2" s="1"/>
  <c r="AA57" i="2"/>
  <c r="CL179" i="6"/>
  <c r="CL178" i="6"/>
  <c r="BH332" i="6"/>
  <c r="BJ334" i="6" s="1"/>
  <c r="BK334" i="6" s="1"/>
  <c r="CN353" i="6" s="1"/>
  <c r="CN354" i="6" s="1"/>
  <c r="BX43" i="7"/>
  <c r="BR37" i="7"/>
  <c r="CC50" i="7"/>
  <c r="BG63" i="7"/>
  <c r="BT37" i="7"/>
  <c r="BQ37" i="7" s="1"/>
  <c r="BX94" i="7"/>
  <c r="CJ120" i="7"/>
  <c r="BX104" i="7"/>
  <c r="CN693" i="7"/>
  <c r="CI801" i="7"/>
  <c r="CH230" i="7"/>
  <c r="CI203" i="7"/>
  <c r="CL178" i="7" s="1"/>
  <c r="CJ179" i="7" s="1"/>
  <c r="CJ355" i="7"/>
  <c r="CB362" i="7"/>
  <c r="CB361" i="7" s="1"/>
  <c r="CC361" i="7" s="1"/>
  <c r="BU330" i="7"/>
  <c r="CK528" i="7"/>
  <c r="CN503" i="7" s="1"/>
  <c r="CL504" i="7" s="1"/>
  <c r="CL578" i="7"/>
  <c r="CJ437" i="7"/>
  <c r="CG438" i="7" s="1"/>
  <c r="DZ21" i="7"/>
  <c r="BW23" i="7"/>
  <c r="BZ160" i="7"/>
  <c r="CA160" i="7" s="1"/>
  <c r="CC172" i="7" s="1"/>
  <c r="CC161" i="7" s="1"/>
  <c r="CK606" i="7"/>
  <c r="CN581" i="7" s="1"/>
  <c r="CL582" i="7" s="1"/>
  <c r="CM835" i="7"/>
  <c r="CK836" i="7" s="1"/>
  <c r="CM836" i="7" s="1"/>
  <c r="CK837" i="7" s="1"/>
  <c r="CM837" i="7" s="1"/>
  <c r="DQ33" i="4"/>
  <c r="DP77" i="4" s="1"/>
  <c r="CM835" i="4"/>
  <c r="CL833" i="4"/>
  <c r="DO33" i="4" s="1"/>
  <c r="DN77" i="4" s="1"/>
  <c r="CI704" i="4"/>
  <c r="CJ727" i="4"/>
  <c r="CM702" i="4" s="1"/>
  <c r="CK703" i="4" s="1"/>
  <c r="CI708" i="4"/>
  <c r="CE712" i="4" s="1"/>
  <c r="CF787" i="4"/>
  <c r="CI800" i="4"/>
  <c r="CJ791" i="4" s="1"/>
  <c r="CD786" i="7"/>
  <c r="CD782" i="7"/>
  <c r="CF787" i="7"/>
  <c r="CI800" i="7"/>
  <c r="CG230" i="7"/>
  <c r="BX215" i="7" s="1"/>
  <c r="BU217" i="7" s="1"/>
  <c r="CJ175" i="7"/>
  <c r="CJ181" i="7" s="1"/>
  <c r="CC166" i="7"/>
  <c r="CH75" i="7"/>
  <c r="CI75" i="7" s="1"/>
  <c r="BN54" i="7"/>
  <c r="CH699" i="7"/>
  <c r="BY684" i="7" s="1"/>
  <c r="BV686" i="7" s="1"/>
  <c r="CJ728" i="7"/>
  <c r="CM703" i="7" s="1"/>
  <c r="CK704" i="7" s="1"/>
  <c r="CI705" i="7"/>
  <c r="CJ499" i="7"/>
  <c r="DU21" i="7" s="1"/>
  <c r="BT343" i="7"/>
  <c r="BS343" i="7"/>
  <c r="CK378" i="7"/>
  <c r="CN353" i="7" s="1"/>
  <c r="CK452" i="7"/>
  <c r="CN427" i="7" s="1"/>
  <c r="CL428" i="7" s="1"/>
  <c r="CI259" i="7"/>
  <c r="CL234" i="7" s="1"/>
  <c r="CJ235" i="7" s="1"/>
  <c r="CC105" i="7"/>
  <c r="CC162" i="7"/>
  <c r="BX159" i="7"/>
  <c r="BU161" i="7" s="1"/>
  <c r="BT325" i="7"/>
  <c r="BZ558" i="7"/>
  <c r="BZ557" i="7" s="1"/>
  <c r="BW339" i="7"/>
  <c r="BW562" i="7"/>
  <c r="BV562" i="7" s="1"/>
  <c r="BZ568" i="7"/>
  <c r="CC44" i="7"/>
  <c r="DA20" i="7"/>
  <c r="CC111" i="7"/>
  <c r="CC100" i="7" s="1"/>
  <c r="CC94" i="7" s="1"/>
  <c r="BW108" i="7"/>
  <c r="BT324" i="7"/>
  <c r="DZ28" i="7" s="1"/>
  <c r="BT333" i="7"/>
  <c r="CI423" i="7"/>
  <c r="BZ408" i="7" s="1"/>
  <c r="BW410" i="7" s="1"/>
  <c r="CL424" i="7"/>
  <c r="CL430" i="7" s="1"/>
  <c r="CI349" i="7"/>
  <c r="BZ334" i="7" s="1"/>
  <c r="BW336" i="7" s="1"/>
  <c r="ED23" i="7"/>
  <c r="CI723" i="6"/>
  <c r="CN693" i="6"/>
  <c r="CD787" i="6"/>
  <c r="CD783" i="6"/>
  <c r="CK378" i="6"/>
  <c r="CB362" i="6"/>
  <c r="CI801" i="6"/>
  <c r="CJ788" i="6"/>
  <c r="CH236" i="6"/>
  <c r="CC183" i="6"/>
  <c r="CB364" i="6"/>
  <c r="CC193" i="6"/>
  <c r="CC187" i="6"/>
  <c r="CJ728" i="6"/>
  <c r="CI705" i="6"/>
  <c r="CA361" i="6"/>
  <c r="CH254" i="6"/>
  <c r="BW133" i="6"/>
  <c r="BO127" i="6" s="1"/>
  <c r="BW131" i="6"/>
  <c r="BO125" i="6" s="1"/>
  <c r="BW134" i="6"/>
  <c r="BO128" i="6" s="1"/>
  <c r="BW130" i="6"/>
  <c r="CC132" i="6"/>
  <c r="BW137" i="6"/>
  <c r="BW136" i="6"/>
  <c r="BO130" i="6" s="1"/>
  <c r="CB130" i="6"/>
  <c r="BW132" i="6"/>
  <c r="BO126" i="6" s="1"/>
  <c r="BX126" i="6"/>
  <c r="CC122" i="6"/>
  <c r="BW135" i="6"/>
  <c r="BO129" i="6" s="1"/>
  <c r="BZ130" i="6"/>
  <c r="BO387" i="5"/>
  <c r="BO392" i="5"/>
  <c r="BO394" i="5" s="1"/>
  <c r="BR393" i="5"/>
  <c r="BZ490" i="5"/>
  <c r="BW484" i="5"/>
  <c r="BV484" i="5" s="1"/>
  <c r="BZ480" i="5"/>
  <c r="BZ479" i="5" s="1"/>
  <c r="BO542" i="5"/>
  <c r="BV544" i="5"/>
  <c r="CC44" i="5"/>
  <c r="BT37" i="5"/>
  <c r="BQ37" i="5" s="1"/>
  <c r="BR37" i="5"/>
  <c r="DD41" i="5"/>
  <c r="CB362" i="5"/>
  <c r="CK378" i="5"/>
  <c r="CJ355" i="5"/>
  <c r="CI142" i="5"/>
  <c r="CI259" i="5"/>
  <c r="CA361" i="5"/>
  <c r="BG63" i="5"/>
  <c r="BG62" i="5"/>
  <c r="CI203" i="5"/>
  <c r="CA192" i="5"/>
  <c r="DA20" i="5"/>
  <c r="DV21" i="5"/>
  <c r="BW23" i="5"/>
  <c r="BO54" i="5"/>
  <c r="BV59" i="5"/>
  <c r="CH180" i="5"/>
  <c r="CN693" i="5"/>
  <c r="DB22" i="5"/>
  <c r="BX65" i="5"/>
  <c r="BO131" i="5"/>
  <c r="DC41" i="5"/>
  <c r="BW47" i="5"/>
  <c r="CC50" i="5"/>
  <c r="BW52" i="5"/>
  <c r="CC61" i="5"/>
  <c r="CC60" i="5" s="1"/>
  <c r="DB41" i="5"/>
  <c r="CB717" i="5"/>
  <c r="CD712" i="5"/>
  <c r="CI81" i="5"/>
  <c r="CL56" i="5" s="1"/>
  <c r="CH58" i="5"/>
  <c r="CJ53" i="5" s="1"/>
  <c r="BO124" i="5"/>
  <c r="BX122" i="5"/>
  <c r="BQ121" i="5"/>
  <c r="CJ728" i="5"/>
  <c r="CM703" i="5" s="1"/>
  <c r="CK704" i="5" s="1"/>
  <c r="DQ21" i="5"/>
  <c r="CK700" i="5"/>
  <c r="CH699" i="5"/>
  <c r="BY684" i="5" s="1"/>
  <c r="BV686" i="5" s="1"/>
  <c r="CI801" i="5"/>
  <c r="CJ788" i="5"/>
  <c r="CC40" i="5"/>
  <c r="CJ683" i="4"/>
  <c r="CH334" i="4"/>
  <c r="BY337" i="4"/>
  <c r="BY336" i="4"/>
  <c r="BY340" i="4"/>
  <c r="BY338" i="4"/>
  <c r="CF600" i="4"/>
  <c r="CJ600" i="4" s="1"/>
  <c r="CK590" i="4" s="1"/>
  <c r="CG590" i="4" s="1"/>
  <c r="CF604" i="4"/>
  <c r="CJ604" i="4" s="1"/>
  <c r="BU338" i="4" s="1"/>
  <c r="CJ602" i="4"/>
  <c r="CF446" i="4"/>
  <c r="CJ446" i="4" s="1"/>
  <c r="CK436" i="4" s="1"/>
  <c r="CG436" i="4" s="1"/>
  <c r="CF450" i="4"/>
  <c r="CJ450" i="4" s="1"/>
  <c r="BU336" i="4" s="1"/>
  <c r="BS336" i="4" s="1"/>
  <c r="CF524" i="4"/>
  <c r="CJ524" i="4" s="1"/>
  <c r="CF451" i="4"/>
  <c r="CJ451" i="4" s="1"/>
  <c r="CF527" i="4"/>
  <c r="CJ527" i="4" s="1"/>
  <c r="CF605" i="4"/>
  <c r="CJ605" i="4" s="1"/>
  <c r="CL492" i="4"/>
  <c r="CK483" i="4" s="1"/>
  <c r="CH261" i="4"/>
  <c r="CI247" i="4" s="1"/>
  <c r="CD257" i="4"/>
  <c r="CH257" i="4" s="1"/>
  <c r="BU340" i="4" s="1"/>
  <c r="CJ380" i="4"/>
  <c r="CK366" i="4" s="1"/>
  <c r="CD255" i="4"/>
  <c r="CH255" i="4" s="1"/>
  <c r="CP367" i="3"/>
  <c r="CI492" i="4"/>
  <c r="CH483" i="4" s="1"/>
  <c r="CF522" i="4"/>
  <c r="CJ522" i="4" s="1"/>
  <c r="CK512" i="4" s="1"/>
  <c r="CG512" i="4" s="1"/>
  <c r="CJ608" i="4"/>
  <c r="CK594" i="4" s="1"/>
  <c r="CD202" i="4"/>
  <c r="CH202" i="4" s="1"/>
  <c r="CJ525" i="4"/>
  <c r="CJ508" i="4" s="1"/>
  <c r="CF512" i="4" s="1"/>
  <c r="CF376" i="4"/>
  <c r="CJ376" i="4" s="1"/>
  <c r="BU335" i="4" s="1"/>
  <c r="CF377" i="4"/>
  <c r="CJ377" i="4" s="1"/>
  <c r="CF526" i="4"/>
  <c r="CJ526" i="4" s="1"/>
  <c r="BU337" i="4" s="1"/>
  <c r="CJ530" i="4"/>
  <c r="CK516" i="4" s="1"/>
  <c r="BM348" i="1"/>
  <c r="BL348" i="1"/>
  <c r="CJ294" i="3"/>
  <c r="CC306" i="3" s="1"/>
  <c r="BN349" i="1"/>
  <c r="BL349" i="1" s="1"/>
  <c r="BL347" i="1"/>
  <c r="BN350" i="1"/>
  <c r="CE615" i="1"/>
  <c r="CI615" i="1" s="1"/>
  <c r="BW192" i="1"/>
  <c r="CA192" i="1" s="1"/>
  <c r="CF532" i="1"/>
  <c r="CJ532" i="1" s="1"/>
  <c r="CF310" i="1"/>
  <c r="CJ310" i="1" s="1"/>
  <c r="CJ383" i="1"/>
  <c r="CI612" i="1"/>
  <c r="AI353" i="1"/>
  <c r="CF381" i="1"/>
  <c r="CJ381" i="1" s="1"/>
  <c r="CK371" i="1" s="1"/>
  <c r="CG371" i="1" s="1"/>
  <c r="BW194" i="1"/>
  <c r="CA194" i="1" s="1"/>
  <c r="CF457" i="1"/>
  <c r="CJ457" i="1" s="1"/>
  <c r="BQ92" i="1"/>
  <c r="CJ540" i="1"/>
  <c r="CI363" i="1"/>
  <c r="CC364" i="1" s="1"/>
  <c r="CJ458" i="1"/>
  <c r="CJ441" i="1" s="1"/>
  <c r="CF445" i="1" s="1"/>
  <c r="CJ463" i="1"/>
  <c r="CK449" i="1" s="1"/>
  <c r="CF536" i="1"/>
  <c r="CJ536" i="1" s="1"/>
  <c r="CE614" i="1"/>
  <c r="CI614" i="1" s="1"/>
  <c r="CJ351" i="1"/>
  <c r="CH343" i="1" s="1"/>
  <c r="CF305" i="1"/>
  <c r="CJ305" i="1" s="1"/>
  <c r="CJ295" i="1" s="1"/>
  <c r="CG296" i="1" s="1"/>
  <c r="CF309" i="1"/>
  <c r="CJ309" i="1" s="1"/>
  <c r="CF537" i="1"/>
  <c r="CJ537" i="1" s="1"/>
  <c r="CI425" i="1"/>
  <c r="CH416" i="1" s="1"/>
  <c r="CF534" i="1"/>
  <c r="CJ534" i="1" s="1"/>
  <c r="CJ514" i="1"/>
  <c r="CA518" i="1" s="1"/>
  <c r="AE345" i="1"/>
  <c r="AE349" i="1"/>
  <c r="BN89" i="1"/>
  <c r="CE610" i="1"/>
  <c r="CI610" i="1" s="1"/>
  <c r="CJ600" i="1" s="1"/>
  <c r="CF600" i="1" s="1"/>
  <c r="CI618" i="1"/>
  <c r="AJ345" i="1"/>
  <c r="AJ344" i="1" s="1"/>
  <c r="BN98" i="1"/>
  <c r="BO88" i="1"/>
  <c r="BN99" i="1"/>
  <c r="BW190" i="1"/>
  <c r="CA190" i="1" s="1"/>
  <c r="CF386" i="1"/>
  <c r="CJ386" i="1" s="1"/>
  <c r="CF460" i="1"/>
  <c r="CJ460" i="1" s="1"/>
  <c r="CF538" i="1"/>
  <c r="CJ538" i="1" s="1"/>
  <c r="BW137" i="1"/>
  <c r="CA137" i="1" s="1"/>
  <c r="CB137" i="1" s="1"/>
  <c r="BW195" i="1"/>
  <c r="CA195" i="1" s="1"/>
  <c r="CJ304" i="1"/>
  <c r="CF455" i="1"/>
  <c r="CJ455" i="1" s="1"/>
  <c r="CK445" i="1" s="1"/>
  <c r="CG445" i="1" s="1"/>
  <c r="CI351" i="1"/>
  <c r="CH342" i="1" s="1"/>
  <c r="CI441" i="1"/>
  <c r="CF446" i="1" s="1"/>
  <c r="CJ389" i="1"/>
  <c r="CK375" i="1" s="1"/>
  <c r="CF307" i="1"/>
  <c r="CJ307" i="1" s="1"/>
  <c r="CJ281" i="1" s="1"/>
  <c r="CF385" i="1"/>
  <c r="CJ385" i="1" s="1"/>
  <c r="CJ449" i="1"/>
  <c r="CF459" i="1"/>
  <c r="CJ459" i="1" s="1"/>
  <c r="X350" i="1"/>
  <c r="X340" i="1"/>
  <c r="AU297" i="3"/>
  <c r="CK311" i="3"/>
  <c r="CL317" i="3"/>
  <c r="CM493" i="3"/>
  <c r="CC473" i="3"/>
  <c r="CJ604" i="1"/>
  <c r="CI580" i="1"/>
  <c r="CG572" i="1" s="1"/>
  <c r="CH580" i="1"/>
  <c r="CG571" i="1" s="1"/>
  <c r="CL470" i="3"/>
  <c r="CP468" i="3"/>
  <c r="CN469" i="3" s="1"/>
  <c r="CH592" i="1"/>
  <c r="CB592" i="1" s="1"/>
  <c r="CI609" i="1"/>
  <c r="CI613" i="1"/>
  <c r="CI596" i="1" s="1"/>
  <c r="CE600" i="1" s="1"/>
  <c r="CH596" i="1"/>
  <c r="CE601" i="1" s="1"/>
  <c r="CJ603" i="4"/>
  <c r="CJ586" i="4" s="1"/>
  <c r="CF590" i="4" s="1"/>
  <c r="CI586" i="4"/>
  <c r="CF591" i="4" s="1"/>
  <c r="CJ599" i="4"/>
  <c r="CI582" i="4"/>
  <c r="CC582" i="4" s="1"/>
  <c r="CK420" i="3"/>
  <c r="CC423" i="3" s="1"/>
  <c r="CL420" i="3"/>
  <c r="CP418" i="3"/>
  <c r="CN419" i="3" s="1"/>
  <c r="CK526" i="1"/>
  <c r="CI514" i="1"/>
  <c r="CA517" i="1" s="1"/>
  <c r="CK522" i="1"/>
  <c r="CG522" i="1" s="1"/>
  <c r="CJ522" i="1"/>
  <c r="CG523" i="1" s="1"/>
  <c r="CL502" i="1"/>
  <c r="CK493" i="1" s="1"/>
  <c r="CJ541" i="1"/>
  <c r="CM502" i="1" s="1"/>
  <c r="CK494" i="1" s="1"/>
  <c r="CI518" i="1"/>
  <c r="CF523" i="1" s="1"/>
  <c r="CJ535" i="1"/>
  <c r="CJ518" i="1" s="1"/>
  <c r="CF522" i="1" s="1"/>
  <c r="CJ542" i="1"/>
  <c r="CJ502" i="1" s="1"/>
  <c r="CH494" i="1" s="1"/>
  <c r="CI502" i="1"/>
  <c r="CH493" i="1" s="1"/>
  <c r="CK484" i="4"/>
  <c r="CJ521" i="4"/>
  <c r="CL397" i="3"/>
  <c r="CM392" i="3" s="1"/>
  <c r="CK369" i="3"/>
  <c r="CC372" i="3" s="1"/>
  <c r="CJ425" i="1"/>
  <c r="CH417" i="1" s="1"/>
  <c r="CI437" i="1"/>
  <c r="CA440" i="1" s="1"/>
  <c r="CJ437" i="1"/>
  <c r="CA441" i="1" s="1"/>
  <c r="CJ464" i="1"/>
  <c r="CM425" i="1" s="1"/>
  <c r="CK417" i="1" s="1"/>
  <c r="CL425" i="1"/>
  <c r="CK416" i="1" s="1"/>
  <c r="CL416" i="4"/>
  <c r="CK407" i="4" s="1"/>
  <c r="CJ455" i="4"/>
  <c r="CM416" i="4" s="1"/>
  <c r="CK408" i="4" s="1"/>
  <c r="CJ449" i="4"/>
  <c r="CJ432" i="4" s="1"/>
  <c r="CF436" i="4" s="1"/>
  <c r="CH408" i="4"/>
  <c r="CI416" i="4"/>
  <c r="CH407" i="4" s="1"/>
  <c r="CJ454" i="4"/>
  <c r="CK440" i="4" s="1"/>
  <c r="CJ375" i="1"/>
  <c r="CA191" i="4"/>
  <c r="CB363" i="4" s="1"/>
  <c r="CI432" i="4"/>
  <c r="CF437" i="4" s="1"/>
  <c r="CK261" i="3"/>
  <c r="CI354" i="4"/>
  <c r="CJ375" i="4"/>
  <c r="CI358" i="4"/>
  <c r="CF363" i="4" s="1"/>
  <c r="CJ445" i="4"/>
  <c r="CI428" i="4"/>
  <c r="CA431" i="4" s="1"/>
  <c r="CJ374" i="4"/>
  <c r="CF448" i="4"/>
  <c r="CJ448" i="4" s="1"/>
  <c r="CO259" i="3"/>
  <c r="CJ380" i="1"/>
  <c r="CJ363" i="1" s="1"/>
  <c r="CC363" i="1" s="1"/>
  <c r="CJ384" i="1"/>
  <c r="CJ367" i="1" s="1"/>
  <c r="CF371" i="1" s="1"/>
  <c r="CI367" i="1"/>
  <c r="CF372" i="1" s="1"/>
  <c r="CF372" i="4"/>
  <c r="CJ371" i="4"/>
  <c r="CJ308" i="1"/>
  <c r="CJ291" i="1" s="1"/>
  <c r="CF295" i="1" s="1"/>
  <c r="CI291" i="1"/>
  <c r="CF296" i="1" s="1"/>
  <c r="CK282" i="3"/>
  <c r="CC273" i="3"/>
  <c r="CC307" i="3" s="1"/>
  <c r="CD253" i="4"/>
  <c r="CD258" i="4"/>
  <c r="CH258" i="4" s="1"/>
  <c r="CH200" i="4"/>
  <c r="BZ164" i="4" s="1"/>
  <c r="BT166" i="4" s="1"/>
  <c r="BZ191" i="4"/>
  <c r="CA363" i="4" s="1"/>
  <c r="CH252" i="4"/>
  <c r="CH235" i="4" s="1"/>
  <c r="CG235" i="4"/>
  <c r="BZ247" i="4" s="1"/>
  <c r="CA362" i="4" s="1"/>
  <c r="BY164" i="4"/>
  <c r="BT167" i="4" s="1"/>
  <c r="CD197" i="4"/>
  <c r="CH197" i="4" s="1"/>
  <c r="CD201" i="4"/>
  <c r="BZ169" i="4" s="1"/>
  <c r="CA169" i="4" s="1"/>
  <c r="CH179" i="4"/>
  <c r="DA26" i="4" s="1"/>
  <c r="DA70" i="4" s="1"/>
  <c r="BZ112" i="1"/>
  <c r="BR103" i="1" s="1"/>
  <c r="BM106" i="1" s="1"/>
  <c r="CL142" i="3"/>
  <c r="CH144" i="3" s="1"/>
  <c r="CH256" i="4"/>
  <c r="CH239" i="4" s="1"/>
  <c r="BZ166" i="1"/>
  <c r="BR157" i="1" s="1"/>
  <c r="BM160" i="1" s="1"/>
  <c r="CH161" i="3"/>
  <c r="BZ156" i="3"/>
  <c r="CC308" i="3" s="1"/>
  <c r="CH165" i="3"/>
  <c r="CH166" i="3"/>
  <c r="CA193" i="1"/>
  <c r="CA172" i="1"/>
  <c r="BV179" i="1" s="1"/>
  <c r="CH198" i="4"/>
  <c r="BY341" i="4" s="1"/>
  <c r="CD199" i="4"/>
  <c r="CH199" i="4" s="1"/>
  <c r="BT108" i="1"/>
  <c r="CA139" i="1"/>
  <c r="CF90" i="3"/>
  <c r="CD99" i="3"/>
  <c r="CN692" i="4" l="1"/>
  <c r="DU42" i="4"/>
  <c r="DS85" i="4" s="1"/>
  <c r="CH229" i="4"/>
  <c r="M117" i="2"/>
  <c r="BC121" i="2" s="1"/>
  <c r="CS121" i="2" s="1"/>
  <c r="O117" i="2"/>
  <c r="BE121" i="2" s="1"/>
  <c r="CU121" i="2" s="1"/>
  <c r="Y117" i="2"/>
  <c r="AK117" i="2"/>
  <c r="CA121" i="2" s="1"/>
  <c r="BO103" i="2"/>
  <c r="CZ103" i="2" s="1"/>
  <c r="BK103" i="2"/>
  <c r="BR103" i="2"/>
  <c r="S117" i="2"/>
  <c r="BI121" i="2" s="1"/>
  <c r="AC117" i="2"/>
  <c r="BS121" i="2" s="1"/>
  <c r="R117" i="2"/>
  <c r="BH121" i="2" s="1"/>
  <c r="CX121" i="2" s="1"/>
  <c r="AF117" i="2"/>
  <c r="BV121" i="2" s="1"/>
  <c r="E117" i="2"/>
  <c r="AU121" i="2" s="1"/>
  <c r="CK121" i="2" s="1"/>
  <c r="U117" i="2"/>
  <c r="BK121" i="2" s="1"/>
  <c r="AZ103" i="2"/>
  <c r="CP103" i="2" s="1"/>
  <c r="Q117" i="2"/>
  <c r="BG121" i="2" s="1"/>
  <c r="CW121" i="2" s="1"/>
  <c r="AI117" i="2"/>
  <c r="BY121" i="2" s="1"/>
  <c r="N117" i="2"/>
  <c r="BD121" i="2" s="1"/>
  <c r="CT121" i="2" s="1"/>
  <c r="W117" i="2"/>
  <c r="BM121" i="2" s="1"/>
  <c r="G117" i="2"/>
  <c r="AW121" i="2" s="1"/>
  <c r="CM121" i="2" s="1"/>
  <c r="AY103" i="2"/>
  <c r="CO103" i="2" s="1"/>
  <c r="CD103" i="2"/>
  <c r="AA117" i="2"/>
  <c r="BQ103" i="2" s="1"/>
  <c r="DB103" i="2" s="1"/>
  <c r="K117" i="2"/>
  <c r="BA121" i="2" s="1"/>
  <c r="CQ121" i="2" s="1"/>
  <c r="AN117" i="2"/>
  <c r="CD121" i="2" s="1"/>
  <c r="L117" i="2"/>
  <c r="BB121" i="2" s="1"/>
  <c r="CR121" i="2" s="1"/>
  <c r="AE117" i="2"/>
  <c r="BU121" i="2" s="1"/>
  <c r="CA103" i="2"/>
  <c r="AO117" i="2"/>
  <c r="Z117" i="2"/>
  <c r="BP103" i="2" s="1"/>
  <c r="DA103" i="2" s="1"/>
  <c r="D117" i="2"/>
  <c r="AT121" i="2" s="1"/>
  <c r="CJ121" i="2" s="1"/>
  <c r="AJ117" i="2"/>
  <c r="BZ121" i="2" s="1"/>
  <c r="T117" i="2"/>
  <c r="BJ121" i="2" s="1"/>
  <c r="C117" i="2"/>
  <c r="AS121" i="2" s="1"/>
  <c r="CI121" i="2" s="1"/>
  <c r="AD117" i="2"/>
  <c r="BT121" i="2" s="1"/>
  <c r="AL117" i="2"/>
  <c r="CB121" i="2" s="1"/>
  <c r="V117" i="2"/>
  <c r="BL121" i="2" s="1"/>
  <c r="F117" i="2"/>
  <c r="AV121" i="2" s="1"/>
  <c r="CL121" i="2" s="1"/>
  <c r="AH117" i="2"/>
  <c r="BX121" i="2" s="1"/>
  <c r="I117" i="2"/>
  <c r="AY121" i="2" s="1"/>
  <c r="CO121" i="2" s="1"/>
  <c r="P117" i="2"/>
  <c r="BF121" i="2" s="1"/>
  <c r="CV121" i="2" s="1"/>
  <c r="X117" i="2"/>
  <c r="BN103" i="2" s="1"/>
  <c r="CY103" i="2" s="1"/>
  <c r="H117" i="2"/>
  <c r="AX121" i="2" s="1"/>
  <c r="CN121" i="2" s="1"/>
  <c r="CB103" i="2"/>
  <c r="AR103" i="2"/>
  <c r="CH103" i="2" s="1"/>
  <c r="BW103" i="2"/>
  <c r="BI103" i="2"/>
  <c r="BY103" i="2"/>
  <c r="CC103" i="2"/>
  <c r="AD57" i="2"/>
  <c r="AG57" i="2" s="1"/>
  <c r="M58" i="2"/>
  <c r="AD58" i="2" s="1"/>
  <c r="AG58" i="2" s="1"/>
  <c r="AD59" i="2"/>
  <c r="AG59" i="2" s="1"/>
  <c r="CL234" i="6"/>
  <c r="CL235" i="6"/>
  <c r="DW29" i="6"/>
  <c r="CM703" i="6"/>
  <c r="DW26" i="6"/>
  <c r="CM704" i="6"/>
  <c r="CC362" i="7"/>
  <c r="CL584" i="7"/>
  <c r="DC21" i="7"/>
  <c r="CL832" i="7"/>
  <c r="CL832" i="4"/>
  <c r="DZ34" i="4" s="1"/>
  <c r="DX78" i="4" s="1"/>
  <c r="CK836" i="4"/>
  <c r="CM836" i="4" s="1"/>
  <c r="DR34" i="4"/>
  <c r="DQ78" i="4" s="1"/>
  <c r="CJ802" i="4"/>
  <c r="CM777" i="4" s="1"/>
  <c r="CH253" i="4"/>
  <c r="CI243" i="4" s="1"/>
  <c r="CE243" i="4" s="1"/>
  <c r="CH243" i="4"/>
  <c r="CE244" i="4" s="1"/>
  <c r="CM821" i="4"/>
  <c r="CJ802" i="7"/>
  <c r="CM777" i="7" s="1"/>
  <c r="CK778" i="7" s="1"/>
  <c r="CK780" i="7" s="1"/>
  <c r="CB790" i="7"/>
  <c r="CD781" i="7"/>
  <c r="BZ340" i="7"/>
  <c r="BZ330" i="7"/>
  <c r="BZ329" i="7" s="1"/>
  <c r="CL350" i="7"/>
  <c r="BU98" i="7"/>
  <c r="BQ97" i="7" s="1"/>
  <c r="BT98" i="7"/>
  <c r="BQ98" i="7" s="1"/>
  <c r="CL354" i="7"/>
  <c r="EA38" i="7"/>
  <c r="CL500" i="7"/>
  <c r="CL506" i="7" s="1"/>
  <c r="CI499" i="7"/>
  <c r="BZ484" i="7" s="1"/>
  <c r="BW486" i="7" s="1"/>
  <c r="CJ231" i="7"/>
  <c r="CJ237" i="7" s="1"/>
  <c r="BV59" i="7"/>
  <c r="BO54" i="7"/>
  <c r="CH58" i="7"/>
  <c r="CI81" i="7"/>
  <c r="CL56" i="7" s="1"/>
  <c r="CA69" i="7"/>
  <c r="BO542" i="7"/>
  <c r="BV544" i="7"/>
  <c r="CC95" i="7"/>
  <c r="DZ20" i="7"/>
  <c r="BZ404" i="7"/>
  <c r="BZ403" i="7" s="1"/>
  <c r="BZ414" i="7"/>
  <c r="BW408" i="7"/>
  <c r="BV408" i="7" s="1"/>
  <c r="BW337" i="7"/>
  <c r="BX221" i="7"/>
  <c r="BU215" i="7"/>
  <c r="BT215" i="7" s="1"/>
  <c r="BW341" i="7"/>
  <c r="BX211" i="7"/>
  <c r="BX210" i="7" s="1"/>
  <c r="BT197" i="7" s="1"/>
  <c r="BX165" i="7"/>
  <c r="BW342" i="7"/>
  <c r="BX155" i="7"/>
  <c r="BX154" i="7" s="1"/>
  <c r="BM154" i="7" s="1"/>
  <c r="BU159" i="7"/>
  <c r="BT159" i="7" s="1"/>
  <c r="BY690" i="7"/>
  <c r="BY680" i="7"/>
  <c r="BY679" i="7" s="1"/>
  <c r="BV684" i="7"/>
  <c r="BU684" i="7" s="1"/>
  <c r="BW343" i="7"/>
  <c r="CB717" i="7"/>
  <c r="CK700" i="7"/>
  <c r="CK706" i="7" s="1"/>
  <c r="AZ318" i="7"/>
  <c r="AZ317" i="7"/>
  <c r="AU332" i="6"/>
  <c r="CN768" i="6"/>
  <c r="CF788" i="6"/>
  <c r="CB791" i="6"/>
  <c r="CD782" i="6"/>
  <c r="CJ803" i="6"/>
  <c r="CM778" i="6" s="1"/>
  <c r="CK779" i="6" s="1"/>
  <c r="CK781" i="6" s="1"/>
  <c r="CJ792" i="6"/>
  <c r="CF793" i="6" s="1"/>
  <c r="CF794" i="6" s="1"/>
  <c r="BO131" i="6"/>
  <c r="CD712" i="6"/>
  <c r="CB717" i="6"/>
  <c r="CA248" i="6"/>
  <c r="CC243" i="6"/>
  <c r="CI259" i="6"/>
  <c r="BO124" i="6"/>
  <c r="BX122" i="6"/>
  <c r="BQ121" i="6"/>
  <c r="CC182" i="6"/>
  <c r="BR394" i="5"/>
  <c r="CO416" i="5"/>
  <c r="BO541" i="5"/>
  <c r="BO546" i="5"/>
  <c r="BO548" i="5" s="1"/>
  <c r="BR547" i="5"/>
  <c r="BV466" i="5"/>
  <c r="BO464" i="5"/>
  <c r="BS538" i="5"/>
  <c r="BX61" i="5"/>
  <c r="BX60" i="5" s="1"/>
  <c r="BX67" i="5" s="1"/>
  <c r="BQ60" i="5"/>
  <c r="DE37" i="5"/>
  <c r="CB364" i="5"/>
  <c r="CC183" i="5"/>
  <c r="CC182" i="5" s="1"/>
  <c r="CC193" i="5"/>
  <c r="CA248" i="5"/>
  <c r="CC243" i="5"/>
  <c r="CD363" i="5"/>
  <c r="CD353" i="5"/>
  <c r="CD357" i="5"/>
  <c r="DQ26" i="5"/>
  <c r="DW34" i="5"/>
  <c r="BX132" i="5"/>
  <c r="BX128" i="5"/>
  <c r="BK54" i="5"/>
  <c r="DT23" i="5"/>
  <c r="BQ56" i="5"/>
  <c r="BQ55" i="5" s="1"/>
  <c r="BQ62" i="5" s="1"/>
  <c r="BQ66" i="5"/>
  <c r="BX71" i="5"/>
  <c r="BY690" i="5"/>
  <c r="BY680" i="5"/>
  <c r="BY679" i="5" s="1"/>
  <c r="BV684" i="5"/>
  <c r="BU684" i="5" s="1"/>
  <c r="BQ127" i="5"/>
  <c r="BQ117" i="5"/>
  <c r="CC71" i="5"/>
  <c r="DC21" i="5"/>
  <c r="BK60" i="5"/>
  <c r="CN768" i="5"/>
  <c r="CF788" i="5"/>
  <c r="CK706" i="5"/>
  <c r="DA19" i="5"/>
  <c r="CC65" i="5"/>
  <c r="CC67" i="5" s="1"/>
  <c r="DZ23" i="5"/>
  <c r="DA26" i="5"/>
  <c r="CC187" i="5"/>
  <c r="CD708" i="5"/>
  <c r="CD707" i="5" s="1"/>
  <c r="CD718" i="5"/>
  <c r="CB365" i="5"/>
  <c r="DV28" i="5"/>
  <c r="CJ792" i="5"/>
  <c r="CF793" i="5" s="1"/>
  <c r="CF794" i="5" s="1"/>
  <c r="CJ803" i="5"/>
  <c r="CM778" i="5" s="1"/>
  <c r="CK779" i="5" s="1"/>
  <c r="CK781" i="5" s="1"/>
  <c r="CJ57" i="5"/>
  <c r="CJ59" i="5" s="1"/>
  <c r="DW18" i="5"/>
  <c r="CD786" i="4"/>
  <c r="BN663" i="4"/>
  <c r="CB716" i="4"/>
  <c r="CB364" i="4" s="1"/>
  <c r="CD711" i="4"/>
  <c r="BY679" i="4"/>
  <c r="BY678" i="4" s="1"/>
  <c r="BU665" i="4" s="1"/>
  <c r="BY689" i="4"/>
  <c r="BV683" i="4"/>
  <c r="BU683" i="4" s="1"/>
  <c r="CK699" i="4"/>
  <c r="CK705" i="4" s="1"/>
  <c r="CJ422" i="4"/>
  <c r="CI422" i="4" s="1"/>
  <c r="BZ407" i="4" s="1"/>
  <c r="BW409" i="4" s="1"/>
  <c r="BW336" i="4" s="1"/>
  <c r="CJ498" i="4"/>
  <c r="CI498" i="4" s="1"/>
  <c r="BZ483" i="4" s="1"/>
  <c r="BW485" i="4" s="1"/>
  <c r="BW337" i="4" s="1"/>
  <c r="BK337" i="4" s="1"/>
  <c r="CJ590" i="4"/>
  <c r="CG591" i="4" s="1"/>
  <c r="CJ576" i="4"/>
  <c r="CI576" i="4" s="1"/>
  <c r="BZ561" i="4" s="1"/>
  <c r="BW563" i="4" s="1"/>
  <c r="BW561" i="4" s="1"/>
  <c r="BV561" i="4" s="1"/>
  <c r="CJ348" i="4"/>
  <c r="CI348" i="4" s="1"/>
  <c r="BZ333" i="4" s="1"/>
  <c r="BW335" i="4" s="1"/>
  <c r="BZ329" i="4" s="1"/>
  <c r="BZ328" i="4" s="1"/>
  <c r="BS340" i="4"/>
  <c r="BT340" i="4"/>
  <c r="BS338" i="4"/>
  <c r="BT338" i="4"/>
  <c r="CJ436" i="4"/>
  <c r="CG437" i="4" s="1"/>
  <c r="CJ512" i="4"/>
  <c r="CG513" i="4" s="1"/>
  <c r="BT336" i="4"/>
  <c r="CA360" i="4"/>
  <c r="BZ159" i="4"/>
  <c r="CA159" i="4" s="1"/>
  <c r="BX158" i="4" s="1"/>
  <c r="BU160" i="4" s="1"/>
  <c r="BM349" i="1"/>
  <c r="CC182" i="4"/>
  <c r="BT337" i="4"/>
  <c r="BS337" i="4"/>
  <c r="CC192" i="4"/>
  <c r="CN368" i="3"/>
  <c r="BT335" i="4"/>
  <c r="BS335" i="4"/>
  <c r="CK527" i="4"/>
  <c r="CN502" i="4" s="1"/>
  <c r="CL503" i="4" s="1"/>
  <c r="BM350" i="1"/>
  <c r="BL350" i="1"/>
  <c r="CC305" i="3"/>
  <c r="CJ371" i="1"/>
  <c r="CG372" i="1" s="1"/>
  <c r="BN88" i="1"/>
  <c r="BN90" i="1" s="1"/>
  <c r="CI586" i="1"/>
  <c r="CH586" i="1" s="1"/>
  <c r="BY571" i="1" s="1"/>
  <c r="BV573" i="1" s="1"/>
  <c r="BV571" i="1" s="1"/>
  <c r="BU571" i="1" s="1"/>
  <c r="CK310" i="1"/>
  <c r="CN285" i="1" s="1"/>
  <c r="CL286" i="1" s="1"/>
  <c r="AE355" i="1"/>
  <c r="CJ431" i="1"/>
  <c r="CI431" i="1" s="1"/>
  <c r="BZ416" i="1" s="1"/>
  <c r="BW418" i="1" s="1"/>
  <c r="AE351" i="1"/>
  <c r="CJ508" i="1"/>
  <c r="CL509" i="1" s="1"/>
  <c r="CJ287" i="1"/>
  <c r="CD294" i="1" s="1"/>
  <c r="CJ445" i="1"/>
  <c r="CG446" i="1" s="1"/>
  <c r="CJ357" i="1"/>
  <c r="CI357" i="1" s="1"/>
  <c r="BZ342" i="1" s="1"/>
  <c r="BW344" i="1" s="1"/>
  <c r="CI600" i="1"/>
  <c r="CF601" i="1" s="1"/>
  <c r="CK295" i="1"/>
  <c r="CG295" i="1" s="1"/>
  <c r="AJ355" i="1"/>
  <c r="BQ93" i="1"/>
  <c r="BU34" i="1"/>
  <c r="CB195" i="1"/>
  <c r="CE170" i="1" s="1"/>
  <c r="CC171" i="1" s="1"/>
  <c r="X344" i="1"/>
  <c r="X346" i="1" s="1"/>
  <c r="CK294" i="3"/>
  <c r="CD306" i="3" s="1"/>
  <c r="CO292" i="3"/>
  <c r="CC474" i="3"/>
  <c r="CN465" i="3"/>
  <c r="CN471" i="3" s="1"/>
  <c r="CI592" i="1"/>
  <c r="CJ615" i="1"/>
  <c r="CM590" i="1" s="1"/>
  <c r="CK591" i="1" s="1"/>
  <c r="CJ582" i="4"/>
  <c r="CK605" i="4"/>
  <c r="CN580" i="4" s="1"/>
  <c r="CL581" i="4" s="1"/>
  <c r="CC424" i="3"/>
  <c r="CN415" i="3"/>
  <c r="CN421" i="3" s="1"/>
  <c r="CK537" i="1"/>
  <c r="CN512" i="1" s="1"/>
  <c r="CL513" i="1" s="1"/>
  <c r="CK460" i="1"/>
  <c r="CJ504" i="4"/>
  <c r="CA508" i="4" s="1"/>
  <c r="CN364" i="3"/>
  <c r="CJ428" i="4"/>
  <c r="CA432" i="4" s="1"/>
  <c r="CK451" i="4"/>
  <c r="CN426" i="4" s="1"/>
  <c r="CL427" i="4" s="1"/>
  <c r="CJ358" i="4"/>
  <c r="CF362" i="4" s="1"/>
  <c r="CJ354" i="4"/>
  <c r="DU26" i="4" s="1"/>
  <c r="DS70" i="4" s="1"/>
  <c r="CB361" i="4"/>
  <c r="CJ372" i="4"/>
  <c r="CK362" i="4" s="1"/>
  <c r="CG362" i="4" s="1"/>
  <c r="CJ362" i="4"/>
  <c r="CG363" i="4" s="1"/>
  <c r="BS98" i="1"/>
  <c r="BT98" i="1"/>
  <c r="BQ97" i="1" s="1"/>
  <c r="CK386" i="1"/>
  <c r="CN361" i="1" s="1"/>
  <c r="CL362" i="1" s="1"/>
  <c r="CI281" i="1"/>
  <c r="BZ266" i="1" s="1"/>
  <c r="BW268" i="1" s="1"/>
  <c r="CF268" i="3"/>
  <c r="CD273" i="3"/>
  <c r="CD307" i="3" s="1"/>
  <c r="CL284" i="3"/>
  <c r="CC186" i="4"/>
  <c r="BS103" i="1"/>
  <c r="BM105" i="1" s="1"/>
  <c r="BW168" i="4"/>
  <c r="CD243" i="4"/>
  <c r="CH201" i="4"/>
  <c r="CI258" i="4"/>
  <c r="CL233" i="4" s="1"/>
  <c r="CJ234" i="4" s="1"/>
  <c r="BS157" i="1"/>
  <c r="BM159" i="1" s="1"/>
  <c r="BS162" i="1"/>
  <c r="BT162" i="1" s="1"/>
  <c r="BS152" i="1"/>
  <c r="BT152" i="1" s="1"/>
  <c r="BQ151" i="1" s="1"/>
  <c r="BN153" i="1" s="1"/>
  <c r="CI167" i="3"/>
  <c r="CA156" i="3"/>
  <c r="CD308" i="3" s="1"/>
  <c r="CA166" i="1"/>
  <c r="CB141" i="1"/>
  <c r="BP107" i="1"/>
  <c r="BV131" i="1"/>
  <c r="CA112" i="1"/>
  <c r="CE116" i="1" s="1"/>
  <c r="BZ99" i="3"/>
  <c r="BZ102" i="3"/>
  <c r="BR96" i="3" s="1"/>
  <c r="BZ103" i="3"/>
  <c r="BR97" i="3" s="1"/>
  <c r="BZ104" i="3"/>
  <c r="BR98" i="3" s="1"/>
  <c r="BZ105" i="3"/>
  <c r="BR99" i="3" s="1"/>
  <c r="BZ106" i="3"/>
  <c r="BR100" i="3" s="1"/>
  <c r="BZ100" i="3"/>
  <c r="BR94" i="3" s="1"/>
  <c r="BZ101" i="3"/>
  <c r="BR95" i="3" s="1"/>
  <c r="CA95" i="3"/>
  <c r="CF91" i="3"/>
  <c r="CC99" i="3"/>
  <c r="CE99" i="3"/>
  <c r="CF101" i="3"/>
  <c r="CF95" i="3"/>
  <c r="CK778" i="4" l="1"/>
  <c r="CK780" i="4" s="1"/>
  <c r="EA31" i="4"/>
  <c r="DY75" i="4" s="1"/>
  <c r="BX103" i="2"/>
  <c r="BC103" i="2"/>
  <c r="CS103" i="2" s="1"/>
  <c r="AU103" i="2"/>
  <c r="CK103" i="2" s="1"/>
  <c r="BF103" i="2"/>
  <c r="CV103" i="2" s="1"/>
  <c r="BD103" i="2"/>
  <c r="CT103" i="2" s="1"/>
  <c r="BE103" i="2"/>
  <c r="CU103" i="2" s="1"/>
  <c r="BV103" i="2"/>
  <c r="AV103" i="2"/>
  <c r="CL103" i="2" s="1"/>
  <c r="BH103" i="2"/>
  <c r="CX103" i="2" s="1"/>
  <c r="BS103" i="2"/>
  <c r="BG103" i="2"/>
  <c r="CW103" i="2" s="1"/>
  <c r="BA103" i="2"/>
  <c r="CQ103" i="2" s="1"/>
  <c r="AX103" i="2"/>
  <c r="CN103" i="2" s="1"/>
  <c r="BM103" i="2"/>
  <c r="BB103" i="2"/>
  <c r="CR103" i="2" s="1"/>
  <c r="BJ103" i="2"/>
  <c r="AT103" i="2"/>
  <c r="CJ103" i="2" s="1"/>
  <c r="AS103" i="2"/>
  <c r="CI103" i="2" s="1"/>
  <c r="AW103" i="2"/>
  <c r="CM103" i="2" s="1"/>
  <c r="BU103" i="2"/>
  <c r="BT103" i="2"/>
  <c r="BL103" i="2"/>
  <c r="BZ103" i="2"/>
  <c r="CL356" i="7"/>
  <c r="CK837" i="4"/>
  <c r="CM837" i="4" s="1"/>
  <c r="EA36" i="4" s="1"/>
  <c r="DY80" i="4" s="1"/>
  <c r="DS35" i="4"/>
  <c r="DR79" i="4" s="1"/>
  <c r="CN767" i="4"/>
  <c r="DN45" i="4" s="1"/>
  <c r="DM88" i="4" s="1"/>
  <c r="CF792" i="4"/>
  <c r="CF793" i="4" s="1"/>
  <c r="CD352" i="4"/>
  <c r="CD351" i="4" s="1"/>
  <c r="CC583" i="4"/>
  <c r="DU21" i="4"/>
  <c r="DS66" i="4" s="1"/>
  <c r="CF837" i="4"/>
  <c r="CN811" i="4"/>
  <c r="BY783" i="7"/>
  <c r="CD792" i="7"/>
  <c r="CF792" i="7"/>
  <c r="CF793" i="7" s="1"/>
  <c r="CN767" i="7"/>
  <c r="DN45" i="7" s="1"/>
  <c r="CC65" i="7"/>
  <c r="DA19" i="7"/>
  <c r="CJ53" i="7"/>
  <c r="BV316" i="7"/>
  <c r="BO314" i="7"/>
  <c r="BZ490" i="7"/>
  <c r="BZ480" i="7"/>
  <c r="BZ479" i="7" s="1"/>
  <c r="BW484" i="7"/>
  <c r="BV484" i="7" s="1"/>
  <c r="BW338" i="7"/>
  <c r="BW334" i="7" s="1"/>
  <c r="BU666" i="7"/>
  <c r="BN664" i="7"/>
  <c r="DE41" i="7"/>
  <c r="BX61" i="7"/>
  <c r="BX60" i="7" s="1"/>
  <c r="BQ60" i="7"/>
  <c r="BX71" i="7"/>
  <c r="EA18" i="7"/>
  <c r="CJ57" i="7"/>
  <c r="BM195" i="7"/>
  <c r="BO541" i="7"/>
  <c r="BO546" i="7"/>
  <c r="BO548" i="7" s="1"/>
  <c r="BS538" i="7" s="1"/>
  <c r="BR547" i="7"/>
  <c r="BO388" i="7"/>
  <c r="BV390" i="7"/>
  <c r="BQ56" i="7"/>
  <c r="BQ55" i="7" s="1"/>
  <c r="DX23" i="7"/>
  <c r="BK54" i="7"/>
  <c r="BQ66" i="7"/>
  <c r="BK60" i="7"/>
  <c r="BT75" i="7"/>
  <c r="BX65" i="7"/>
  <c r="DB22" i="7"/>
  <c r="CC71" i="7"/>
  <c r="CC61" i="7"/>
  <c r="CC60" i="7" s="1"/>
  <c r="CC67" i="7" s="1"/>
  <c r="CD708" i="6"/>
  <c r="CD707" i="6" s="1"/>
  <c r="CD718" i="6"/>
  <c r="CB365" i="6"/>
  <c r="BQ117" i="6"/>
  <c r="BQ127" i="6"/>
  <c r="AQ338" i="6"/>
  <c r="AQ334" i="6" s="1"/>
  <c r="AZ328" i="6"/>
  <c r="BX132" i="6"/>
  <c r="BX128" i="6"/>
  <c r="CC249" i="6"/>
  <c r="CB363" i="6"/>
  <c r="CC239" i="6"/>
  <c r="CC238" i="6" s="1"/>
  <c r="BY784" i="6"/>
  <c r="CD793" i="6"/>
  <c r="BR548" i="5"/>
  <c r="CO570" i="5"/>
  <c r="BO468" i="5"/>
  <c r="BO470" i="5" s="1"/>
  <c r="BS460" i="5" s="1"/>
  <c r="BR469" i="5"/>
  <c r="BO463" i="5"/>
  <c r="DK41" i="5"/>
  <c r="DD28" i="5"/>
  <c r="CB69" i="5"/>
  <c r="CB59" i="5"/>
  <c r="CD352" i="5"/>
  <c r="BQ123" i="5"/>
  <c r="DL29" i="5"/>
  <c r="DV20" i="5"/>
  <c r="CB363" i="5"/>
  <c r="CC239" i="5"/>
  <c r="CC238" i="5" s="1"/>
  <c r="CC249" i="5"/>
  <c r="BU666" i="5"/>
  <c r="BN664" i="5"/>
  <c r="DZ21" i="5"/>
  <c r="CB790" i="4"/>
  <c r="CD717" i="4"/>
  <c r="CD707" i="4"/>
  <c r="CD706" i="4" s="1"/>
  <c r="BN662" i="4"/>
  <c r="BN667" i="4"/>
  <c r="BN669" i="4" s="1"/>
  <c r="BR656" i="4" s="1"/>
  <c r="BQ668" i="4"/>
  <c r="BQ669" i="4" s="1"/>
  <c r="BV315" i="4"/>
  <c r="CG229" i="4"/>
  <c r="BX214" i="4" s="1"/>
  <c r="BU216" i="4" s="1"/>
  <c r="BW340" i="4" s="1"/>
  <c r="CD356" i="4"/>
  <c r="BX154" i="4"/>
  <c r="BX153" i="4" s="1"/>
  <c r="BM153" i="4" s="1"/>
  <c r="BW341" i="4"/>
  <c r="CI202" i="4"/>
  <c r="CL177" i="4" s="1"/>
  <c r="CJ178" i="4" s="1"/>
  <c r="BU341" i="4"/>
  <c r="BS341" i="4" s="1"/>
  <c r="CH173" i="4"/>
  <c r="CC171" i="4" s="1"/>
  <c r="CC160" i="4" s="1"/>
  <c r="BZ567" i="4"/>
  <c r="BZ557" i="4"/>
  <c r="BZ556" i="4" s="1"/>
  <c r="BV543" i="4" s="1"/>
  <c r="BW338" i="4"/>
  <c r="BK335" i="4"/>
  <c r="CC181" i="4"/>
  <c r="CN370" i="3"/>
  <c r="CL499" i="4"/>
  <c r="CL505" i="4" s="1"/>
  <c r="BZ403" i="4"/>
  <c r="BZ402" i="4" s="1"/>
  <c r="BO313" i="4"/>
  <c r="BO317" i="4" s="1"/>
  <c r="BO319" i="4" s="1"/>
  <c r="BZ339" i="4"/>
  <c r="BW342" i="1"/>
  <c r="BV342" i="1" s="1"/>
  <c r="BP347" i="1" s="1"/>
  <c r="BZ338" i="1"/>
  <c r="BZ337" i="1" s="1"/>
  <c r="BO322" i="1" s="1"/>
  <c r="BY567" i="1"/>
  <c r="BY566" i="1" s="1"/>
  <c r="BU553" i="1" s="1"/>
  <c r="BP350" i="1"/>
  <c r="CD305" i="3"/>
  <c r="CE308" i="3" s="1"/>
  <c r="BY577" i="1"/>
  <c r="BW416" i="1"/>
  <c r="BV416" i="1" s="1"/>
  <c r="BP348" i="1"/>
  <c r="BZ422" i="1"/>
  <c r="CL432" i="1"/>
  <c r="BZ412" i="1"/>
  <c r="BZ411" i="1" s="1"/>
  <c r="BV398" i="1" s="1"/>
  <c r="CI508" i="1"/>
  <c r="BZ493" i="1" s="1"/>
  <c r="BW495" i="1" s="1"/>
  <c r="BP349" i="1" s="1"/>
  <c r="CC294" i="1"/>
  <c r="BQ103" i="1"/>
  <c r="CL282" i="1"/>
  <c r="CL288" i="1" s="1"/>
  <c r="CL515" i="1"/>
  <c r="BZ348" i="1"/>
  <c r="CF301" i="3"/>
  <c r="CC593" i="1"/>
  <c r="CB593" i="1"/>
  <c r="CK587" i="1"/>
  <c r="CK593" i="1" s="1"/>
  <c r="CL577" i="4"/>
  <c r="CL583" i="4" s="1"/>
  <c r="CN435" i="1"/>
  <c r="CL436" i="1" s="1"/>
  <c r="BW483" i="4"/>
  <c r="BV483" i="4" s="1"/>
  <c r="BZ489" i="4"/>
  <c r="BZ479" i="4"/>
  <c r="BZ478" i="4" s="1"/>
  <c r="CK377" i="4"/>
  <c r="CL423" i="4"/>
  <c r="CL429" i="4" s="1"/>
  <c r="BV100" i="1"/>
  <c r="CD362" i="4"/>
  <c r="CC242" i="4"/>
  <c r="CA247" i="4"/>
  <c r="CL349" i="4"/>
  <c r="BW407" i="4"/>
  <c r="BV407" i="4" s="1"/>
  <c r="BZ413" i="4"/>
  <c r="CL358" i="1"/>
  <c r="CL364" i="1" s="1"/>
  <c r="BZ272" i="1"/>
  <c r="BW266" i="1"/>
  <c r="BV266" i="1" s="1"/>
  <c r="BZ262" i="1"/>
  <c r="BZ261" i="1" s="1"/>
  <c r="CF274" i="3"/>
  <c r="CF264" i="3"/>
  <c r="CF263" i="3" s="1"/>
  <c r="BU158" i="4"/>
  <c r="BT158" i="4" s="1"/>
  <c r="BX164" i="4"/>
  <c r="BP162" i="1"/>
  <c r="CJ230" i="4"/>
  <c r="CJ236" i="4" s="1"/>
  <c r="CC161" i="4"/>
  <c r="BW169" i="4"/>
  <c r="CC151" i="3"/>
  <c r="CC147" i="3"/>
  <c r="CC157" i="3"/>
  <c r="CC167" i="1"/>
  <c r="CC173" i="1" s="1"/>
  <c r="BV158" i="1"/>
  <c r="BV164" i="1"/>
  <c r="BV153" i="1" s="1"/>
  <c r="BP161" i="1"/>
  <c r="BQ147" i="1"/>
  <c r="BQ146" i="1" s="1"/>
  <c r="BO205" i="1" s="1"/>
  <c r="BQ157" i="1"/>
  <c r="BN151" i="1"/>
  <c r="BM151" i="1" s="1"/>
  <c r="BV154" i="1"/>
  <c r="BV104" i="1"/>
  <c r="BV110" i="1"/>
  <c r="BV99" i="1" s="1"/>
  <c r="CA91" i="3"/>
  <c r="CA97" i="3" s="1"/>
  <c r="BT90" i="3"/>
  <c r="BR93" i="3"/>
  <c r="BQ62" i="7" l="1"/>
  <c r="BX67" i="7"/>
  <c r="CJ59" i="7"/>
  <c r="BN307" i="4"/>
  <c r="CD792" i="4"/>
  <c r="BR548" i="7"/>
  <c r="CO570" i="7"/>
  <c r="BO313" i="7"/>
  <c r="BO318" i="7"/>
  <c r="BO320" i="7" s="1"/>
  <c r="BN308" i="7" s="1"/>
  <c r="BR319" i="7"/>
  <c r="BR320" i="7" s="1"/>
  <c r="BT79" i="7"/>
  <c r="BT74" i="7"/>
  <c r="BT81" i="7" s="1"/>
  <c r="BM199" i="7"/>
  <c r="BM201" i="7" s="1"/>
  <c r="BM194" i="7"/>
  <c r="BP200" i="7"/>
  <c r="BP201" i="7" s="1"/>
  <c r="BX338" i="7"/>
  <c r="BN668" i="7"/>
  <c r="BN670" i="7" s="1"/>
  <c r="BN663" i="7"/>
  <c r="BQ669" i="7"/>
  <c r="BQ670" i="7" s="1"/>
  <c r="BR657" i="7"/>
  <c r="CB59" i="7"/>
  <c r="CB69" i="7"/>
  <c r="BO392" i="7"/>
  <c r="BO394" i="7" s="1"/>
  <c r="BO387" i="7"/>
  <c r="BR393" i="7"/>
  <c r="BV466" i="7"/>
  <c r="BO464" i="7"/>
  <c r="AZ327" i="6"/>
  <c r="BQ123" i="6"/>
  <c r="CB361" i="6"/>
  <c r="CC365" i="6" s="1"/>
  <c r="AZ332" i="6"/>
  <c r="DM27" i="6"/>
  <c r="AQ344" i="6"/>
  <c r="AQ333" i="6"/>
  <c r="AO342" i="6"/>
  <c r="BR470" i="5"/>
  <c r="CO492" i="5"/>
  <c r="BR657" i="5"/>
  <c r="CB361" i="5"/>
  <c r="BN668" i="5"/>
  <c r="BN670" i="5" s="1"/>
  <c r="BN663" i="5"/>
  <c r="BQ669" i="5"/>
  <c r="BQ670" i="5" s="1"/>
  <c r="CD781" i="4"/>
  <c r="BY783" i="4"/>
  <c r="BX210" i="4"/>
  <c r="BX209" i="4" s="1"/>
  <c r="BM194" i="4" s="1"/>
  <c r="BT324" i="4"/>
  <c r="BT341" i="4"/>
  <c r="CN352" i="4"/>
  <c r="EA38" i="4" s="1"/>
  <c r="DY81" i="4" s="1"/>
  <c r="BK336" i="4"/>
  <c r="BO541" i="4"/>
  <c r="BO540" i="4" s="1"/>
  <c r="BK338" i="4"/>
  <c r="BN551" i="1"/>
  <c r="BN550" i="1" s="1"/>
  <c r="BW493" i="1"/>
  <c r="BV493" i="1" s="1"/>
  <c r="BO396" i="1"/>
  <c r="BO395" i="1" s="1"/>
  <c r="CC238" i="4"/>
  <c r="CC237" i="4" s="1"/>
  <c r="CB362" i="4"/>
  <c r="CB360" i="4" s="1"/>
  <c r="BD349" i="1"/>
  <c r="BS295" i="3"/>
  <c r="CE305" i="3"/>
  <c r="CE306" i="3"/>
  <c r="CE307" i="3"/>
  <c r="BD350" i="1"/>
  <c r="CL438" i="1"/>
  <c r="BD348" i="1"/>
  <c r="BZ489" i="1"/>
  <c r="BZ488" i="1" s="1"/>
  <c r="BV475" i="1" s="1"/>
  <c r="BZ499" i="1"/>
  <c r="BD347" i="1"/>
  <c r="BP345" i="1"/>
  <c r="BQ350" i="1" s="1"/>
  <c r="BV324" i="1"/>
  <c r="BO246" i="1"/>
  <c r="CF297" i="3"/>
  <c r="CF296" i="3" s="1"/>
  <c r="CF307" i="3"/>
  <c r="BV465" i="4"/>
  <c r="BO463" i="4"/>
  <c r="BR468" i="4" s="1"/>
  <c r="CC248" i="4"/>
  <c r="BV389" i="4"/>
  <c r="BO387" i="4"/>
  <c r="BO321" i="1"/>
  <c r="BO326" i="1"/>
  <c r="BO328" i="1" s="1"/>
  <c r="BR327" i="1"/>
  <c r="BR328" i="1" s="1"/>
  <c r="BV248" i="1"/>
  <c r="BX220" i="4"/>
  <c r="BU214" i="4"/>
  <c r="BT214" i="4" s="1"/>
  <c r="CC146" i="3"/>
  <c r="CC165" i="4"/>
  <c r="CJ174" i="4"/>
  <c r="CJ180" i="4" s="1"/>
  <c r="CA101" i="3"/>
  <c r="BT86" i="3"/>
  <c r="BT92" i="3" s="1"/>
  <c r="BT96" i="3"/>
  <c r="BT104" i="4"/>
  <c r="BZ108" i="4"/>
  <c r="Q21" i="2"/>
  <c r="Q67" i="2" s="1"/>
  <c r="P21" i="2"/>
  <c r="P67" i="2" s="1"/>
  <c r="CG112" i="4"/>
  <c r="CA135" i="4"/>
  <c r="CD135" i="4" s="1"/>
  <c r="CH135" i="4" s="1"/>
  <c r="CA137" i="4"/>
  <c r="CC139" i="4"/>
  <c r="CD139" i="4" s="1"/>
  <c r="CH139" i="4" s="1"/>
  <c r="CC138" i="4"/>
  <c r="CD138" i="4" s="1"/>
  <c r="CH138" i="4" s="1"/>
  <c r="CC137" i="4"/>
  <c r="CG118" i="4"/>
  <c r="BW111" i="4"/>
  <c r="BW106" i="4"/>
  <c r="BQ95" i="4"/>
  <c r="O3" i="2"/>
  <c r="O49" i="2" s="1"/>
  <c r="O4" i="2"/>
  <c r="O50" i="2" s="1"/>
  <c r="AI50" i="2" s="1"/>
  <c r="O5" i="2"/>
  <c r="O51" i="2" s="1"/>
  <c r="AI51" i="2" s="1"/>
  <c r="O6" i="2"/>
  <c r="O52" i="2" s="1"/>
  <c r="AI52" i="2" s="1"/>
  <c r="O7" i="2"/>
  <c r="O53" i="2" s="1"/>
  <c r="AI53" i="2" s="1"/>
  <c r="O8" i="2"/>
  <c r="O54" i="2" s="1"/>
  <c r="AI54" i="2" s="1"/>
  <c r="O9" i="2"/>
  <c r="O55" i="2" s="1"/>
  <c r="AI55" i="2" s="1"/>
  <c r="O10" i="2"/>
  <c r="O56" i="2" s="1"/>
  <c r="AI56" i="2" s="1"/>
  <c r="O60" i="2"/>
  <c r="AI60" i="2" s="1"/>
  <c r="O15" i="2"/>
  <c r="O61" i="2" s="1"/>
  <c r="AI61" i="2" s="1"/>
  <c r="B15" i="2"/>
  <c r="B61" i="2" s="1"/>
  <c r="B16" i="2"/>
  <c r="B62" i="2" s="1"/>
  <c r="M62" i="2" s="1"/>
  <c r="AD62" i="2" s="1"/>
  <c r="AG62" i="2" s="1"/>
  <c r="O16" i="2"/>
  <c r="O62" i="2" s="1"/>
  <c r="AI62" i="2" s="1"/>
  <c r="O17" i="2"/>
  <c r="O63" i="2" s="1"/>
  <c r="AI63" i="2" s="1"/>
  <c r="B17" i="2"/>
  <c r="B63" i="2" s="1"/>
  <c r="M63" i="2" s="1"/>
  <c r="AD63" i="2" s="1"/>
  <c r="AG63" i="2" s="1"/>
  <c r="O18" i="2"/>
  <c r="O64" i="2" s="1"/>
  <c r="AI64" i="2" s="1"/>
  <c r="BB52" i="1"/>
  <c r="BB51" i="1"/>
  <c r="O19" i="2"/>
  <c r="O65" i="2" s="1"/>
  <c r="AI65" i="2" s="1"/>
  <c r="O20" i="2"/>
  <c r="O66" i="2" s="1"/>
  <c r="AI66" i="2" s="1"/>
  <c r="B20" i="2"/>
  <c r="P1" i="2"/>
  <c r="P47" i="2" s="1"/>
  <c r="CC78" i="4"/>
  <c r="CD78" i="4" s="1"/>
  <c r="CH78" i="4" s="1"/>
  <c r="BW78" i="4"/>
  <c r="CC77" i="4"/>
  <c r="CD77" i="4" s="1"/>
  <c r="CH77" i="4" s="1"/>
  <c r="CC76" i="4"/>
  <c r="CC75" i="4"/>
  <c r="CD75" i="4" s="1"/>
  <c r="CC74" i="4"/>
  <c r="CA74" i="4"/>
  <c r="CC73" i="4"/>
  <c r="CD73" i="4" s="1"/>
  <c r="CH73" i="4" s="1"/>
  <c r="BK69" i="4"/>
  <c r="CG58" i="4"/>
  <c r="BZ68" i="4" s="1"/>
  <c r="BU59" i="4" s="1"/>
  <c r="BN64" i="4" s="1"/>
  <c r="BG53" i="4"/>
  <c r="BF53" i="4"/>
  <c r="CG52" i="4"/>
  <c r="BW51" i="4"/>
  <c r="BK50" i="4"/>
  <c r="BW46" i="4"/>
  <c r="BQ35" i="4"/>
  <c r="CD73" i="3"/>
  <c r="CH73" i="3" s="1"/>
  <c r="CC73" i="3"/>
  <c r="BW73" i="3"/>
  <c r="CC72" i="3"/>
  <c r="CD72" i="3" s="1"/>
  <c r="CH72" i="3" s="1"/>
  <c r="CD71" i="3"/>
  <c r="CH71" i="3" s="1"/>
  <c r="CC71" i="3"/>
  <c r="CD70" i="3"/>
  <c r="CC70" i="3"/>
  <c r="CC69" i="3"/>
  <c r="CA69" i="3"/>
  <c r="CH68" i="3"/>
  <c r="CD68" i="3"/>
  <c r="CC68" i="3"/>
  <c r="BK64" i="3"/>
  <c r="CG52" i="3"/>
  <c r="BG47" i="3"/>
  <c r="BF47" i="3"/>
  <c r="CG46" i="3"/>
  <c r="CA42" i="3" s="1"/>
  <c r="BW45" i="3"/>
  <c r="BK44" i="3"/>
  <c r="BW40" i="3"/>
  <c r="BU31" i="3"/>
  <c r="BQ30" i="3" s="1"/>
  <c r="BT31" i="3"/>
  <c r="BQ31" i="3" s="1"/>
  <c r="BQ29" i="3"/>
  <c r="BQ29" i="1"/>
  <c r="BW40" i="1"/>
  <c r="BK64" i="1"/>
  <c r="BW73" i="1"/>
  <c r="CA69" i="1"/>
  <c r="BW45" i="1"/>
  <c r="BG47" i="1"/>
  <c r="BF47" i="1"/>
  <c r="BB53" i="1" s="1"/>
  <c r="BK44" i="1"/>
  <c r="O21" i="2"/>
  <c r="O67" i="2" s="1"/>
  <c r="AI67" i="2" s="1"/>
  <c r="B21" i="2"/>
  <c r="CG46" i="1"/>
  <c r="CG52" i="1"/>
  <c r="BZ63" i="1" s="1"/>
  <c r="BU53" i="1" s="1"/>
  <c r="CC69" i="1"/>
  <c r="CC73" i="1"/>
  <c r="CD73" i="1" s="1"/>
  <c r="CH73" i="1" s="1"/>
  <c r="CC72" i="1"/>
  <c r="CD72" i="1" s="1"/>
  <c r="CH72" i="1" s="1"/>
  <c r="CC71" i="1"/>
  <c r="CD71" i="1" s="1"/>
  <c r="CH71" i="1" s="1"/>
  <c r="CC70" i="1"/>
  <c r="CD70" i="1" s="1"/>
  <c r="CH70" i="1" s="1"/>
  <c r="CC68" i="1"/>
  <c r="CD68" i="1" s="1"/>
  <c r="CH68" i="1" s="1"/>
  <c r="M61" i="2" l="1"/>
  <c r="AD61" i="2" s="1"/>
  <c r="AG61" i="2" s="1"/>
  <c r="AI49" i="2"/>
  <c r="AA67" i="2"/>
  <c r="P20" i="2"/>
  <c r="B66" i="2"/>
  <c r="M66" i="2" s="1"/>
  <c r="C21" i="2"/>
  <c r="C67" i="2" s="1"/>
  <c r="B67" i="2"/>
  <c r="BR469" i="4"/>
  <c r="CO491" i="4"/>
  <c r="BX355" i="4"/>
  <c r="B39" i="2" s="1"/>
  <c r="DI27" i="4"/>
  <c r="DH71" i="4" s="1"/>
  <c r="CC360" i="4"/>
  <c r="CC364" i="4"/>
  <c r="ED21" i="7"/>
  <c r="BR394" i="7"/>
  <c r="CO416" i="7"/>
  <c r="BT84" i="7"/>
  <c r="DE42" i="7"/>
  <c r="BW81" i="7"/>
  <c r="BW80" i="7"/>
  <c r="DE45" i="7" s="1"/>
  <c r="BR469" i="7"/>
  <c r="BO468" i="7"/>
  <c r="BO470" i="7" s="1"/>
  <c r="BS460" i="7" s="1"/>
  <c r="BO463" i="7"/>
  <c r="BX334" i="7"/>
  <c r="DD28" i="7"/>
  <c r="BV330" i="7"/>
  <c r="DK45" i="7" s="1"/>
  <c r="BV334" i="7"/>
  <c r="BX340" i="7"/>
  <c r="BX339" i="7"/>
  <c r="BX336" i="7"/>
  <c r="BX343" i="7"/>
  <c r="BX342" i="7"/>
  <c r="BX341" i="7"/>
  <c r="BX337" i="7"/>
  <c r="AN342" i="6"/>
  <c r="AL338" i="6"/>
  <c r="AL334" i="6"/>
  <c r="AP342" i="6"/>
  <c r="CC363" i="6"/>
  <c r="BE336" i="6"/>
  <c r="BH328" i="6"/>
  <c r="CC361" i="6"/>
  <c r="BX356" i="6"/>
  <c r="DI27" i="6"/>
  <c r="CC362" i="6"/>
  <c r="CC364" i="6"/>
  <c r="DM27" i="5"/>
  <c r="CC361" i="5"/>
  <c r="BX356" i="5"/>
  <c r="DI27" i="5"/>
  <c r="CC362" i="5"/>
  <c r="CC365" i="5"/>
  <c r="CC364" i="5"/>
  <c r="DZ30" i="5"/>
  <c r="BT75" i="5"/>
  <c r="DU42" i="5"/>
  <c r="CC363" i="5"/>
  <c r="BO545" i="4"/>
  <c r="BO547" i="4" s="1"/>
  <c r="BS537" i="4" s="1"/>
  <c r="CL353" i="4"/>
  <c r="CL355" i="4" s="1"/>
  <c r="BR546" i="4"/>
  <c r="BT323" i="4"/>
  <c r="DZ28" i="4" s="1"/>
  <c r="DX72" i="4" s="1"/>
  <c r="BT332" i="4"/>
  <c r="BU99" i="4"/>
  <c r="BX92" i="4"/>
  <c r="BQ556" i="1"/>
  <c r="BQ557" i="1" s="1"/>
  <c r="BN555" i="1"/>
  <c r="BN557" i="1" s="1"/>
  <c r="BU98" i="4"/>
  <c r="BR401" i="1"/>
  <c r="BR402" i="1" s="1"/>
  <c r="BO400" i="1"/>
  <c r="BO402" i="1" s="1"/>
  <c r="BX32" i="4"/>
  <c r="BW22" i="4" s="1"/>
  <c r="BO473" i="1"/>
  <c r="BR478" i="1" s="1"/>
  <c r="BR479" i="1" s="1"/>
  <c r="CA38" i="4"/>
  <c r="BZ48" i="4"/>
  <c r="BQ347" i="1"/>
  <c r="BO345" i="1"/>
  <c r="BC345" i="1" s="1"/>
  <c r="AX347" i="1" s="1"/>
  <c r="BQ345" i="1"/>
  <c r="BD345" i="1"/>
  <c r="BE350" i="1" s="1"/>
  <c r="BS298" i="3"/>
  <c r="BG300" i="3"/>
  <c r="BG296" i="3" s="1"/>
  <c r="BQ348" i="1"/>
  <c r="BQ349" i="1"/>
  <c r="BK43" i="1"/>
  <c r="BG57" i="1" s="1"/>
  <c r="BU33" i="1"/>
  <c r="BU31" i="1" s="1"/>
  <c r="BQ30" i="1" s="1"/>
  <c r="BO467" i="4"/>
  <c r="BO469" i="4" s="1"/>
  <c r="BS459" i="4" s="1"/>
  <c r="BO462" i="4"/>
  <c r="BK71" i="4"/>
  <c r="BX26" i="3"/>
  <c r="BT196" i="4"/>
  <c r="BM198" i="4"/>
  <c r="CA129" i="4"/>
  <c r="CA32" i="1"/>
  <c r="BX31" i="1" s="1"/>
  <c r="BZ32" i="3"/>
  <c r="CA32" i="3"/>
  <c r="CC34" i="3" s="1"/>
  <c r="CC33" i="1"/>
  <c r="BU32" i="1"/>
  <c r="BZ32" i="1"/>
  <c r="BO386" i="4"/>
  <c r="BO391" i="4"/>
  <c r="BO393" i="4" s="1"/>
  <c r="BR392" i="4"/>
  <c r="BR318" i="4"/>
  <c r="BR319" i="4" s="1"/>
  <c r="BO312" i="4"/>
  <c r="BO245" i="1"/>
  <c r="BO250" i="1"/>
  <c r="BO252" i="1" s="1"/>
  <c r="BR251" i="1"/>
  <c r="BR252" i="1" s="1"/>
  <c r="BV89" i="4"/>
  <c r="CH118" i="4"/>
  <c r="CD76" i="4"/>
  <c r="CH76" i="4" s="1"/>
  <c r="CH52" i="4" s="1"/>
  <c r="BU38" i="4"/>
  <c r="BV88" i="4"/>
  <c r="BU39" i="4"/>
  <c r="BZ103" i="4"/>
  <c r="BT105" i="4" s="1"/>
  <c r="CA108" i="4"/>
  <c r="BW107" i="4" s="1"/>
  <c r="CA42" i="1"/>
  <c r="BW41" i="1" s="1"/>
  <c r="BV63" i="1"/>
  <c r="BG49" i="1"/>
  <c r="BX26" i="1"/>
  <c r="BU63" i="1"/>
  <c r="BG48" i="1"/>
  <c r="BZ53" i="1"/>
  <c r="BW47" i="1" s="1"/>
  <c r="CA53" i="1"/>
  <c r="BW46" i="1" s="1"/>
  <c r="CH46" i="1"/>
  <c r="CC38" i="1" s="1"/>
  <c r="BZ42" i="1"/>
  <c r="BW42" i="1" s="1"/>
  <c r="BZ53" i="3"/>
  <c r="BW47" i="3" s="1"/>
  <c r="BU32" i="3"/>
  <c r="BK49" i="4"/>
  <c r="BG63" i="4" s="1"/>
  <c r="BY103" i="4"/>
  <c r="BT106" i="4" s="1"/>
  <c r="BG55" i="4"/>
  <c r="BO64" i="4"/>
  <c r="BK70" i="4" s="1"/>
  <c r="DX45" i="4" s="1"/>
  <c r="DV88" i="4" s="1"/>
  <c r="CC120" i="4"/>
  <c r="CA48" i="4"/>
  <c r="BZ38" i="4"/>
  <c r="CD74" i="4"/>
  <c r="CH74" i="4" s="1"/>
  <c r="CI74" i="4" s="1"/>
  <c r="BW113" i="4"/>
  <c r="CD137" i="4"/>
  <c r="BW108" i="4"/>
  <c r="BV68" i="4"/>
  <c r="BU68" i="4"/>
  <c r="BZ59" i="4"/>
  <c r="BW53" i="4" s="1"/>
  <c r="CH75" i="4"/>
  <c r="CA59" i="4" s="1"/>
  <c r="DB45" i="4" s="1"/>
  <c r="DB88" i="4" s="1"/>
  <c r="BG54" i="4"/>
  <c r="BW48" i="4"/>
  <c r="CC39" i="4"/>
  <c r="CB29" i="4" s="1"/>
  <c r="BW41" i="3"/>
  <c r="CH70" i="3"/>
  <c r="CA53" i="3" s="1"/>
  <c r="BU33" i="3"/>
  <c r="BZ42" i="3"/>
  <c r="BW42" i="3" s="1"/>
  <c r="BZ63" i="3"/>
  <c r="CD69" i="3"/>
  <c r="CH46" i="3"/>
  <c r="CC33" i="3"/>
  <c r="BN58" i="1"/>
  <c r="BK66" i="1" s="1"/>
  <c r="CD69" i="1"/>
  <c r="BN48" i="1" s="1"/>
  <c r="BO58" i="1"/>
  <c r="BK65" i="1" s="1"/>
  <c r="DC45" i="4" l="1"/>
  <c r="DC88" i="4" s="1"/>
  <c r="B86" i="2"/>
  <c r="B85" i="2"/>
  <c r="B81" i="2"/>
  <c r="B82" i="2"/>
  <c r="P39" i="2"/>
  <c r="B83" i="2"/>
  <c r="B78" i="2"/>
  <c r="B80" i="2"/>
  <c r="B79" i="2"/>
  <c r="B84" i="2"/>
  <c r="M67" i="2"/>
  <c r="AD67" i="2" s="1"/>
  <c r="AG67" i="2" s="1"/>
  <c r="P19" i="2"/>
  <c r="P65" i="2" s="1"/>
  <c r="P66" i="2"/>
  <c r="AA66" i="2" s="1"/>
  <c r="AD66" i="2" s="1"/>
  <c r="AG66" i="2" s="1"/>
  <c r="BW23" i="4"/>
  <c r="DZ21" i="4"/>
  <c r="DX66" i="4" s="1"/>
  <c r="BL360" i="4"/>
  <c r="BL356" i="4" s="1"/>
  <c r="BX358" i="4"/>
  <c r="ED21" i="4"/>
  <c r="BR547" i="4"/>
  <c r="CO569" i="4"/>
  <c r="DY46" i="7"/>
  <c r="BR470" i="7"/>
  <c r="CO492" i="7"/>
  <c r="DU45" i="7" s="1"/>
  <c r="BL361" i="6"/>
  <c r="BX359" i="6"/>
  <c r="BH334" i="6"/>
  <c r="BH338" i="6"/>
  <c r="AZ338" i="6" s="1"/>
  <c r="DJ29" i="6" s="1"/>
  <c r="AL344" i="6"/>
  <c r="AK342" i="6"/>
  <c r="AC336" i="6" s="1"/>
  <c r="AK344" i="6"/>
  <c r="AC338" i="6" s="1"/>
  <c r="AK349" i="6"/>
  <c r="AC343" i="6" s="1"/>
  <c r="AK348" i="6"/>
  <c r="AC342" i="6" s="1"/>
  <c r="AK343" i="6"/>
  <c r="AC337" i="6" s="1"/>
  <c r="AL340" i="6"/>
  <c r="AK347" i="6"/>
  <c r="AC341" i="6" s="1"/>
  <c r="AK345" i="6"/>
  <c r="AC339" i="6" s="1"/>
  <c r="AK346" i="6"/>
  <c r="AC340" i="6" s="1"/>
  <c r="BD336" i="6"/>
  <c r="DL30" i="6"/>
  <c r="BX359" i="5"/>
  <c r="BL361" i="5"/>
  <c r="BT74" i="5"/>
  <c r="BT79" i="5"/>
  <c r="DQ41" i="5"/>
  <c r="BU89" i="4"/>
  <c r="BU88" i="4"/>
  <c r="BW90" i="4" s="1"/>
  <c r="DD46" i="4" s="1"/>
  <c r="DD89" i="4" s="1"/>
  <c r="BR393" i="4"/>
  <c r="CO415" i="4"/>
  <c r="CB30" i="4"/>
  <c r="BO472" i="1"/>
  <c r="CC125" i="4"/>
  <c r="DA39" i="4"/>
  <c r="DA82" i="4" s="1"/>
  <c r="BW135" i="4"/>
  <c r="BO129" i="4" s="1"/>
  <c r="BW339" i="4"/>
  <c r="BO477" i="1"/>
  <c r="BO479" i="1" s="1"/>
  <c r="BW134" i="4"/>
  <c r="BO128" i="4" s="1"/>
  <c r="CC121" i="4"/>
  <c r="CC44" i="4"/>
  <c r="BW130" i="4"/>
  <c r="BO124" i="4" s="1"/>
  <c r="BW129" i="4"/>
  <c r="BO123" i="4" s="1"/>
  <c r="CC363" i="4"/>
  <c r="CC361" i="4"/>
  <c r="BW132" i="4"/>
  <c r="BO126" i="4" s="1"/>
  <c r="CC362" i="4"/>
  <c r="BX37" i="4"/>
  <c r="CC40" i="4"/>
  <c r="CC131" i="4"/>
  <c r="BX33" i="4"/>
  <c r="BG306" i="3"/>
  <c r="BE304" i="3"/>
  <c r="BG295" i="3"/>
  <c r="BE345" i="1"/>
  <c r="BA343" i="1"/>
  <c r="AN343" i="1"/>
  <c r="AS339" i="1" s="1"/>
  <c r="BA339" i="1"/>
  <c r="AW347" i="1"/>
  <c r="AS343" i="1" s="1"/>
  <c r="BX27" i="1"/>
  <c r="BE349" i="1"/>
  <c r="BE347" i="1"/>
  <c r="BE348" i="1"/>
  <c r="BT31" i="1"/>
  <c r="BQ31" i="1" s="1"/>
  <c r="BG56" i="1"/>
  <c r="BX43" i="4"/>
  <c r="BX125" i="4"/>
  <c r="BW133" i="4"/>
  <c r="BO127" i="4" s="1"/>
  <c r="BX37" i="1"/>
  <c r="BX31" i="3"/>
  <c r="BZ129" i="4"/>
  <c r="BW131" i="4"/>
  <c r="BO125" i="4" s="1"/>
  <c r="BW136" i="4"/>
  <c r="BO130" i="4" s="1"/>
  <c r="BP199" i="4"/>
  <c r="BM193" i="4"/>
  <c r="BM200" i="4"/>
  <c r="BU40" i="4"/>
  <c r="BU37" i="4" s="1"/>
  <c r="DD45" i="4" s="1"/>
  <c r="DD88" i="4" s="1"/>
  <c r="CC34" i="1"/>
  <c r="CC44" i="1"/>
  <c r="CI80" i="4"/>
  <c r="CA68" i="4"/>
  <c r="DB22" i="4" s="1"/>
  <c r="DB67" i="4" s="1"/>
  <c r="BN54" i="4"/>
  <c r="CH137" i="4"/>
  <c r="CI137" i="4" s="1"/>
  <c r="BZ98" i="4"/>
  <c r="BW47" i="4"/>
  <c r="BG62" i="4"/>
  <c r="BW112" i="4"/>
  <c r="CH58" i="4"/>
  <c r="BW52" i="4"/>
  <c r="CC50" i="4"/>
  <c r="BV59" i="4"/>
  <c r="DE41" i="4" s="1"/>
  <c r="DE84" i="4" s="1"/>
  <c r="BO54" i="4"/>
  <c r="DX23" i="4" s="1"/>
  <c r="DV66" i="4" s="1"/>
  <c r="BW46" i="3"/>
  <c r="CH69" i="3"/>
  <c r="CI69" i="3" s="1"/>
  <c r="BU63" i="3"/>
  <c r="BU53" i="3"/>
  <c r="CC38" i="3"/>
  <c r="CC44" i="3"/>
  <c r="BX27" i="3"/>
  <c r="BX37" i="3"/>
  <c r="CH69" i="1"/>
  <c r="CI69" i="1" s="1"/>
  <c r="CA63" i="1" s="1"/>
  <c r="BU90" i="4" l="1"/>
  <c r="P81" i="2"/>
  <c r="P83" i="2"/>
  <c r="P82" i="2"/>
  <c r="P78" i="2"/>
  <c r="P84" i="2"/>
  <c r="P80" i="2"/>
  <c r="P79" i="2"/>
  <c r="P85" i="2"/>
  <c r="P86" i="2"/>
  <c r="AA65" i="2"/>
  <c r="AD65" i="2" s="1"/>
  <c r="AG65" i="2" s="1"/>
  <c r="DU45" i="4"/>
  <c r="DS88" i="4" s="1"/>
  <c r="BH331" i="4"/>
  <c r="BU329" i="4" s="1"/>
  <c r="DK29" i="4" s="1"/>
  <c r="DJ73" i="4" s="1"/>
  <c r="BW333" i="4"/>
  <c r="AE339" i="6"/>
  <c r="AE329" i="6"/>
  <c r="BL357" i="6"/>
  <c r="DJ35" i="6"/>
  <c r="BT81" i="5"/>
  <c r="DE38" i="5"/>
  <c r="BT84" i="5"/>
  <c r="BW80" i="5"/>
  <c r="DE41" i="5" s="1"/>
  <c r="BW81" i="5"/>
  <c r="DL30" i="5"/>
  <c r="DJ29" i="5"/>
  <c r="BL357" i="5"/>
  <c r="DJ35" i="5"/>
  <c r="BP200" i="4"/>
  <c r="BJ364" i="4"/>
  <c r="BG356" i="4" s="1"/>
  <c r="BX93" i="4"/>
  <c r="BX339" i="4"/>
  <c r="BK60" i="4"/>
  <c r="BK339" i="4"/>
  <c r="ED23" i="4"/>
  <c r="EA66" i="4" s="1"/>
  <c r="AS349" i="1"/>
  <c r="AS338" i="1" s="1"/>
  <c r="AS345" i="1" s="1"/>
  <c r="CC65" i="4"/>
  <c r="DA19" i="4"/>
  <c r="DA64" i="4" s="1"/>
  <c r="BA349" i="1"/>
  <c r="BA345" i="1"/>
  <c r="BF304" i="3"/>
  <c r="BB296" i="3"/>
  <c r="BD304" i="3"/>
  <c r="BB300" i="3"/>
  <c r="BO48" i="1"/>
  <c r="BK54" i="1" s="1"/>
  <c r="BV53" i="1"/>
  <c r="BX55" i="1" s="1"/>
  <c r="BX54" i="1" s="1"/>
  <c r="BU97" i="4"/>
  <c r="BQ96" i="4" s="1"/>
  <c r="BQ120" i="4"/>
  <c r="DW24" i="4" s="1"/>
  <c r="DU68" i="4" s="1"/>
  <c r="BT97" i="4"/>
  <c r="BQ97" i="4" s="1"/>
  <c r="BX121" i="4"/>
  <c r="BX131" i="4" s="1"/>
  <c r="BR37" i="4"/>
  <c r="BT37" i="4"/>
  <c r="BQ37" i="4" s="1"/>
  <c r="CC55" i="1"/>
  <c r="CC54" i="1" s="1"/>
  <c r="BX59" i="1"/>
  <c r="BQ126" i="4"/>
  <c r="BQ116" i="4"/>
  <c r="DG45" i="4" s="1"/>
  <c r="DF88" i="4" s="1"/>
  <c r="CA98" i="4"/>
  <c r="DC21" i="4" s="1"/>
  <c r="DC66" i="4" s="1"/>
  <c r="CI141" i="4"/>
  <c r="CL116" i="4" s="1"/>
  <c r="CJ117" i="4" s="1"/>
  <c r="CH112" i="4"/>
  <c r="DA20" i="4" s="1"/>
  <c r="DA65" i="4" s="1"/>
  <c r="CL56" i="4"/>
  <c r="CB129" i="4"/>
  <c r="BX65" i="4"/>
  <c r="CC70" i="4"/>
  <c r="BQ56" i="4"/>
  <c r="BQ55" i="4" s="1"/>
  <c r="BK54" i="4"/>
  <c r="BQ66" i="4"/>
  <c r="CJ53" i="4"/>
  <c r="BX61" i="4"/>
  <c r="BX60" i="4" s="1"/>
  <c r="BQ60" i="4"/>
  <c r="BX70" i="4"/>
  <c r="CC61" i="4"/>
  <c r="CC60" i="4" s="1"/>
  <c r="BV53" i="3"/>
  <c r="BO48" i="3"/>
  <c r="CI75" i="3"/>
  <c r="CL50" i="3" s="1"/>
  <c r="CJ51" i="3" s="1"/>
  <c r="CH52" i="3"/>
  <c r="CA63" i="3"/>
  <c r="BN58" i="3"/>
  <c r="BK66" i="3" s="1"/>
  <c r="BG48" i="3"/>
  <c r="BV63" i="3"/>
  <c r="BG49" i="3"/>
  <c r="BK43" i="3"/>
  <c r="BO58" i="3"/>
  <c r="BN48" i="3"/>
  <c r="CH52" i="1"/>
  <c r="CC65" i="1" s="1"/>
  <c r="CI75" i="1"/>
  <c r="CL50" i="1" s="1"/>
  <c r="CJ51" i="1" s="1"/>
  <c r="DD28" i="4" l="1"/>
  <c r="DD72" i="4" s="1"/>
  <c r="BV329" i="4"/>
  <c r="DK45" i="4" s="1"/>
  <c r="DJ88" i="4" s="1"/>
  <c r="BX333" i="4"/>
  <c r="BX342" i="4"/>
  <c r="CJ113" i="4"/>
  <c r="CJ119" i="4" s="1"/>
  <c r="EA18" i="4"/>
  <c r="DY63" i="4" s="1"/>
  <c r="AE333" i="6"/>
  <c r="AE335" i="6" s="1"/>
  <c r="BJ365" i="6"/>
  <c r="BL367" i="6"/>
  <c r="BL356" i="6"/>
  <c r="DH35" i="6" s="1"/>
  <c r="BJ365" i="5"/>
  <c r="BL367" i="5"/>
  <c r="BL356" i="5"/>
  <c r="DH35" i="5" s="1"/>
  <c r="BX103" i="4"/>
  <c r="CC100" i="4"/>
  <c r="BX340" i="4"/>
  <c r="BX341" i="4"/>
  <c r="BK333" i="4"/>
  <c r="BL335" i="4"/>
  <c r="AZ351" i="4"/>
  <c r="AU331" i="4"/>
  <c r="C39" i="2" s="1"/>
  <c r="CC67" i="4"/>
  <c r="CB68" i="4" s="1"/>
  <c r="AS328" i="1"/>
  <c r="BT69" i="1" s="1"/>
  <c r="BT73" i="1" s="1"/>
  <c r="BL339" i="4"/>
  <c r="BL337" i="4"/>
  <c r="BL338" i="4"/>
  <c r="BL336" i="4"/>
  <c r="CC104" i="4"/>
  <c r="AS329" i="1"/>
  <c r="BL366" i="4"/>
  <c r="BL355" i="4"/>
  <c r="CJ57" i="4"/>
  <c r="CJ59" i="4" s="1"/>
  <c r="BX65" i="1"/>
  <c r="BA306" i="3"/>
  <c r="AS300" i="3" s="1"/>
  <c r="BA307" i="3"/>
  <c r="AS301" i="3" s="1"/>
  <c r="BA308" i="3"/>
  <c r="AS302" i="3" s="1"/>
  <c r="BA309" i="3"/>
  <c r="AS303" i="3" s="1"/>
  <c r="BA310" i="3"/>
  <c r="AS304" i="3" s="1"/>
  <c r="BA311" i="3"/>
  <c r="AS305" i="3" s="1"/>
  <c r="BA305" i="3"/>
  <c r="AS299" i="3" s="1"/>
  <c r="BA304" i="3"/>
  <c r="AS298" i="3" s="1"/>
  <c r="BB302" i="3"/>
  <c r="BB306" i="3"/>
  <c r="BK48" i="1"/>
  <c r="BQ50" i="1"/>
  <c r="BQ49" i="1" s="1"/>
  <c r="BX61" i="1"/>
  <c r="BQ62" i="4"/>
  <c r="CJ47" i="1"/>
  <c r="CJ53" i="1" s="1"/>
  <c r="CC59" i="1"/>
  <c r="CC61" i="1" s="1"/>
  <c r="CB53" i="1" s="1"/>
  <c r="BX97" i="4"/>
  <c r="CC110" i="4"/>
  <c r="CC99" i="4" s="1"/>
  <c r="CC93" i="4" s="1"/>
  <c r="DZ20" i="4" s="1"/>
  <c r="DX65" i="4" s="1"/>
  <c r="BX67" i="4"/>
  <c r="BX127" i="4"/>
  <c r="BQ122" i="4"/>
  <c r="CC65" i="3"/>
  <c r="BX59" i="3"/>
  <c r="CC55" i="3"/>
  <c r="CC54" i="3" s="1"/>
  <c r="BT79" i="3"/>
  <c r="BW75" i="3"/>
  <c r="BW74" i="3"/>
  <c r="BX65" i="3"/>
  <c r="CC59" i="3"/>
  <c r="CJ47" i="3"/>
  <c r="CJ53" i="3" s="1"/>
  <c r="BK65" i="3"/>
  <c r="BQ60" i="3"/>
  <c r="BG57" i="3"/>
  <c r="BG56" i="3"/>
  <c r="BT69" i="3" s="1"/>
  <c r="BT68" i="3" s="1"/>
  <c r="BT75" i="3" s="1"/>
  <c r="BK48" i="3"/>
  <c r="BQ50" i="3"/>
  <c r="BQ49" i="3" s="1"/>
  <c r="BK54" i="3"/>
  <c r="BX55" i="3"/>
  <c r="BX54" i="3" s="1"/>
  <c r="BQ54" i="3"/>
  <c r="BQ54" i="1"/>
  <c r="BQ60" i="1"/>
  <c r="C82" i="2" l="1"/>
  <c r="M82" i="2" s="1"/>
  <c r="Q39" i="2"/>
  <c r="C81" i="2"/>
  <c r="M81" i="2" s="1"/>
  <c r="C78" i="2"/>
  <c r="C83" i="2"/>
  <c r="M83" i="2" s="1"/>
  <c r="C79" i="2"/>
  <c r="M79" i="2" s="1"/>
  <c r="C86" i="2"/>
  <c r="M86" i="2" s="1"/>
  <c r="C85" i="2"/>
  <c r="M85" i="2" s="1"/>
  <c r="C84" i="2"/>
  <c r="M84" i="2" s="1"/>
  <c r="C80" i="2"/>
  <c r="M80" i="2" s="1"/>
  <c r="CE119" i="2" a="1"/>
  <c r="BK365" i="6"/>
  <c r="BI365" i="6"/>
  <c r="BG357" i="6"/>
  <c r="BG361" i="6"/>
  <c r="DR36" i="6"/>
  <c r="BK365" i="5"/>
  <c r="BI365" i="5"/>
  <c r="BG357" i="5"/>
  <c r="DR36" i="5"/>
  <c r="BG361" i="5"/>
  <c r="CC94" i="4"/>
  <c r="AZ327" i="4"/>
  <c r="AZ316" i="4"/>
  <c r="DY46" i="4" s="1"/>
  <c r="DW89" i="4" s="1"/>
  <c r="AQ337" i="4"/>
  <c r="AZ317" i="4"/>
  <c r="CB59" i="4"/>
  <c r="AZ355" i="4"/>
  <c r="AZ357" i="4" s="1"/>
  <c r="BT68" i="1"/>
  <c r="BT75" i="1" s="1"/>
  <c r="BL333" i="4"/>
  <c r="BG360" i="4"/>
  <c r="BI364" i="4"/>
  <c r="BK364" i="4"/>
  <c r="AU301" i="3"/>
  <c r="BQ56" i="1"/>
  <c r="BT78" i="1"/>
  <c r="BW74" i="1"/>
  <c r="BW75" i="1"/>
  <c r="BX61" i="3"/>
  <c r="CB63" i="1"/>
  <c r="BQ56" i="3"/>
  <c r="CC61" i="3"/>
  <c r="A90" i="2" l="1" a="1"/>
  <c r="M78" i="2"/>
  <c r="CE119" i="2"/>
  <c r="DC119" i="2" s="1"/>
  <c r="U12" i="10" s="1"/>
  <c r="CE120" i="2"/>
  <c r="DC120" i="2" s="1"/>
  <c r="U13" i="10" s="1"/>
  <c r="Q85" i="2"/>
  <c r="AA85" i="2" s="1"/>
  <c r="AD85" i="2" s="1"/>
  <c r="Q83" i="2"/>
  <c r="AA83" i="2" s="1"/>
  <c r="AD83" i="2" s="1"/>
  <c r="AG83" i="2" s="1"/>
  <c r="Q79" i="2"/>
  <c r="AA79" i="2" s="1"/>
  <c r="AD79" i="2" s="1"/>
  <c r="AG79" i="2" s="1"/>
  <c r="Q84" i="2"/>
  <c r="AA84" i="2" s="1"/>
  <c r="AD84" i="2" s="1"/>
  <c r="AG84" i="2" s="1"/>
  <c r="Q78" i="2"/>
  <c r="Q86" i="2"/>
  <c r="AA86" i="2" s="1"/>
  <c r="AD86" i="2" s="1"/>
  <c r="AG86" i="2" s="1"/>
  <c r="Q81" i="2"/>
  <c r="AA81" i="2" s="1"/>
  <c r="AD81" i="2" s="1"/>
  <c r="AG81" i="2" s="1"/>
  <c r="Q80" i="2"/>
  <c r="AA80" i="2" s="1"/>
  <c r="AD80" i="2" s="1"/>
  <c r="AG80" i="2" s="1"/>
  <c r="Q82" i="2"/>
  <c r="AA82" i="2" s="1"/>
  <c r="AD82" i="2" s="1"/>
  <c r="AG82" i="2" s="1"/>
  <c r="BF372" i="6"/>
  <c r="AX366" i="6" s="1"/>
  <c r="BG367" i="6"/>
  <c r="BG363" i="6"/>
  <c r="BF371" i="6"/>
  <c r="AX365" i="6" s="1"/>
  <c r="BF367" i="6"/>
  <c r="AX361" i="6" s="1"/>
  <c r="BF370" i="6"/>
  <c r="AX364" i="6" s="1"/>
  <c r="BF366" i="6"/>
  <c r="AX360" i="6" s="1"/>
  <c r="BF369" i="6"/>
  <c r="AX363" i="6" s="1"/>
  <c r="BF368" i="6"/>
  <c r="AX362" i="6" s="1"/>
  <c r="BF365" i="6"/>
  <c r="AX359" i="6" s="1"/>
  <c r="AZ352" i="6"/>
  <c r="DS24" i="6"/>
  <c r="DG41" i="6"/>
  <c r="BF371" i="5"/>
  <c r="AX365" i="5" s="1"/>
  <c r="BF367" i="5"/>
  <c r="AX361" i="5" s="1"/>
  <c r="BF370" i="5"/>
  <c r="AX364" i="5" s="1"/>
  <c r="BF366" i="5"/>
  <c r="AX360" i="5" s="1"/>
  <c r="BF369" i="5"/>
  <c r="AX363" i="5" s="1"/>
  <c r="BF368" i="5"/>
  <c r="AX362" i="5" s="1"/>
  <c r="BF365" i="5"/>
  <c r="AX359" i="5" s="1"/>
  <c r="AZ362" i="5" s="1"/>
  <c r="BG367" i="5"/>
  <c r="AZ352" i="5"/>
  <c r="BG363" i="5"/>
  <c r="BF372" i="5"/>
  <c r="AX366" i="5" s="1"/>
  <c r="DS24" i="5"/>
  <c r="DG41" i="5"/>
  <c r="ED30" i="4"/>
  <c r="EA74" i="4" s="1"/>
  <c r="AZ326" i="4"/>
  <c r="DM27" i="4"/>
  <c r="DL71" i="4" s="1"/>
  <c r="AZ331" i="4"/>
  <c r="AQ333" i="4"/>
  <c r="DJ39" i="4"/>
  <c r="DI82" i="4" s="1"/>
  <c r="BF364" i="4"/>
  <c r="AX358" i="4" s="1"/>
  <c r="BF369" i="4"/>
  <c r="AX363" i="4" s="1"/>
  <c r="BF365" i="4"/>
  <c r="AX359" i="4" s="1"/>
  <c r="BF366" i="4"/>
  <c r="AX360" i="4" s="1"/>
  <c r="BF370" i="4"/>
  <c r="AX364" i="4" s="1"/>
  <c r="BG362" i="4"/>
  <c r="BF367" i="4"/>
  <c r="AX361" i="4" s="1"/>
  <c r="BF371" i="4"/>
  <c r="AX365" i="4" s="1"/>
  <c r="BF368" i="4"/>
  <c r="AX362" i="4" s="1"/>
  <c r="BG366" i="4"/>
  <c r="CB63" i="3"/>
  <c r="CB53" i="3"/>
  <c r="A104" i="2" l="1" a="1"/>
  <c r="AA78" i="2"/>
  <c r="AD78" i="2" s="1"/>
  <c r="AG78" i="2" s="1"/>
  <c r="AG87" i="2" s="1"/>
  <c r="L92" i="2"/>
  <c r="AA95" i="2"/>
  <c r="G98" i="2"/>
  <c r="AB100" i="2"/>
  <c r="M91" i="2"/>
  <c r="A95" i="2"/>
  <c r="AQ95" i="2" s="1"/>
  <c r="X97" i="2"/>
  <c r="D100" i="2"/>
  <c r="N90" i="2"/>
  <c r="BD90" i="2" s="1"/>
  <c r="K94" i="2"/>
  <c r="AO96" i="2"/>
  <c r="U99" i="2"/>
  <c r="L100" i="2"/>
  <c r="AK93" i="2"/>
  <c r="AD96" i="2"/>
  <c r="I99" i="2"/>
  <c r="I96" i="2"/>
  <c r="U92" i="2"/>
  <c r="AH95" i="2"/>
  <c r="N98" i="2"/>
  <c r="AH100" i="2"/>
  <c r="AN90" i="2"/>
  <c r="CD90" i="2" s="1"/>
  <c r="AH94" i="2"/>
  <c r="Q97" i="2"/>
  <c r="AL99" i="2"/>
  <c r="F92" i="2"/>
  <c r="Z95" i="2"/>
  <c r="F98" i="2"/>
  <c r="Z100" i="2"/>
  <c r="W96" i="2"/>
  <c r="AI98" i="2"/>
  <c r="AG91" i="2"/>
  <c r="Q90" i="2"/>
  <c r="BG90" i="2" s="1"/>
  <c r="BG108" i="2" s="1"/>
  <c r="B90" i="2"/>
  <c r="AR90" i="2" s="1"/>
  <c r="Z91" i="2"/>
  <c r="B97" i="2"/>
  <c r="Y90" i="2"/>
  <c r="BO90" i="2" s="1"/>
  <c r="R92" i="2"/>
  <c r="AI100" i="2"/>
  <c r="J92" i="2"/>
  <c r="AA90" i="2"/>
  <c r="BQ90" i="2" s="1"/>
  <c r="AC94" i="2"/>
  <c r="A93" i="2"/>
  <c r="AQ93" i="2" s="1"/>
  <c r="Y100" i="2"/>
  <c r="L91" i="2"/>
  <c r="X93" i="2"/>
  <c r="Z97" i="2"/>
  <c r="X95" i="2"/>
  <c r="AM93" i="2"/>
  <c r="AE93" i="2"/>
  <c r="S100" i="2"/>
  <c r="AI91" i="2"/>
  <c r="K90" i="2"/>
  <c r="BA90" i="2" s="1"/>
  <c r="M94" i="2"/>
  <c r="AO90" i="2"/>
  <c r="CE90" i="2" s="1"/>
  <c r="AG92" i="2"/>
  <c r="AO95" i="2"/>
  <c r="T98" i="2"/>
  <c r="AN100" i="2"/>
  <c r="AE91" i="2"/>
  <c r="Q95" i="2"/>
  <c r="AK97" i="2"/>
  <c r="P100" i="2"/>
  <c r="AF90" i="2"/>
  <c r="BV90" i="2" s="1"/>
  <c r="BV108" i="2" s="1"/>
  <c r="AA94" i="2"/>
  <c r="AG99" i="2"/>
  <c r="O90" i="2"/>
  <c r="BE90" i="2" s="1"/>
  <c r="L94" i="2"/>
  <c r="A97" i="2"/>
  <c r="AQ97" i="2" s="1"/>
  <c r="V99" i="2"/>
  <c r="S97" i="2"/>
  <c r="C93" i="2"/>
  <c r="F96" i="2"/>
  <c r="Z98" i="2"/>
  <c r="W90" i="2"/>
  <c r="BM90" i="2" s="1"/>
  <c r="BM108" i="2" s="1"/>
  <c r="AD92" i="2"/>
  <c r="A90" i="2"/>
  <c r="AQ90" i="2" s="1"/>
  <c r="AC93" i="2"/>
  <c r="Y96" i="2"/>
  <c r="E99" i="2"/>
  <c r="S94" i="2"/>
  <c r="AJ92" i="2"/>
  <c r="A96" i="2"/>
  <c r="AQ96" i="2" s="1"/>
  <c r="V98" i="2"/>
  <c r="AB92" i="2"/>
  <c r="AK91" i="2"/>
  <c r="R95" i="2"/>
  <c r="AM97" i="2"/>
  <c r="R100" i="2"/>
  <c r="O91" i="2"/>
  <c r="C95" i="2"/>
  <c r="AA97" i="2"/>
  <c r="F100" i="2"/>
  <c r="X100" i="2"/>
  <c r="AO93" i="2"/>
  <c r="AF96" i="2"/>
  <c r="K99" i="2"/>
  <c r="AK95" i="2"/>
  <c r="V92" i="2"/>
  <c r="AI95" i="2"/>
  <c r="O98" i="2"/>
  <c r="AJ100" i="2"/>
  <c r="AB93" i="2"/>
  <c r="X96" i="2"/>
  <c r="C99" i="2"/>
  <c r="AI94" i="2"/>
  <c r="AJ91" i="2"/>
  <c r="G94" i="2"/>
  <c r="I98" i="2"/>
  <c r="Q92" i="2"/>
  <c r="S96" i="2"/>
  <c r="AM96" i="2"/>
  <c r="H95" i="2"/>
  <c r="O96" i="2"/>
  <c r="AA98" i="2"/>
  <c r="G96" i="2"/>
  <c r="S98" i="2"/>
  <c r="Q91" i="2"/>
  <c r="AO100" i="2"/>
  <c r="M95" i="2"/>
  <c r="D99" i="2"/>
  <c r="T90" i="2"/>
  <c r="BJ90" i="2" s="1"/>
  <c r="N94" i="2"/>
  <c r="AM92" i="2"/>
  <c r="AK90" i="2"/>
  <c r="CA90" i="2" s="1"/>
  <c r="U98" i="2"/>
  <c r="C92" i="2"/>
  <c r="AF95" i="2"/>
  <c r="C98" i="2"/>
  <c r="A91" i="2"/>
  <c r="AQ91" i="2" s="1"/>
  <c r="AA91" i="2"/>
  <c r="W94" i="2"/>
  <c r="E95" i="2"/>
  <c r="G90" i="2"/>
  <c r="AW90" i="2" s="1"/>
  <c r="AW108" i="2" s="1"/>
  <c r="H94" i="2"/>
  <c r="AL96" i="2"/>
  <c r="Q99" i="2"/>
  <c r="V96" i="2"/>
  <c r="M93" i="2"/>
  <c r="N96" i="2"/>
  <c r="AH98" i="2"/>
  <c r="J95" i="2"/>
  <c r="N92" i="2"/>
  <c r="AE95" i="2"/>
  <c r="J98" i="2"/>
  <c r="AD100" i="2"/>
  <c r="AL91" i="2"/>
  <c r="S95" i="2"/>
  <c r="AN97" i="2"/>
  <c r="T100" i="2"/>
  <c r="P90" i="2"/>
  <c r="BF90" i="2" s="1"/>
  <c r="P94" i="2"/>
  <c r="C97" i="2"/>
  <c r="W99" i="2"/>
  <c r="AH96" i="2"/>
  <c r="D93" i="2"/>
  <c r="H96" i="2"/>
  <c r="AB98" i="2"/>
  <c r="F90" i="2"/>
  <c r="AV90" i="2" s="1"/>
  <c r="D94" i="2"/>
  <c r="AJ96" i="2"/>
  <c r="O99" i="2"/>
  <c r="D98" i="2"/>
  <c r="M90" i="2"/>
  <c r="BC90" i="2" s="1"/>
  <c r="Y92" i="2"/>
  <c r="AA96" i="2"/>
  <c r="AI90" i="2"/>
  <c r="BY90" i="2" s="1"/>
  <c r="BY108" i="2" s="1"/>
  <c r="AK94" i="2"/>
  <c r="AC90" i="2"/>
  <c r="BS90" i="2" s="1"/>
  <c r="BS108" i="2" s="1"/>
  <c r="AH92" i="2"/>
  <c r="AG94" i="2"/>
  <c r="D97" i="2"/>
  <c r="Y94" i="2"/>
  <c r="AK96" i="2"/>
  <c r="AM100" i="2"/>
  <c r="C90" i="2"/>
  <c r="AS90" i="2" s="1"/>
  <c r="Y98" i="2"/>
  <c r="V97" i="2"/>
  <c r="AH99" i="2"/>
  <c r="AF92" i="2"/>
  <c r="P91" i="2"/>
  <c r="I93" i="2"/>
  <c r="P95" i="2"/>
  <c r="B99" i="2"/>
  <c r="I94" i="2"/>
  <c r="U96" i="2"/>
  <c r="W100" i="2"/>
  <c r="AJ97" i="2"/>
  <c r="H92" i="2"/>
  <c r="AI96" i="2"/>
  <c r="AD90" i="2"/>
  <c r="BT90" i="2" s="1"/>
  <c r="BT108" i="2" s="1"/>
  <c r="X94" i="2"/>
  <c r="I97" i="2"/>
  <c r="AD99" i="2"/>
  <c r="N99" i="2"/>
  <c r="AI93" i="2"/>
  <c r="Z96" i="2"/>
  <c r="F99" i="2"/>
  <c r="G97" i="2"/>
  <c r="AK92" i="2"/>
  <c r="B96" i="2"/>
  <c r="W98" i="2"/>
  <c r="E93" i="2"/>
  <c r="T92" i="2"/>
  <c r="AG95" i="2"/>
  <c r="L98" i="2"/>
  <c r="AF100" i="2"/>
  <c r="AM90" i="2"/>
  <c r="CC90" i="2" s="1"/>
  <c r="CC108" i="2" s="1"/>
  <c r="AF94" i="2"/>
  <c r="P97" i="2"/>
  <c r="AK99" i="2"/>
  <c r="P98" i="2"/>
  <c r="G91" i="2"/>
  <c r="AN94" i="2"/>
  <c r="W97" i="2"/>
  <c r="AD91" i="2"/>
  <c r="O95" i="2"/>
  <c r="AI97" i="2"/>
  <c r="N100" i="2"/>
  <c r="AE90" i="2"/>
  <c r="BU90" i="2" s="1"/>
  <c r="BU108" i="2" s="1"/>
  <c r="Z94" i="2"/>
  <c r="K97" i="2"/>
  <c r="AE99" i="2"/>
  <c r="AM99" i="2"/>
  <c r="AJ93" i="2"/>
  <c r="AB96" i="2"/>
  <c r="G99" i="2"/>
  <c r="AF97" i="2"/>
  <c r="T93" i="2"/>
  <c r="Q96" i="2"/>
  <c r="AL98" i="2"/>
  <c r="C94" i="2"/>
  <c r="AM91" i="2"/>
  <c r="U95" i="2"/>
  <c r="AO97" i="2"/>
  <c r="U100" i="2"/>
  <c r="V90" i="2"/>
  <c r="BL90" i="2" s="1"/>
  <c r="BL108" i="2" s="1"/>
  <c r="R94" i="2"/>
  <c r="E97" i="2"/>
  <c r="Y99" i="2"/>
  <c r="AC91" i="2"/>
  <c r="K95" i="2"/>
  <c r="AG97" i="2"/>
  <c r="M100" i="2"/>
  <c r="E98" i="2"/>
  <c r="Q100" i="2"/>
  <c r="O93" i="2"/>
  <c r="AN91" i="2"/>
  <c r="Y91" i="2"/>
  <c r="I90" i="2"/>
  <c r="AY90" i="2" s="1"/>
  <c r="AY108" i="2" s="1"/>
  <c r="Z90" i="2"/>
  <c r="BP90" i="2" s="1"/>
  <c r="R90" i="2"/>
  <c r="BH90" i="2" s="1"/>
  <c r="E90" i="2"/>
  <c r="AU90" i="2" s="1"/>
  <c r="L95" i="2"/>
  <c r="L90" i="2"/>
  <c r="BB90" i="2" s="1"/>
  <c r="I92" i="2"/>
  <c r="K96" i="2"/>
  <c r="C100" i="2"/>
  <c r="Z93" i="2"/>
  <c r="AI92" i="2"/>
  <c r="F95" i="2"/>
  <c r="H99" i="2"/>
  <c r="F97" i="2"/>
  <c r="AE94" i="2"/>
  <c r="AO92" i="2"/>
  <c r="AD93" i="2"/>
  <c r="Q93" i="2"/>
  <c r="AH91" i="2"/>
  <c r="AJ95" i="2"/>
  <c r="AG98" i="2"/>
  <c r="U90" i="2"/>
  <c r="BK90" i="2" s="1"/>
  <c r="BK108" i="2" s="1"/>
  <c r="H90" i="2"/>
  <c r="AX90" i="2" s="1"/>
  <c r="AX108" i="2" s="1"/>
  <c r="A99" i="2"/>
  <c r="AQ99" i="2" s="1"/>
  <c r="E100" i="2"/>
  <c r="AI99" i="2"/>
  <c r="AM98" i="2"/>
  <c r="I95" i="2"/>
  <c r="J100" i="2"/>
  <c r="AM95" i="2"/>
  <c r="AL100" i="2"/>
  <c r="L97" i="2"/>
  <c r="V95" i="2"/>
  <c r="O100" i="2"/>
  <c r="T99" i="2"/>
  <c r="L99" i="2"/>
  <c r="V94" i="2"/>
  <c r="AB97" i="2"/>
  <c r="AG93" i="2"/>
  <c r="C96" i="2"/>
  <c r="J97" i="2"/>
  <c r="AK98" i="2"/>
  <c r="F94" i="2"/>
  <c r="AH93" i="2"/>
  <c r="E96" i="2"/>
  <c r="W92" i="2"/>
  <c r="M92" i="2"/>
  <c r="N91" i="2"/>
  <c r="Y95" i="2"/>
  <c r="W91" i="2"/>
  <c r="H100" i="2"/>
  <c r="W95" i="2"/>
  <c r="V100" i="2"/>
  <c r="J96" i="2"/>
  <c r="E92" i="2"/>
  <c r="AD95" i="2"/>
  <c r="AN93" i="2"/>
  <c r="E94" i="2"/>
  <c r="AL97" i="2"/>
  <c r="AD97" i="2"/>
  <c r="AN92" i="2"/>
  <c r="B92" i="2"/>
  <c r="U94" i="2"/>
  <c r="N97" i="2"/>
  <c r="X92" i="2"/>
  <c r="S91" i="2"/>
  <c r="J94" i="2"/>
  <c r="S93" i="2"/>
  <c r="AL90" i="2"/>
  <c r="CB90" i="2" s="1"/>
  <c r="AD98" i="2"/>
  <c r="AA93" i="2"/>
  <c r="T96" i="2"/>
  <c r="X90" i="2"/>
  <c r="BN90" i="2" s="1"/>
  <c r="H97" i="2"/>
  <c r="AA99" i="2"/>
  <c r="B91" i="2"/>
  <c r="AD94" i="2"/>
  <c r="J99" i="2"/>
  <c r="J93" i="2"/>
  <c r="B93" i="2"/>
  <c r="P99" i="2"/>
  <c r="O92" i="2"/>
  <c r="K98" i="2"/>
  <c r="K100" i="2"/>
  <c r="K92" i="2"/>
  <c r="AA92" i="2"/>
  <c r="AO98" i="2"/>
  <c r="T95" i="2"/>
  <c r="L93" i="2"/>
  <c r="AC95" i="2"/>
  <c r="B95" i="2"/>
  <c r="AL92" i="2"/>
  <c r="U91" i="2"/>
  <c r="AK100" i="2"/>
  <c r="AG96" i="2"/>
  <c r="F91" i="2"/>
  <c r="U97" i="2"/>
  <c r="AB99" i="2"/>
  <c r="AL94" i="2"/>
  <c r="G93" i="2"/>
  <c r="R91" i="2"/>
  <c r="AB91" i="2"/>
  <c r="T91" i="2"/>
  <c r="AH97" i="2"/>
  <c r="M98" i="2"/>
  <c r="AC96" i="2"/>
  <c r="AC98" i="2"/>
  <c r="AG100" i="2"/>
  <c r="D91" i="2"/>
  <c r="R97" i="2"/>
  <c r="AE96" i="2"/>
  <c r="L96" i="2"/>
  <c r="AN96" i="2"/>
  <c r="P96" i="2"/>
  <c r="AB94" i="2"/>
  <c r="U93" i="2"/>
  <c r="V91" i="2"/>
  <c r="AE97" i="2"/>
  <c r="AC92" i="2"/>
  <c r="R98" i="2"/>
  <c r="AO94" i="2"/>
  <c r="J90" i="2"/>
  <c r="AZ90" i="2" s="1"/>
  <c r="AZ108" i="2" s="1"/>
  <c r="X99" i="2"/>
  <c r="AG90" i="2"/>
  <c r="BW90" i="2" s="1"/>
  <c r="BW108" i="2" s="1"/>
  <c r="AJ90" i="2"/>
  <c r="BZ90" i="2" s="1"/>
  <c r="BZ108" i="2" s="1"/>
  <c r="AB90" i="2"/>
  <c r="BR90" i="2" s="1"/>
  <c r="BR108" i="2" s="1"/>
  <c r="F93" i="2"/>
  <c r="W93" i="2"/>
  <c r="A92" i="2"/>
  <c r="AQ92" i="2" s="1"/>
  <c r="A94" i="2"/>
  <c r="AQ94" i="2" s="1"/>
  <c r="G100" i="2"/>
  <c r="D90" i="2"/>
  <c r="AT90" i="2" s="1"/>
  <c r="AE92" i="2"/>
  <c r="Q98" i="2"/>
  <c r="AF98" i="2"/>
  <c r="H98" i="2"/>
  <c r="M97" i="2"/>
  <c r="D96" i="2"/>
  <c r="G95" i="2"/>
  <c r="D92" i="2"/>
  <c r="B98" i="2"/>
  <c r="K93" i="2"/>
  <c r="AE98" i="2"/>
  <c r="R93" i="2"/>
  <c r="AF99" i="2"/>
  <c r="A98" i="2"/>
  <c r="AQ98" i="2" s="1"/>
  <c r="AJ99" i="2"/>
  <c r="I100" i="2"/>
  <c r="A100" i="2"/>
  <c r="AQ100" i="2" s="1"/>
  <c r="X91" i="2"/>
  <c r="AA100" i="2"/>
  <c r="S90" i="2"/>
  <c r="BI90" i="2" s="1"/>
  <c r="S92" i="2"/>
  <c r="AL93" i="2"/>
  <c r="Z99" i="2"/>
  <c r="H91" i="2"/>
  <c r="K91" i="2"/>
  <c r="B100" i="2"/>
  <c r="S99" i="2"/>
  <c r="Y97" i="2"/>
  <c r="O97" i="2"/>
  <c r="R96" i="2"/>
  <c r="Y93" i="2"/>
  <c r="AN98" i="2"/>
  <c r="T94" i="2"/>
  <c r="AC99" i="2"/>
  <c r="Z92" i="2"/>
  <c r="D95" i="2"/>
  <c r="N93" i="2"/>
  <c r="T97" i="2"/>
  <c r="AL95" i="2"/>
  <c r="N95" i="2"/>
  <c r="AH90" i="2"/>
  <c r="BX90" i="2" s="1"/>
  <c r="BX108" i="2" s="1"/>
  <c r="AN95" i="2"/>
  <c r="I91" i="2"/>
  <c r="R99" i="2"/>
  <c r="O94" i="2"/>
  <c r="AM94" i="2"/>
  <c r="H93" i="2"/>
  <c r="G92" i="2"/>
  <c r="E91" i="2"/>
  <c r="AC100" i="2"/>
  <c r="AJ98" i="2"/>
  <c r="X98" i="2"/>
  <c r="AC97" i="2"/>
  <c r="B94" i="2"/>
  <c r="M99" i="2"/>
  <c r="AJ94" i="2"/>
  <c r="AO99" i="2"/>
  <c r="C91" i="2"/>
  <c r="V93" i="2"/>
  <c r="AF91" i="2"/>
  <c r="J91" i="2"/>
  <c r="AN99" i="2"/>
  <c r="AF93" i="2"/>
  <c r="AB95" i="2"/>
  <c r="Q94" i="2"/>
  <c r="AE100" i="2"/>
  <c r="M96" i="2"/>
  <c r="AO91" i="2"/>
  <c r="P93" i="2"/>
  <c r="P92" i="2"/>
  <c r="AZ356" i="6"/>
  <c r="AZ358" i="6" s="1"/>
  <c r="AZ362" i="6"/>
  <c r="AZ356" i="5"/>
  <c r="AZ358" i="5"/>
  <c r="AQ343" i="4"/>
  <c r="AQ332" i="4"/>
  <c r="DH39" i="4" s="1"/>
  <c r="DG82" i="4" s="1"/>
  <c r="AO341" i="4"/>
  <c r="BE335" i="4"/>
  <c r="DL30" i="4" s="1"/>
  <c r="DK74" i="4" s="1"/>
  <c r="BH327" i="4"/>
  <c r="AZ361" i="4"/>
  <c r="AV108" i="2" l="1"/>
  <c r="CL108" i="2" s="1"/>
  <c r="E1" i="10" s="1"/>
  <c r="CL90" i="2"/>
  <c r="E1" i="9" s="1"/>
  <c r="CN90" i="2"/>
  <c r="G1" i="9" s="1"/>
  <c r="CB108" i="2"/>
  <c r="CN108" i="2" s="1"/>
  <c r="G1" i="10" s="1"/>
  <c r="AN102" i="2"/>
  <c r="AK101" i="2"/>
  <c r="CO90" i="2"/>
  <c r="H1" i="9" s="1"/>
  <c r="CD108" i="2"/>
  <c r="CO108" i="2" s="1"/>
  <c r="H1" i="10" s="1"/>
  <c r="CG95" i="2"/>
  <c r="A6" i="9" s="1"/>
  <c r="AQ113" i="2"/>
  <c r="CG113" i="2" s="1"/>
  <c r="A6" i="10" s="1"/>
  <c r="CJ90" i="2"/>
  <c r="AT108" i="2"/>
  <c r="CJ108" i="2" s="1"/>
  <c r="AL102" i="2"/>
  <c r="CK90" i="2"/>
  <c r="D1" i="9" s="1"/>
  <c r="AU108" i="2"/>
  <c r="CK108" i="2" s="1"/>
  <c r="D1" i="10" s="1"/>
  <c r="CM90" i="2"/>
  <c r="F1" i="9" s="1"/>
  <c r="CA108" i="2"/>
  <c r="CM108" i="2" s="1"/>
  <c r="F1" i="10" s="1"/>
  <c r="CG90" i="2"/>
  <c r="A1" i="9" s="1"/>
  <c r="AQ108" i="2"/>
  <c r="CG108" i="2" s="1"/>
  <c r="A1" i="10" s="1"/>
  <c r="CG97" i="2"/>
  <c r="A8" i="9" s="1"/>
  <c r="AQ115" i="2"/>
  <c r="CG115" i="2" s="1"/>
  <c r="A8" i="10" s="1"/>
  <c r="BA108" i="2"/>
  <c r="CP108" i="2" s="1"/>
  <c r="I1" i="10" s="1"/>
  <c r="CP90" i="2"/>
  <c r="I1" i="9" s="1"/>
  <c r="CZ90" i="2"/>
  <c r="R1" i="9" s="1"/>
  <c r="BO108" i="2"/>
  <c r="CZ108" i="2" s="1"/>
  <c r="R1" i="10" s="1"/>
  <c r="AH101" i="2"/>
  <c r="AI102" i="2"/>
  <c r="CV90" i="2"/>
  <c r="N1" i="9" s="1"/>
  <c r="BH108" i="2"/>
  <c r="CV108" i="2" s="1"/>
  <c r="N1" i="10" s="1"/>
  <c r="AF102" i="2"/>
  <c r="BC108" i="2"/>
  <c r="CR108" i="2" s="1"/>
  <c r="K1" i="10" s="1"/>
  <c r="CR90" i="2"/>
  <c r="K1" i="9" s="1"/>
  <c r="AM102" i="2"/>
  <c r="A101" i="2"/>
  <c r="AQ101" i="2" s="1"/>
  <c r="AI101" i="2"/>
  <c r="A102" i="2"/>
  <c r="AQ102" i="2" s="1"/>
  <c r="CG98" i="2"/>
  <c r="A9" i="9" s="1"/>
  <c r="AQ116" i="2"/>
  <c r="CG116" i="2" s="1"/>
  <c r="A9" i="10" s="1"/>
  <c r="CG94" i="2"/>
  <c r="A5" i="9" s="1"/>
  <c r="AQ112" i="2"/>
  <c r="CG112" i="2" s="1"/>
  <c r="A5" i="10" s="1"/>
  <c r="AL101" i="2"/>
  <c r="AJ101" i="2"/>
  <c r="CG96" i="2"/>
  <c r="A7" i="9" s="1"/>
  <c r="AQ114" i="2"/>
  <c r="CG114" i="2" s="1"/>
  <c r="A7" i="10" s="1"/>
  <c r="BE108" i="2"/>
  <c r="CT108" i="2" s="1"/>
  <c r="CT90" i="2"/>
  <c r="AQ111" i="2"/>
  <c r="CG111" i="2" s="1"/>
  <c r="A4" i="10" s="1"/>
  <c r="CG93" i="2"/>
  <c r="A4" i="9" s="1"/>
  <c r="DA90" i="2"/>
  <c r="S1" i="9" s="1"/>
  <c r="BP108" i="2"/>
  <c r="DA108" i="2" s="1"/>
  <c r="S1" i="10" s="1"/>
  <c r="AQ110" i="2"/>
  <c r="CG110" i="2" s="1"/>
  <c r="A3" i="10" s="1"/>
  <c r="CG92" i="2"/>
  <c r="A3" i="9" s="1"/>
  <c r="CY90" i="2"/>
  <c r="Q1" i="9" s="1"/>
  <c r="BN108" i="2"/>
  <c r="CY108" i="2" s="1"/>
  <c r="Q1" i="10" s="1"/>
  <c r="AH102" i="2"/>
  <c r="AQ109" i="2"/>
  <c r="CG109" i="2" s="1"/>
  <c r="A2" i="10" s="1"/>
  <c r="CG91" i="2"/>
  <c r="A2" i="9" s="1"/>
  <c r="BJ108" i="2"/>
  <c r="CX108" i="2" s="1"/>
  <c r="P1" i="10" s="1"/>
  <c r="CX90" i="2"/>
  <c r="P1" i="9" s="1"/>
  <c r="AJ102" i="2"/>
  <c r="CH90" i="2"/>
  <c r="B1" i="9" s="1"/>
  <c r="AR108" i="2"/>
  <c r="CH108" i="2" s="1"/>
  <c r="B1" i="10" s="1"/>
  <c r="CG100" i="2"/>
  <c r="A11" i="9" s="1"/>
  <c r="AQ118" i="2"/>
  <c r="CG118" i="2" s="1"/>
  <c r="A11" i="10" s="1"/>
  <c r="AM101" i="2"/>
  <c r="DB90" i="2"/>
  <c r="T1" i="9" s="1"/>
  <c r="BQ108" i="2"/>
  <c r="DB108" i="2" s="1"/>
  <c r="T1" i="10" s="1"/>
  <c r="CS90" i="2"/>
  <c r="L1" i="9" s="1"/>
  <c r="BD108" i="2"/>
  <c r="CS108" i="2" s="1"/>
  <c r="L1" i="10" s="1"/>
  <c r="CQ90" i="2"/>
  <c r="J1" i="9" s="1"/>
  <c r="BB108" i="2"/>
  <c r="CQ108" i="2" s="1"/>
  <c r="J1" i="10" s="1"/>
  <c r="CU90" i="2"/>
  <c r="M1" i="9" s="1"/>
  <c r="BF108" i="2"/>
  <c r="CU108" i="2" s="1"/>
  <c r="M1" i="10" s="1"/>
  <c r="AF101" i="2"/>
  <c r="BI108" i="2"/>
  <c r="CW108" i="2" s="1"/>
  <c r="O1" i="10" s="1"/>
  <c r="CW90" i="2"/>
  <c r="O1" i="9" s="1"/>
  <c r="AQ117" i="2"/>
  <c r="CG117" i="2" s="1"/>
  <c r="A10" i="10" s="1"/>
  <c r="CG99" i="2"/>
  <c r="A10" i="9" s="1"/>
  <c r="AN101" i="2"/>
  <c r="AK102" i="2"/>
  <c r="AS108" i="2"/>
  <c r="CI108" i="2" s="1"/>
  <c r="C1" i="10" s="1"/>
  <c r="CI90" i="2"/>
  <c r="C1" i="9" s="1"/>
  <c r="AG102" i="2"/>
  <c r="AG101" i="2"/>
  <c r="Y104" i="2"/>
  <c r="K104" i="2"/>
  <c r="AI114" i="2"/>
  <c r="BY100" i="2" s="1"/>
  <c r="BY118" i="2" s="1"/>
  <c r="AL104" i="2"/>
  <c r="AL109" i="2"/>
  <c r="CB95" i="2" s="1"/>
  <c r="CB113" i="2" s="1"/>
  <c r="Z104" i="2"/>
  <c r="D104" i="2"/>
  <c r="H114" i="2"/>
  <c r="AX100" i="2" s="1"/>
  <c r="AX118" i="2" s="1"/>
  <c r="S111" i="2"/>
  <c r="BI97" i="2" s="1"/>
  <c r="AJ107" i="2"/>
  <c r="BZ93" i="2" s="1"/>
  <c r="BZ111" i="2" s="1"/>
  <c r="N109" i="2"/>
  <c r="BD95" i="2" s="1"/>
  <c r="CS95" i="2" s="1"/>
  <c r="L6" i="9" s="1"/>
  <c r="G113" i="2"/>
  <c r="AW99" i="2" s="1"/>
  <c r="AW117" i="2" s="1"/>
  <c r="AO114" i="2"/>
  <c r="AA110" i="2"/>
  <c r="BQ96" i="2" s="1"/>
  <c r="X104" i="2"/>
  <c r="C114" i="2"/>
  <c r="AS100" i="2" s="1"/>
  <c r="Q109" i="2"/>
  <c r="BG95" i="2" s="1"/>
  <c r="BG113" i="2" s="1"/>
  <c r="C109" i="2"/>
  <c r="AS95" i="2" s="1"/>
  <c r="AI109" i="2"/>
  <c r="BY95" i="2" s="1"/>
  <c r="BY113" i="2" s="1"/>
  <c r="AB110" i="2"/>
  <c r="BR96" i="2" s="1"/>
  <c r="BR114" i="2" s="1"/>
  <c r="AI110" i="2"/>
  <c r="BY96" i="2" s="1"/>
  <c r="BY114" i="2" s="1"/>
  <c r="U110" i="2"/>
  <c r="BK96" i="2" s="1"/>
  <c r="BK114" i="2" s="1"/>
  <c r="AB106" i="2"/>
  <c r="BR92" i="2" s="1"/>
  <c r="BR110" i="2" s="1"/>
  <c r="F112" i="2"/>
  <c r="AV98" i="2" s="1"/>
  <c r="A107" i="2"/>
  <c r="G106" i="2"/>
  <c r="AW92" i="2" s="1"/>
  <c r="AW110" i="2" s="1"/>
  <c r="AH105" i="2"/>
  <c r="AH115" i="2" s="1"/>
  <c r="T112" i="2"/>
  <c r="BJ98" i="2" s="1"/>
  <c r="O109" i="2"/>
  <c r="BE95" i="2" s="1"/>
  <c r="V107" i="2"/>
  <c r="BL93" i="2" s="1"/>
  <c r="BL111" i="2" s="1"/>
  <c r="B110" i="2"/>
  <c r="AR96" i="2" s="1"/>
  <c r="V114" i="2"/>
  <c r="BL100" i="2" s="1"/>
  <c r="BL118" i="2" s="1"/>
  <c r="G112" i="2"/>
  <c r="AW98" i="2" s="1"/>
  <c r="AW116" i="2" s="1"/>
  <c r="AO106" i="2"/>
  <c r="T109" i="2"/>
  <c r="BJ95" i="2" s="1"/>
  <c r="T104" i="2"/>
  <c r="J107" i="2"/>
  <c r="AZ93" i="2" s="1"/>
  <c r="AZ111" i="2" s="1"/>
  <c r="M105" i="2"/>
  <c r="BC91" i="2" s="1"/>
  <c r="AH110" i="2"/>
  <c r="BX96" i="2" s="1"/>
  <c r="BX114" i="2" s="1"/>
  <c r="G109" i="2"/>
  <c r="AW95" i="2" s="1"/>
  <c r="AW113" i="2" s="1"/>
  <c r="P107" i="2"/>
  <c r="BF93" i="2" s="1"/>
  <c r="B104" i="2"/>
  <c r="R109" i="2"/>
  <c r="BH95" i="2" s="1"/>
  <c r="H105" i="2"/>
  <c r="AX91" i="2" s="1"/>
  <c r="AX109" i="2" s="1"/>
  <c r="V111" i="2"/>
  <c r="BL97" i="2" s="1"/>
  <c r="BL115" i="2" s="1"/>
  <c r="U109" i="2"/>
  <c r="BK95" i="2" s="1"/>
  <c r="BK113" i="2" s="1"/>
  <c r="J111" i="2"/>
  <c r="AZ97" i="2" s="1"/>
  <c r="AZ115" i="2" s="1"/>
  <c r="AN114" i="2"/>
  <c r="CD100" i="2" s="1"/>
  <c r="CD118" i="2" s="1"/>
  <c r="AM105" i="2"/>
  <c r="AM115" i="2" s="1"/>
  <c r="AB111" i="2"/>
  <c r="BR97" i="2" s="1"/>
  <c r="BR115" i="2" s="1"/>
  <c r="M110" i="2"/>
  <c r="BC96" i="2" s="1"/>
  <c r="CR96" i="2" s="1"/>
  <c r="K7" i="9" s="1"/>
  <c r="P112" i="2"/>
  <c r="BF98" i="2" s="1"/>
  <c r="A105" i="2"/>
  <c r="R111" i="2"/>
  <c r="BH97" i="2" s="1"/>
  <c r="A114" i="2"/>
  <c r="AN112" i="2"/>
  <c r="CD98" i="2" s="1"/>
  <c r="CD116" i="2" s="1"/>
  <c r="T107" i="2"/>
  <c r="BJ93" i="2" s="1"/>
  <c r="P114" i="2"/>
  <c r="BF100" i="2" s="1"/>
  <c r="O108" i="2"/>
  <c r="BE94" i="2" s="1"/>
  <c r="A104" i="2"/>
  <c r="Q108" i="2"/>
  <c r="BG94" i="2" s="1"/>
  <c r="BG112" i="2" s="1"/>
  <c r="U108" i="2"/>
  <c r="BK94" i="2" s="1"/>
  <c r="BK112" i="2" s="1"/>
  <c r="S109" i="2"/>
  <c r="BI95" i="2" s="1"/>
  <c r="Q107" i="2"/>
  <c r="BG93" i="2" s="1"/>
  <c r="BG111" i="2" s="1"/>
  <c r="AJ109" i="2"/>
  <c r="BZ95" i="2" s="1"/>
  <c r="BZ113" i="2" s="1"/>
  <c r="Z112" i="2"/>
  <c r="BP98" i="2" s="1"/>
  <c r="V108" i="2"/>
  <c r="BL94" i="2" s="1"/>
  <c r="BL112" i="2" s="1"/>
  <c r="AC109" i="2"/>
  <c r="BS95" i="2" s="1"/>
  <c r="BS113" i="2" s="1"/>
  <c r="AN109" i="2"/>
  <c r="CD95" i="2" s="1"/>
  <c r="CD113" i="2" s="1"/>
  <c r="AF107" i="2"/>
  <c r="BV93" i="2" s="1"/>
  <c r="BV111" i="2" s="1"/>
  <c r="AC114" i="2"/>
  <c r="BS100" i="2" s="1"/>
  <c r="BS118" i="2" s="1"/>
  <c r="AG113" i="2"/>
  <c r="BW99" i="2" s="1"/>
  <c r="BW117" i="2" s="1"/>
  <c r="J104" i="2"/>
  <c r="AE110" i="2"/>
  <c r="BU96" i="2" s="1"/>
  <c r="BU114" i="2" s="1"/>
  <c r="AL105" i="2"/>
  <c r="AL115" i="2" s="1"/>
  <c r="CB101" i="2" s="1"/>
  <c r="E113" i="2"/>
  <c r="AU99" i="2" s="1"/>
  <c r="C113" i="2"/>
  <c r="AS99" i="2" s="1"/>
  <c r="V110" i="2"/>
  <c r="BL96" i="2" s="1"/>
  <c r="BL114" i="2" s="1"/>
  <c r="AL110" i="2"/>
  <c r="CB96" i="2" s="1"/>
  <c r="CB114" i="2" s="1"/>
  <c r="F113" i="2"/>
  <c r="AV99" i="2" s="1"/>
  <c r="K111" i="2"/>
  <c r="BA97" i="2" s="1"/>
  <c r="AE114" i="2"/>
  <c r="BU100" i="2" s="1"/>
  <c r="BU118" i="2" s="1"/>
  <c r="E107" i="2"/>
  <c r="AU93" i="2" s="1"/>
  <c r="I110" i="2"/>
  <c r="AY96" i="2" s="1"/>
  <c r="AY114" i="2" s="1"/>
  <c r="O107" i="2"/>
  <c r="BE93" i="2" s="1"/>
  <c r="H104" i="2"/>
  <c r="C110" i="2"/>
  <c r="AS96" i="2" s="1"/>
  <c r="X112" i="2"/>
  <c r="BN98" i="2" s="1"/>
  <c r="AN105" i="2"/>
  <c r="AN115" i="2" s="1"/>
  <c r="C104" i="2"/>
  <c r="Y110" i="2"/>
  <c r="BO96" i="2" s="1"/>
  <c r="AL114" i="2"/>
  <c r="CB100" i="2" s="1"/>
  <c r="CB118" i="2" s="1"/>
  <c r="A112" i="2"/>
  <c r="C107" i="2"/>
  <c r="AS93" i="2" s="1"/>
  <c r="F109" i="2"/>
  <c r="AV95" i="2" s="1"/>
  <c r="AA106" i="2"/>
  <c r="BQ92" i="2" s="1"/>
  <c r="AG107" i="2"/>
  <c r="BW93" i="2" s="1"/>
  <c r="BW111" i="2" s="1"/>
  <c r="V106" i="2"/>
  <c r="BL92" i="2" s="1"/>
  <c r="BL110" i="2" s="1"/>
  <c r="J112" i="2"/>
  <c r="AZ98" i="2" s="1"/>
  <c r="AZ116" i="2" s="1"/>
  <c r="AD110" i="2"/>
  <c r="BT96" i="2" s="1"/>
  <c r="BT114" i="2" s="1"/>
  <c r="AG108" i="2"/>
  <c r="BW94" i="2" s="1"/>
  <c r="BW112" i="2" s="1"/>
  <c r="X114" i="2"/>
  <c r="BN100" i="2" s="1"/>
  <c r="AA107" i="2"/>
  <c r="BQ93" i="2" s="1"/>
  <c r="AH104" i="2"/>
  <c r="D112" i="2"/>
  <c r="AT98" i="2" s="1"/>
  <c r="AF110" i="2"/>
  <c r="BV96" i="2" s="1"/>
  <c r="BV114" i="2" s="1"/>
  <c r="AD108" i="2"/>
  <c r="BT94" i="2" s="1"/>
  <c r="BT112" i="2" s="1"/>
  <c r="AB105" i="2"/>
  <c r="BR91" i="2" s="1"/>
  <c r="BR109" i="2" s="1"/>
  <c r="E106" i="2"/>
  <c r="AU92" i="2" s="1"/>
  <c r="CK92" i="2" s="1"/>
  <c r="D3" i="9" s="1"/>
  <c r="AB109" i="2"/>
  <c r="BR95" i="2" s="1"/>
  <c r="BR113" i="2" s="1"/>
  <c r="L109" i="2"/>
  <c r="BB95" i="2" s="1"/>
  <c r="CQ95" i="2" s="1"/>
  <c r="J6" i="9" s="1"/>
  <c r="AN110" i="2"/>
  <c r="CD96" i="2" s="1"/>
  <c r="CD114" i="2" s="1"/>
  <c r="W114" i="2"/>
  <c r="BM100" i="2" s="1"/>
  <c r="BM118" i="2" s="1"/>
  <c r="AA104" i="2"/>
  <c r="D106" i="2"/>
  <c r="AT92" i="2" s="1"/>
  <c r="J106" i="2"/>
  <c r="AZ92" i="2" s="1"/>
  <c r="AZ110" i="2" s="1"/>
  <c r="AN107" i="2"/>
  <c r="CD93" i="2" s="1"/>
  <c r="CD111" i="2" s="1"/>
  <c r="O105" i="2"/>
  <c r="BE91" i="2" s="1"/>
  <c r="CT91" i="2" s="1"/>
  <c r="A108" i="2"/>
  <c r="AB113" i="2"/>
  <c r="BR99" i="2" s="1"/>
  <c r="BR117" i="2" s="1"/>
  <c r="AD104" i="2"/>
  <c r="C106" i="2"/>
  <c r="AS92" i="2" s="1"/>
  <c r="CI92" i="2" s="1"/>
  <c r="C3" i="9" s="1"/>
  <c r="W107" i="2"/>
  <c r="BM93" i="2" s="1"/>
  <c r="BM111" i="2" s="1"/>
  <c r="AI107" i="2"/>
  <c r="BY93" i="2" s="1"/>
  <c r="BY111" i="2" s="1"/>
  <c r="N111" i="2"/>
  <c r="BD97" i="2" s="1"/>
  <c r="CS97" i="2" s="1"/>
  <c r="L8" i="9" s="1"/>
  <c r="AM106" i="2"/>
  <c r="AM116" i="2" s="1"/>
  <c r="AJ113" i="2"/>
  <c r="BZ99" i="2" s="1"/>
  <c r="BZ117" i="2" s="1"/>
  <c r="K105" i="2"/>
  <c r="BA91" i="2" s="1"/>
  <c r="AL107" i="2"/>
  <c r="CB93" i="2" s="1"/>
  <c r="CB111" i="2" s="1"/>
  <c r="M108" i="2"/>
  <c r="BC94" i="2" s="1"/>
  <c r="CR94" i="2" s="1"/>
  <c r="K5" i="9" s="1"/>
  <c r="S110" i="2"/>
  <c r="BI96" i="2" s="1"/>
  <c r="W109" i="2"/>
  <c r="BM95" i="2" s="1"/>
  <c r="BM113" i="2" s="1"/>
  <c r="AO113" i="2"/>
  <c r="Z105" i="2"/>
  <c r="BP91" i="2" s="1"/>
  <c r="J114" i="2"/>
  <c r="AZ100" i="2" s="1"/>
  <c r="AZ118" i="2" s="1"/>
  <c r="K114" i="2"/>
  <c r="BA100" i="2" s="1"/>
  <c r="G104" i="2"/>
  <c r="W110" i="2"/>
  <c r="BM96" i="2" s="1"/>
  <c r="BM114" i="2" s="1"/>
  <c r="AJ105" i="2"/>
  <c r="AJ115" i="2" s="1"/>
  <c r="BZ101" i="2" s="1"/>
  <c r="BZ119" i="2" s="1"/>
  <c r="F110" i="2"/>
  <c r="AV96" i="2" s="1"/>
  <c r="D110" i="2"/>
  <c r="AT96" i="2" s="1"/>
  <c r="L108" i="2"/>
  <c r="BB94" i="2" s="1"/>
  <c r="CQ94" i="2" s="1"/>
  <c r="J5" i="9" s="1"/>
  <c r="E110" i="2"/>
  <c r="AU96" i="2" s="1"/>
  <c r="AH114" i="2"/>
  <c r="BX100" i="2" s="1"/>
  <c r="BX118" i="2" s="1"/>
  <c r="Q111" i="2"/>
  <c r="BG97" i="2" s="1"/>
  <c r="BG115" i="2" s="1"/>
  <c r="R108" i="2"/>
  <c r="BH94" i="2" s="1"/>
  <c r="AE104" i="2"/>
  <c r="O111" i="2"/>
  <c r="BE97" i="2" s="1"/>
  <c r="X108" i="2"/>
  <c r="BN94" i="2" s="1"/>
  <c r="M112" i="2"/>
  <c r="BC98" i="2" s="1"/>
  <c r="CR98" i="2" s="1"/>
  <c r="K9" i="9" s="1"/>
  <c r="AA108" i="2"/>
  <c r="BQ94" i="2" s="1"/>
  <c r="AM109" i="2"/>
  <c r="CC95" i="2" s="1"/>
  <c r="CC113" i="2" s="1"/>
  <c r="N114" i="2"/>
  <c r="BD100" i="2" s="1"/>
  <c r="Y112" i="2"/>
  <c r="BO98" i="2" s="1"/>
  <c r="M109" i="2"/>
  <c r="BC95" i="2" s="1"/>
  <c r="CR95" i="2" s="1"/>
  <c r="K6" i="9" s="1"/>
  <c r="M107" i="2"/>
  <c r="BC93" i="2" s="1"/>
  <c r="AG111" i="2"/>
  <c r="BW97" i="2" s="1"/>
  <c r="BW115" i="2" s="1"/>
  <c r="W104" i="2"/>
  <c r="AD112" i="2"/>
  <c r="BT98" i="2" s="1"/>
  <c r="BT116" i="2" s="1"/>
  <c r="AO112" i="2"/>
  <c r="K107" i="2"/>
  <c r="BA93" i="2" s="1"/>
  <c r="CP93" i="2" s="1"/>
  <c r="I4" i="9" s="1"/>
  <c r="D109" i="2"/>
  <c r="AT95" i="2" s="1"/>
  <c r="V113" i="2"/>
  <c r="BL99" i="2" s="1"/>
  <c r="BL117" i="2" s="1"/>
  <c r="S104" i="2"/>
  <c r="AE113" i="2"/>
  <c r="BU99" i="2" s="1"/>
  <c r="BU117" i="2" s="1"/>
  <c r="H107" i="2"/>
  <c r="AX93" i="2" s="1"/>
  <c r="AX111" i="2" s="1"/>
  <c r="Z111" i="2"/>
  <c r="BP97" i="2" s="1"/>
  <c r="E108" i="2"/>
  <c r="AU94" i="2" s="1"/>
  <c r="AA109" i="2"/>
  <c r="BQ95" i="2" s="1"/>
  <c r="F114" i="2"/>
  <c r="AV100" i="2" s="1"/>
  <c r="AH106" i="2"/>
  <c r="AH116" i="2" s="1"/>
  <c r="BX102" i="2" s="1"/>
  <c r="CK102" i="2" s="1"/>
  <c r="D13" i="9" s="1"/>
  <c r="AM108" i="2"/>
  <c r="CC94" i="2" s="1"/>
  <c r="CC112" i="2" s="1"/>
  <c r="Y113" i="2"/>
  <c r="BO99" i="2" s="1"/>
  <c r="AJ110" i="2"/>
  <c r="BZ96" i="2" s="1"/>
  <c r="BZ114" i="2" s="1"/>
  <c r="B107" i="2"/>
  <c r="AR93" i="2" s="1"/>
  <c r="AB107" i="2"/>
  <c r="BR93" i="2" s="1"/>
  <c r="BR111" i="2" s="1"/>
  <c r="X107" i="2"/>
  <c r="BN93" i="2" s="1"/>
  <c r="V112" i="2"/>
  <c r="BL98" i="2" s="1"/>
  <c r="BL116" i="2" s="1"/>
  <c r="E109" i="2"/>
  <c r="AU95" i="2" s="1"/>
  <c r="AJ112" i="2"/>
  <c r="BZ98" i="2" s="1"/>
  <c r="BZ116" i="2" s="1"/>
  <c r="C111" i="2"/>
  <c r="AS97" i="2" s="1"/>
  <c r="E104" i="2"/>
  <c r="AK114" i="2"/>
  <c r="CA100" i="2" s="1"/>
  <c r="CA118" i="2" s="1"/>
  <c r="AJ106" i="2"/>
  <c r="AJ116" i="2" s="1"/>
  <c r="BZ102" i="2" s="1"/>
  <c r="BZ120" i="2" s="1"/>
  <c r="E111" i="2"/>
  <c r="AU97" i="2" s="1"/>
  <c r="L105" i="2"/>
  <c r="BB91" i="2" s="1"/>
  <c r="BB109" i="2" s="1"/>
  <c r="AK112" i="2"/>
  <c r="CA98" i="2" s="1"/>
  <c r="CA116" i="2" s="1"/>
  <c r="J110" i="2"/>
  <c r="AZ96" i="2" s="1"/>
  <c r="AZ114" i="2" s="1"/>
  <c r="Y105" i="2"/>
  <c r="BO91" i="2" s="1"/>
  <c r="R114" i="2"/>
  <c r="BH100" i="2" s="1"/>
  <c r="T111" i="2"/>
  <c r="BJ97" i="2" s="1"/>
  <c r="AK105" i="2"/>
  <c r="AK115" i="2" s="1"/>
  <c r="AC112" i="2"/>
  <c r="BS98" i="2" s="1"/>
  <c r="BS116" i="2" s="1"/>
  <c r="U114" i="2"/>
  <c r="BK100" i="2" s="1"/>
  <c r="BK118" i="2" s="1"/>
  <c r="AF105" i="2"/>
  <c r="AF115" i="2" s="1"/>
  <c r="BV101" i="2" s="1"/>
  <c r="CI101" i="2" s="1"/>
  <c r="C12" i="9" s="1"/>
  <c r="AD105" i="2"/>
  <c r="BT91" i="2" s="1"/>
  <c r="BT109" i="2" s="1"/>
  <c r="Z109" i="2"/>
  <c r="BP95" i="2" s="1"/>
  <c r="G108" i="2"/>
  <c r="AW94" i="2" s="1"/>
  <c r="AW112" i="2" s="1"/>
  <c r="C108" i="2"/>
  <c r="AS94" i="2" s="1"/>
  <c r="F104" i="2"/>
  <c r="AF109" i="2"/>
  <c r="BV95" i="2" s="1"/>
  <c r="BV113" i="2" s="1"/>
  <c r="S107" i="2"/>
  <c r="BI93" i="2" s="1"/>
  <c r="CW93" i="2" s="1"/>
  <c r="O4" i="9" s="1"/>
  <c r="B108" i="2"/>
  <c r="AR94" i="2" s="1"/>
  <c r="K110" i="2"/>
  <c r="BA96" i="2" s="1"/>
  <c r="AC104" i="2"/>
  <c r="AK107" i="2"/>
  <c r="CA93" i="2" s="1"/>
  <c r="CA111" i="2" s="1"/>
  <c r="AF112" i="2"/>
  <c r="BV98" i="2" s="1"/>
  <c r="BV116" i="2" s="1"/>
  <c r="AG104" i="2"/>
  <c r="E114" i="2"/>
  <c r="AU100" i="2" s="1"/>
  <c r="S112" i="2"/>
  <c r="BI98" i="2" s="1"/>
  <c r="AJ104" i="2"/>
  <c r="AC108" i="2"/>
  <c r="BS94" i="2" s="1"/>
  <c r="BS112" i="2" s="1"/>
  <c r="AF111" i="2"/>
  <c r="BV97" i="2" s="1"/>
  <c r="BV115" i="2" s="1"/>
  <c r="N107" i="2"/>
  <c r="BD93" i="2" s="1"/>
  <c r="AD113" i="2"/>
  <c r="BT99" i="2" s="1"/>
  <c r="BT117" i="2" s="1"/>
  <c r="AF114" i="2"/>
  <c r="BV100" i="2" s="1"/>
  <c r="BV118" i="2" s="1"/>
  <c r="U105" i="2"/>
  <c r="BK91" i="2" s="1"/>
  <c r="BK109" i="2" s="1"/>
  <c r="B105" i="2"/>
  <c r="AR91" i="2" s="1"/>
  <c r="Q104" i="2"/>
  <c r="AH109" i="2"/>
  <c r="BX95" i="2" s="1"/>
  <c r="BX113" i="2" s="1"/>
  <c r="S113" i="2"/>
  <c r="BI99" i="2" s="1"/>
  <c r="AJ111" i="2"/>
  <c r="BZ97" i="2" s="1"/>
  <c r="BZ115" i="2" s="1"/>
  <c r="D111" i="2"/>
  <c r="AT97" i="2" s="1"/>
  <c r="AC105" i="2"/>
  <c r="BS91" i="2" s="1"/>
  <c r="BS109" i="2" s="1"/>
  <c r="L113" i="2"/>
  <c r="BB99" i="2" s="1"/>
  <c r="CQ99" i="2" s="1"/>
  <c r="J10" i="9" s="1"/>
  <c r="AH113" i="2"/>
  <c r="BX99" i="2" s="1"/>
  <c r="BX117" i="2" s="1"/>
  <c r="P111" i="2"/>
  <c r="BF97" i="2" s="1"/>
  <c r="AK106" i="2"/>
  <c r="AK116" i="2" s="1"/>
  <c r="CA102" i="2" s="1"/>
  <c r="CM102" i="2" s="1"/>
  <c r="F13" i="9" s="1"/>
  <c r="AF104" i="2"/>
  <c r="AI105" i="2"/>
  <c r="AI115" i="2" s="1"/>
  <c r="BY101" i="2" s="1"/>
  <c r="CL101" i="2" s="1"/>
  <c r="E12" i="9" s="1"/>
  <c r="J109" i="2"/>
  <c r="AZ95" i="2" s="1"/>
  <c r="AZ113" i="2" s="1"/>
  <c r="A106" i="2"/>
  <c r="Q113" i="2"/>
  <c r="BG99" i="2" s="1"/>
  <c r="BG117" i="2" s="1"/>
  <c r="AM107" i="2"/>
  <c r="CC93" i="2" s="1"/>
  <c r="CC111" i="2" s="1"/>
  <c r="U112" i="2"/>
  <c r="BK98" i="2" s="1"/>
  <c r="BK116" i="2" s="1"/>
  <c r="AE109" i="2"/>
  <c r="BU95" i="2" s="1"/>
  <c r="BU113" i="2" s="1"/>
  <c r="F106" i="2"/>
  <c r="AV92" i="2" s="1"/>
  <c r="CL92" i="2" s="1"/>
  <c r="E3" i="9" s="1"/>
  <c r="AG114" i="2"/>
  <c r="BW100" i="2" s="1"/>
  <c r="BW118" i="2" s="1"/>
  <c r="K109" i="2"/>
  <c r="BA95" i="2" s="1"/>
  <c r="CP95" i="2" s="1"/>
  <c r="I6" i="9" s="1"/>
  <c r="Y108" i="2"/>
  <c r="BO94" i="2" s="1"/>
  <c r="W113" i="2"/>
  <c r="BM99" i="2" s="1"/>
  <c r="BM117" i="2" s="1"/>
  <c r="AC113" i="2"/>
  <c r="BS99" i="2" s="1"/>
  <c r="BS117" i="2" s="1"/>
  <c r="AM112" i="2"/>
  <c r="CC98" i="2" s="1"/>
  <c r="CC116" i="2" s="1"/>
  <c r="AO111" i="2"/>
  <c r="AA114" i="2"/>
  <c r="BQ100" i="2" s="1"/>
  <c r="P108" i="2"/>
  <c r="BF94" i="2" s="1"/>
  <c r="AN106" i="2"/>
  <c r="AN116" i="2" s="1"/>
  <c r="A109" i="2"/>
  <c r="O114" i="2"/>
  <c r="BE100" i="2" s="1"/>
  <c r="J108" i="2"/>
  <c r="AZ94" i="2" s="1"/>
  <c r="AZ112" i="2" s="1"/>
  <c r="AD109" i="2"/>
  <c r="BT95" i="2" s="1"/>
  <c r="BT113" i="2" s="1"/>
  <c r="Z113" i="2"/>
  <c r="BP99" i="2" s="1"/>
  <c r="Q112" i="2"/>
  <c r="BG98" i="2" s="1"/>
  <c r="BG116" i="2" s="1"/>
  <c r="C112" i="2"/>
  <c r="AS98" i="2" s="1"/>
  <c r="T113" i="2"/>
  <c r="BJ99" i="2" s="1"/>
  <c r="N112" i="2"/>
  <c r="BD98" i="2" s="1"/>
  <c r="CS98" i="2" s="1"/>
  <c r="L9" i="9" s="1"/>
  <c r="AM113" i="2"/>
  <c r="CC99" i="2" s="1"/>
  <c r="CC117" i="2" s="1"/>
  <c r="AC106" i="2"/>
  <c r="BS92" i="2" s="1"/>
  <c r="BS110" i="2" s="1"/>
  <c r="M111" i="2"/>
  <c r="BC97" i="2" s="1"/>
  <c r="CR97" i="2" s="1"/>
  <c r="K8" i="9" s="1"/>
  <c r="K106" i="2"/>
  <c r="BA92" i="2" s="1"/>
  <c r="AA113" i="2"/>
  <c r="BQ99" i="2" s="1"/>
  <c r="A113" i="2"/>
  <c r="I113" i="2"/>
  <c r="AY99" i="2" s="1"/>
  <c r="AY117" i="2" s="1"/>
  <c r="G114" i="2"/>
  <c r="AW100" i="2" s="1"/>
  <c r="AW118" i="2" s="1"/>
  <c r="AE111" i="2"/>
  <c r="BU97" i="2" s="1"/>
  <c r="BU115" i="2" s="1"/>
  <c r="T108" i="2"/>
  <c r="BJ94" i="2" s="1"/>
  <c r="I108" i="2"/>
  <c r="AY94" i="2" s="1"/>
  <c r="AY112" i="2" s="1"/>
  <c r="W112" i="2"/>
  <c r="BM98" i="2" s="1"/>
  <c r="BM116" i="2" s="1"/>
  <c r="AF108" i="2"/>
  <c r="BV94" i="2" s="1"/>
  <c r="BV112" i="2" s="1"/>
  <c r="L112" i="2"/>
  <c r="BB98" i="2" s="1"/>
  <c r="CQ98" i="2" s="1"/>
  <c r="J9" i="9" s="1"/>
  <c r="L114" i="2"/>
  <c r="BB100" i="2" s="1"/>
  <c r="CQ100" i="2" s="1"/>
  <c r="J11" i="9" s="1"/>
  <c r="AI108" i="2"/>
  <c r="BY94" i="2" s="1"/>
  <c r="BY112" i="2" s="1"/>
  <c r="AK113" i="2"/>
  <c r="CA99" i="2" s="1"/>
  <c r="CA117" i="2" s="1"/>
  <c r="H108" i="2"/>
  <c r="AX94" i="2" s="1"/>
  <c r="AX112" i="2" s="1"/>
  <c r="AM114" i="2"/>
  <c r="CC100" i="2" s="1"/>
  <c r="CC118" i="2" s="1"/>
  <c r="T110" i="2"/>
  <c r="BJ96" i="2" s="1"/>
  <c r="AH107" i="2"/>
  <c r="BX93" i="2" s="1"/>
  <c r="BX111" i="2" s="1"/>
  <c r="D108" i="2"/>
  <c r="AT94" i="2" s="1"/>
  <c r="AL111" i="2"/>
  <c r="CB97" i="2" s="1"/>
  <c r="CB115" i="2" s="1"/>
  <c r="AA112" i="2"/>
  <c r="BQ98" i="2" s="1"/>
  <c r="H112" i="2"/>
  <c r="AX98" i="2" s="1"/>
  <c r="AX116" i="2" s="1"/>
  <c r="V105" i="2"/>
  <c r="BL91" i="2" s="1"/>
  <c r="BL109" i="2" s="1"/>
  <c r="N113" i="2"/>
  <c r="BD99" i="2" s="1"/>
  <c r="CS99" i="2" s="1"/>
  <c r="L10" i="9" s="1"/>
  <c r="AO108" i="2"/>
  <c r="D113" i="2"/>
  <c r="AT99" i="2" s="1"/>
  <c r="S106" i="2"/>
  <c r="BI92" i="2" s="1"/>
  <c r="CW92" i="2" s="1"/>
  <c r="O3" i="9" s="1"/>
  <c r="X109" i="2"/>
  <c r="BN95" i="2" s="1"/>
  <c r="AN113" i="2"/>
  <c r="CD99" i="2" s="1"/>
  <c r="CD117" i="2" s="1"/>
  <c r="P105" i="2"/>
  <c r="BF91" i="2" s="1"/>
  <c r="CU91" i="2" s="1"/>
  <c r="M2" i="9" s="1"/>
  <c r="AJ114" i="2"/>
  <c r="BZ100" i="2" s="1"/>
  <c r="BZ118" i="2" s="1"/>
  <c r="Q105" i="2"/>
  <c r="BG91" i="2" s="1"/>
  <c r="U104" i="2"/>
  <c r="E105" i="2"/>
  <c r="AU91" i="2" s="1"/>
  <c r="AO110" i="2"/>
  <c r="Q106" i="2"/>
  <c r="BG92" i="2" s="1"/>
  <c r="CQ92" i="2" s="1"/>
  <c r="J3" i="9" s="1"/>
  <c r="P110" i="2"/>
  <c r="BF96" i="2" s="1"/>
  <c r="Q110" i="2"/>
  <c r="BG96" i="2" s="1"/>
  <c r="BG114" i="2" s="1"/>
  <c r="Y111" i="2"/>
  <c r="BO97" i="2" s="1"/>
  <c r="AG109" i="2"/>
  <c r="BW95" i="2" s="1"/>
  <c r="BW113" i="2" s="1"/>
  <c r="U111" i="2"/>
  <c r="BK97" i="2" s="1"/>
  <c r="BK115" i="2" s="1"/>
  <c r="P104" i="2"/>
  <c r="AL106" i="2"/>
  <c r="AL116" i="2" s="1"/>
  <c r="AC107" i="2"/>
  <c r="BS93" i="2" s="1"/>
  <c r="BS111" i="2" s="1"/>
  <c r="I114" i="2"/>
  <c r="AY100" i="2" s="1"/>
  <c r="AY118" i="2" s="1"/>
  <c r="AM111" i="2"/>
  <c r="CC97" i="2" s="1"/>
  <c r="CC115" i="2" s="1"/>
  <c r="AM110" i="2"/>
  <c r="CC96" i="2" s="1"/>
  <c r="CC114" i="2" s="1"/>
  <c r="X111" i="2"/>
  <c r="BN97" i="2" s="1"/>
  <c r="I109" i="2"/>
  <c r="AY95" i="2" s="1"/>
  <c r="AY113" i="2" s="1"/>
  <c r="B114" i="2"/>
  <c r="AR100" i="2" s="1"/>
  <c r="CH100" i="2" s="1"/>
  <c r="B11" i="9" s="1"/>
  <c r="AM104" i="2"/>
  <c r="K112" i="2"/>
  <c r="BA98" i="2" s="1"/>
  <c r="W111" i="2"/>
  <c r="BM97" i="2" s="1"/>
  <c r="BM115" i="2" s="1"/>
  <c r="W108" i="2"/>
  <c r="BM94" i="2" s="1"/>
  <c r="BM112" i="2" s="1"/>
  <c r="F111" i="2"/>
  <c r="AV97" i="2" s="1"/>
  <c r="J113" i="2"/>
  <c r="AZ99" i="2" s="1"/>
  <c r="AZ117" i="2" s="1"/>
  <c r="H113" i="2"/>
  <c r="AX99" i="2" s="1"/>
  <c r="AX117" i="2" s="1"/>
  <c r="I112" i="2"/>
  <c r="AY98" i="2" s="1"/>
  <c r="AY116" i="2" s="1"/>
  <c r="O104" i="2"/>
  <c r="AI112" i="2"/>
  <c r="BY98" i="2" s="1"/>
  <c r="BY116" i="2" s="1"/>
  <c r="AE112" i="2"/>
  <c r="BU98" i="2" s="1"/>
  <c r="BU116" i="2" s="1"/>
  <c r="N108" i="2"/>
  <c r="BD94" i="2" s="1"/>
  <c r="CS94" i="2" s="1"/>
  <c r="L5" i="9" s="1"/>
  <c r="AJ108" i="2"/>
  <c r="BZ94" i="2" s="1"/>
  <c r="BZ112" i="2" s="1"/>
  <c r="G111" i="2"/>
  <c r="AW97" i="2" s="1"/>
  <c r="AW115" i="2" s="1"/>
  <c r="L107" i="2"/>
  <c r="BB93" i="2" s="1"/>
  <c r="CQ93" i="2" s="1"/>
  <c r="J4" i="9" s="1"/>
  <c r="Y109" i="2"/>
  <c r="BO95" i="2" s="1"/>
  <c r="B106" i="2"/>
  <c r="AR92" i="2" s="1"/>
  <c r="AG112" i="2"/>
  <c r="BW98" i="2" s="1"/>
  <c r="BW116" i="2" s="1"/>
  <c r="AH112" i="2"/>
  <c r="BX98" i="2" s="1"/>
  <c r="BX116" i="2" s="1"/>
  <c r="R105" i="2"/>
  <c r="BH91" i="2" s="1"/>
  <c r="CV91" i="2" s="1"/>
  <c r="N2" i="9" s="1"/>
  <c r="X110" i="2"/>
  <c r="BN96" i="2" s="1"/>
  <c r="AD106" i="2"/>
  <c r="BT92" i="2" s="1"/>
  <c r="BT110" i="2" s="1"/>
  <c r="AG110" i="2"/>
  <c r="BW96" i="2" s="1"/>
  <c r="BW114" i="2" s="1"/>
  <c r="AD114" i="2"/>
  <c r="BT100" i="2" s="1"/>
  <c r="BT118" i="2" s="1"/>
  <c r="AN108" i="2"/>
  <c r="CD94" i="2" s="1"/>
  <c r="CD112" i="2" s="1"/>
  <c r="AK109" i="2"/>
  <c r="CA95" i="2" s="1"/>
  <c r="CA113" i="2" s="1"/>
  <c r="U113" i="2"/>
  <c r="BK99" i="2" s="1"/>
  <c r="BK117" i="2" s="1"/>
  <c r="N106" i="2"/>
  <c r="BD92" i="2" s="1"/>
  <c r="L106" i="2"/>
  <c r="BB92" i="2" s="1"/>
  <c r="BB110" i="2" s="1"/>
  <c r="AO107" i="2"/>
  <c r="V104" i="2"/>
  <c r="AK110" i="2"/>
  <c r="CA96" i="2" s="1"/>
  <c r="CA114" i="2" s="1"/>
  <c r="W106" i="2"/>
  <c r="BM92" i="2" s="1"/>
  <c r="BM110" i="2" s="1"/>
  <c r="M113" i="2"/>
  <c r="BC99" i="2" s="1"/>
  <c r="CR99" i="2" s="1"/>
  <c r="K10" i="9" s="1"/>
  <c r="Q114" i="2"/>
  <c r="BG100" i="2" s="1"/>
  <c r="BG118" i="2" s="1"/>
  <c r="M114" i="2"/>
  <c r="BC100" i="2" s="1"/>
  <c r="R106" i="2"/>
  <c r="BH92" i="2" s="1"/>
  <c r="AO105" i="2"/>
  <c r="AL113" i="2"/>
  <c r="CB99" i="2" s="1"/>
  <c r="CB117" i="2" s="1"/>
  <c r="P113" i="2"/>
  <c r="BF99" i="2" s="1"/>
  <c r="M104" i="2"/>
  <c r="AA111" i="2"/>
  <c r="BQ97" i="2" s="1"/>
  <c r="R104" i="2"/>
  <c r="F105" i="2"/>
  <c r="AV91" i="2" s="1"/>
  <c r="Z106" i="2"/>
  <c r="BP92" i="2" s="1"/>
  <c r="AG106" i="2"/>
  <c r="AG116" i="2" s="1"/>
  <c r="BW102" i="2" s="1"/>
  <c r="CJ102" i="2" s="1"/>
  <c r="O110" i="2"/>
  <c r="BE96" i="2" s="1"/>
  <c r="AB112" i="2"/>
  <c r="BR98" i="2" s="1"/>
  <c r="BR116" i="2" s="1"/>
  <c r="AD111" i="2"/>
  <c r="BT97" i="2" s="1"/>
  <c r="BT115" i="2" s="1"/>
  <c r="AD107" i="2"/>
  <c r="BT93" i="2" s="1"/>
  <c r="BT111" i="2" s="1"/>
  <c r="T114" i="2"/>
  <c r="BJ100" i="2" s="1"/>
  <c r="AB104" i="2"/>
  <c r="O106" i="2"/>
  <c r="BE92" i="2" s="1"/>
  <c r="B109" i="2"/>
  <c r="AR95" i="2" s="1"/>
  <c r="H110" i="2"/>
  <c r="AX96" i="2" s="1"/>
  <c r="AX114" i="2" s="1"/>
  <c r="AB108" i="2"/>
  <c r="BR94" i="2" s="1"/>
  <c r="BR112" i="2" s="1"/>
  <c r="AO104" i="2"/>
  <c r="T105" i="2"/>
  <c r="BJ91" i="2" s="1"/>
  <c r="CX91" i="2" s="1"/>
  <c r="P2" i="9" s="1"/>
  <c r="AI111" i="2"/>
  <c r="BY97" i="2" s="1"/>
  <c r="BY115" i="2" s="1"/>
  <c r="AL112" i="2"/>
  <c r="CB98" i="2" s="1"/>
  <c r="CB116" i="2" s="1"/>
  <c r="AG105" i="2"/>
  <c r="AG115" i="2" s="1"/>
  <c r="AB114" i="2"/>
  <c r="BR100" i="2" s="1"/>
  <c r="BR118" i="2" s="1"/>
  <c r="X113" i="2"/>
  <c r="BN99" i="2" s="1"/>
  <c r="S105" i="2"/>
  <c r="BI91" i="2" s="1"/>
  <c r="CW91" i="2" s="1"/>
  <c r="O2" i="9" s="1"/>
  <c r="AC111" i="2"/>
  <c r="BS97" i="2" s="1"/>
  <c r="BS115" i="2" s="1"/>
  <c r="H106" i="2"/>
  <c r="AX92" i="2" s="1"/>
  <c r="AX110" i="2" s="1"/>
  <c r="AA105" i="2"/>
  <c r="BQ91" i="2" s="1"/>
  <c r="R110" i="2"/>
  <c r="BH96" i="2" s="1"/>
  <c r="W105" i="2"/>
  <c r="BM91" i="2" s="1"/>
  <c r="BM109" i="2" s="1"/>
  <c r="A110" i="2"/>
  <c r="L111" i="2"/>
  <c r="BB97" i="2" s="1"/>
  <c r="CQ97" i="2" s="1"/>
  <c r="J8" i="9" s="1"/>
  <c r="H111" i="2"/>
  <c r="AX97" i="2" s="1"/>
  <c r="AX115" i="2" s="1"/>
  <c r="P106" i="2"/>
  <c r="BF92" i="2" s="1"/>
  <c r="S114" i="2"/>
  <c r="BI100" i="2" s="1"/>
  <c r="E112" i="2"/>
  <c r="AU98" i="2" s="1"/>
  <c r="X105" i="2"/>
  <c r="BN91" i="2" s="1"/>
  <c r="O113" i="2"/>
  <c r="BE99" i="2" s="1"/>
  <c r="G105" i="2"/>
  <c r="AW91" i="2" s="1"/>
  <c r="AW109" i="2" s="1"/>
  <c r="AC110" i="2"/>
  <c r="BS96" i="2" s="1"/>
  <c r="BS114" i="2" s="1"/>
  <c r="D105" i="2"/>
  <c r="AT91" i="2" s="1"/>
  <c r="A111" i="2"/>
  <c r="AI113" i="2"/>
  <c r="BY99" i="2" s="1"/>
  <c r="BY117" i="2" s="1"/>
  <c r="N110" i="2"/>
  <c r="BD96" i="2" s="1"/>
  <c r="CS96" i="2" s="1"/>
  <c r="L7" i="9" s="1"/>
  <c r="AE107" i="2"/>
  <c r="BU93" i="2" s="1"/>
  <c r="BU111" i="2" s="1"/>
  <c r="Y114" i="2"/>
  <c r="BO100" i="2" s="1"/>
  <c r="O112" i="2"/>
  <c r="BE98" i="2" s="1"/>
  <c r="AH108" i="2"/>
  <c r="BX94" i="2" s="1"/>
  <c r="BX112" i="2" s="1"/>
  <c r="I105" i="2"/>
  <c r="AY91" i="2" s="1"/>
  <c r="AY109" i="2" s="1"/>
  <c r="R113" i="2"/>
  <c r="BH99" i="2" s="1"/>
  <c r="AK111" i="2"/>
  <c r="CA97" i="2" s="1"/>
  <c r="CA115" i="2" s="1"/>
  <c r="J105" i="2"/>
  <c r="AZ91" i="2" s="1"/>
  <c r="AZ109" i="2" s="1"/>
  <c r="N105" i="2"/>
  <c r="BD91" i="2" s="1"/>
  <c r="CS91" i="2" s="1"/>
  <c r="L2" i="9" s="1"/>
  <c r="AN104" i="2"/>
  <c r="Z110" i="2"/>
  <c r="BP96" i="2" s="1"/>
  <c r="U107" i="2"/>
  <c r="BK93" i="2" s="1"/>
  <c r="BK111" i="2" s="1"/>
  <c r="R112" i="2"/>
  <c r="BH98" i="2" s="1"/>
  <c r="C105" i="2"/>
  <c r="AS91" i="2" s="1"/>
  <c r="AK108" i="2"/>
  <c r="CA94" i="2" s="1"/>
  <c r="CA112" i="2" s="1"/>
  <c r="AE106" i="2"/>
  <c r="A116" i="2" s="1"/>
  <c r="X106" i="2"/>
  <c r="BN92" i="2" s="1"/>
  <c r="K108" i="2"/>
  <c r="BA94" i="2" s="1"/>
  <c r="CP94" i="2" s="1"/>
  <c r="I5" i="9" s="1"/>
  <c r="Z107" i="2"/>
  <c r="BP93" i="2" s="1"/>
  <c r="Y107" i="2"/>
  <c r="BO93" i="2" s="1"/>
  <c r="AE105" i="2"/>
  <c r="A115" i="2" s="1"/>
  <c r="I107" i="2"/>
  <c r="AY93" i="2" s="1"/>
  <c r="AY111" i="2" s="1"/>
  <c r="D114" i="2"/>
  <c r="AT100" i="2" s="1"/>
  <c r="AF113" i="2"/>
  <c r="BV99" i="2" s="1"/>
  <c r="BV117" i="2" s="1"/>
  <c r="I106" i="2"/>
  <c r="AY92" i="2" s="1"/>
  <c r="AY110" i="2" s="1"/>
  <c r="Z108" i="2"/>
  <c r="BP94" i="2" s="1"/>
  <c r="AF106" i="2"/>
  <c r="AF116" i="2" s="1"/>
  <c r="BV102" i="2" s="1"/>
  <c r="CI102" i="2" s="1"/>
  <c r="C13" i="9" s="1"/>
  <c r="B111" i="2"/>
  <c r="AR97" i="2" s="1"/>
  <c r="AE108" i="2"/>
  <c r="BU94" i="2" s="1"/>
  <c r="BU112" i="2" s="1"/>
  <c r="AI106" i="2"/>
  <c r="AI116" i="2" s="1"/>
  <c r="R107" i="2"/>
  <c r="BH93" i="2" s="1"/>
  <c r="F107" i="2"/>
  <c r="AV93" i="2" s="1"/>
  <c r="Z114" i="2"/>
  <c r="BP100" i="2" s="1"/>
  <c r="P109" i="2"/>
  <c r="BF95" i="2" s="1"/>
  <c r="AI104" i="2"/>
  <c r="K113" i="2"/>
  <c r="BA99" i="2" s="1"/>
  <c r="CP99" i="2" s="1"/>
  <c r="I10" i="9" s="1"/>
  <c r="N104" i="2"/>
  <c r="M106" i="2"/>
  <c r="BC92" i="2" s="1"/>
  <c r="AK104" i="2"/>
  <c r="Y106" i="2"/>
  <c r="BO92" i="2" s="1"/>
  <c r="L110" i="2"/>
  <c r="BB96" i="2" s="1"/>
  <c r="CQ96" i="2" s="1"/>
  <c r="J7" i="9" s="1"/>
  <c r="T106" i="2"/>
  <c r="BJ92" i="2" s="1"/>
  <c r="I111" i="2"/>
  <c r="AY97" i="2" s="1"/>
  <c r="AY115" i="2" s="1"/>
  <c r="AN111" i="2"/>
  <c r="CD97" i="2" s="1"/>
  <c r="CD115" i="2" s="1"/>
  <c r="I104" i="2"/>
  <c r="G107" i="2"/>
  <c r="AW93" i="2" s="1"/>
  <c r="AW111" i="2" s="1"/>
  <c r="L104" i="2"/>
  <c r="V109" i="2"/>
  <c r="BL95" i="2" s="1"/>
  <c r="BL113" i="2" s="1"/>
  <c r="AL108" i="2"/>
  <c r="CB94" i="2" s="1"/>
  <c r="CB112" i="2" s="1"/>
  <c r="B112" i="2"/>
  <c r="AR98" i="2" s="1"/>
  <c r="AH111" i="2"/>
  <c r="BX97" i="2" s="1"/>
  <c r="BX115" i="2" s="1"/>
  <c r="U106" i="2"/>
  <c r="BK92" i="2" s="1"/>
  <c r="BK110" i="2" s="1"/>
  <c r="G110" i="2"/>
  <c r="AW96" i="2" s="1"/>
  <c r="AW114" i="2" s="1"/>
  <c r="B113" i="2"/>
  <c r="AR99" i="2" s="1"/>
  <c r="H109" i="2"/>
  <c r="AX95" i="2" s="1"/>
  <c r="AX113" i="2" s="1"/>
  <c r="AO109" i="2"/>
  <c r="F108" i="2"/>
  <c r="AV94" i="2" s="1"/>
  <c r="S108" i="2"/>
  <c r="BI94" i="2" s="1"/>
  <c r="D107" i="2"/>
  <c r="AT93" i="2" s="1"/>
  <c r="AP341" i="4"/>
  <c r="AN341" i="4"/>
  <c r="AL333" i="4"/>
  <c r="AL337" i="4"/>
  <c r="DV40" i="4" s="1"/>
  <c r="DT83" i="4" s="1"/>
  <c r="BV333" i="4"/>
  <c r="BJ333" i="4" s="1"/>
  <c r="CD102" i="2" l="1"/>
  <c r="CO102" i="2" s="1"/>
  <c r="H13" i="9" s="1"/>
  <c r="BZ91" i="2"/>
  <c r="BZ109" i="2" s="1"/>
  <c r="CY95" i="2"/>
  <c r="Q6" i="9" s="1"/>
  <c r="BN113" i="2"/>
  <c r="CY113" i="2" s="1"/>
  <c r="Q6" i="10" s="1"/>
  <c r="CH93" i="2"/>
  <c r="B4" i="9" s="1"/>
  <c r="AR111" i="2"/>
  <c r="CH111" i="2" s="1"/>
  <c r="B4" i="10" s="1"/>
  <c r="BH117" i="2"/>
  <c r="CV117" i="2" s="1"/>
  <c r="N10" i="10" s="1"/>
  <c r="CV99" i="2"/>
  <c r="N10" i="9" s="1"/>
  <c r="CU99" i="2"/>
  <c r="M10" i="9" s="1"/>
  <c r="BF117" i="2"/>
  <c r="CU117" i="2" s="1"/>
  <c r="M10" i="10" s="1"/>
  <c r="DA100" i="2"/>
  <c r="S11" i="9" s="1"/>
  <c r="BP118" i="2"/>
  <c r="DA118" i="2" s="1"/>
  <c r="S11" i="10" s="1"/>
  <c r="CY91" i="2"/>
  <c r="Q2" i="9" s="1"/>
  <c r="BN109" i="2"/>
  <c r="CY109" i="2" s="1"/>
  <c r="Q2" i="10" s="1"/>
  <c r="CL91" i="2"/>
  <c r="E2" i="9" s="1"/>
  <c r="AV109" i="2"/>
  <c r="CL109" i="2" s="1"/>
  <c r="E2" i="10" s="1"/>
  <c r="CZ92" i="2"/>
  <c r="R3" i="9" s="1"/>
  <c r="BO110" i="2"/>
  <c r="CZ110" i="2" s="1"/>
  <c r="R3" i="10" s="1"/>
  <c r="AV111" i="2"/>
  <c r="CL111" i="2" s="1"/>
  <c r="E4" i="10" s="1"/>
  <c r="CL93" i="2"/>
  <c r="E4" i="9" s="1"/>
  <c r="CK98" i="2"/>
  <c r="D9" i="9" s="1"/>
  <c r="AU116" i="2"/>
  <c r="CK116" i="2" s="1"/>
  <c r="D9" i="10" s="1"/>
  <c r="DB91" i="2"/>
  <c r="T2" i="9" s="1"/>
  <c r="BQ109" i="2"/>
  <c r="DB109" i="2" s="1"/>
  <c r="T2" i="10" s="1"/>
  <c r="BJ118" i="2"/>
  <c r="CX118" i="2" s="1"/>
  <c r="P11" i="10" s="1"/>
  <c r="CX100" i="2"/>
  <c r="P11" i="9" s="1"/>
  <c r="CU96" i="2"/>
  <c r="M7" i="9" s="1"/>
  <c r="BF114" i="2"/>
  <c r="CU114" i="2" s="1"/>
  <c r="M7" i="10" s="1"/>
  <c r="DB98" i="2"/>
  <c r="T9" i="9" s="1"/>
  <c r="BQ116" i="2"/>
  <c r="DB116" i="2" s="1"/>
  <c r="T9" i="10" s="1"/>
  <c r="CZ94" i="2"/>
  <c r="R5" i="9" s="1"/>
  <c r="BO112" i="2"/>
  <c r="CZ112" i="2" s="1"/>
  <c r="R5" i="10" s="1"/>
  <c r="CA101" i="2"/>
  <c r="CK94" i="2"/>
  <c r="D5" i="9" s="1"/>
  <c r="AU112" i="2"/>
  <c r="CK112" i="2" s="1"/>
  <c r="D5" i="10" s="1"/>
  <c r="CP100" i="2"/>
  <c r="I11" i="9" s="1"/>
  <c r="BA118" i="2"/>
  <c r="CP118" i="2" s="1"/>
  <c r="I11" i="10" s="1"/>
  <c r="BA109" i="2"/>
  <c r="CP109" i="2" s="1"/>
  <c r="I2" i="10" s="1"/>
  <c r="CP91" i="2"/>
  <c r="I2" i="9" s="1"/>
  <c r="DB92" i="2"/>
  <c r="T3" i="9" s="1"/>
  <c r="BQ110" i="2"/>
  <c r="DB110" i="2" s="1"/>
  <c r="T3" i="10" s="1"/>
  <c r="CY98" i="2"/>
  <c r="Q9" i="9" s="1"/>
  <c r="BN116" i="2"/>
  <c r="CY116" i="2" s="1"/>
  <c r="Q9" i="10" s="1"/>
  <c r="CL99" i="2"/>
  <c r="E10" i="9" s="1"/>
  <c r="AV117" i="2"/>
  <c r="CL117" i="2" s="1"/>
  <c r="E10" i="10" s="1"/>
  <c r="CL98" i="2"/>
  <c r="E9" i="9" s="1"/>
  <c r="AV116" i="2"/>
  <c r="CL116" i="2" s="1"/>
  <c r="E9" i="10" s="1"/>
  <c r="CI100" i="2"/>
  <c r="C11" i="9" s="1"/>
  <c r="AS118" i="2"/>
  <c r="CI118" i="2" s="1"/>
  <c r="C11" i="10" s="1"/>
  <c r="BW91" i="2"/>
  <c r="BW109" i="2" s="1"/>
  <c r="CD91" i="2"/>
  <c r="CD109" i="2" s="1"/>
  <c r="CC91" i="2"/>
  <c r="CC109" i="2" s="1"/>
  <c r="CC92" i="2"/>
  <c r="CC110" i="2" s="1"/>
  <c r="BY92" i="2"/>
  <c r="BY110" i="2" s="1"/>
  <c r="CB92" i="2"/>
  <c r="CB110" i="2" s="1"/>
  <c r="CA91" i="2"/>
  <c r="CA109" i="2" s="1"/>
  <c r="BH111" i="2"/>
  <c r="CV111" i="2" s="1"/>
  <c r="N4" i="10" s="1"/>
  <c r="CV93" i="2"/>
  <c r="N4" i="9" s="1"/>
  <c r="DB94" i="2"/>
  <c r="T5" i="9" s="1"/>
  <c r="BQ112" i="2"/>
  <c r="DB112" i="2" s="1"/>
  <c r="T5" i="10" s="1"/>
  <c r="CL95" i="2"/>
  <c r="E6" i="9" s="1"/>
  <c r="AV113" i="2"/>
  <c r="CL113" i="2" s="1"/>
  <c r="E6" i="10" s="1"/>
  <c r="CR92" i="2"/>
  <c r="K3" i="9" s="1"/>
  <c r="BC110" i="2"/>
  <c r="CR110" i="2" s="1"/>
  <c r="K3" i="10" s="1"/>
  <c r="CS93" i="2"/>
  <c r="L4" i="9" s="1"/>
  <c r="BD111" i="2"/>
  <c r="CS111" i="2" s="1"/>
  <c r="L4" i="10" s="1"/>
  <c r="CV100" i="2"/>
  <c r="N11" i="9" s="1"/>
  <c r="BH118" i="2"/>
  <c r="CV118" i="2" s="1"/>
  <c r="N11" i="10" s="1"/>
  <c r="DA91" i="2"/>
  <c r="S2" i="9" s="1"/>
  <c r="BP109" i="2"/>
  <c r="DA109" i="2" s="1"/>
  <c r="S2" i="10" s="1"/>
  <c r="CC102" i="2"/>
  <c r="CC120" i="2" s="1"/>
  <c r="BN118" i="2"/>
  <c r="CY118" i="2" s="1"/>
  <c r="Q11" i="10" s="1"/>
  <c r="CY100" i="2"/>
  <c r="Q11" i="9" s="1"/>
  <c r="CI93" i="2"/>
  <c r="C4" i="9" s="1"/>
  <c r="AS111" i="2"/>
  <c r="CI111" i="2" s="1"/>
  <c r="C4" i="10" s="1"/>
  <c r="BH115" i="2"/>
  <c r="CV115" i="2" s="1"/>
  <c r="N8" i="10" s="1"/>
  <c r="CV97" i="2"/>
  <c r="N8" i="9" s="1"/>
  <c r="BC109" i="2"/>
  <c r="CR109" i="2" s="1"/>
  <c r="K2" i="10" s="1"/>
  <c r="CR91" i="2"/>
  <c r="K2" i="9" s="1"/>
  <c r="DB96" i="2"/>
  <c r="T7" i="9" s="1"/>
  <c r="BQ114" i="2"/>
  <c r="DB114" i="2" s="1"/>
  <c r="T7" i="10" s="1"/>
  <c r="BW92" i="2"/>
  <c r="BW110" i="2" s="1"/>
  <c r="BU92" i="2"/>
  <c r="BU110" i="2" s="1"/>
  <c r="BX91" i="2"/>
  <c r="BX109" i="2" s="1"/>
  <c r="CD92" i="2"/>
  <c r="CD110" i="2" s="1"/>
  <c r="AT115" i="2"/>
  <c r="CJ115" i="2" s="1"/>
  <c r="CJ97" i="2"/>
  <c r="BP115" i="2"/>
  <c r="DA115" i="2" s="1"/>
  <c r="S8" i="10" s="1"/>
  <c r="DA97" i="2"/>
  <c r="S8" i="9" s="1"/>
  <c r="BY102" i="2"/>
  <c r="CL102" i="2" s="1"/>
  <c r="E13" i="9" s="1"/>
  <c r="CW99" i="2"/>
  <c r="O10" i="9" s="1"/>
  <c r="BI117" i="2"/>
  <c r="CW117" i="2" s="1"/>
  <c r="O10" i="10" s="1"/>
  <c r="DA95" i="2"/>
  <c r="S6" i="9" s="1"/>
  <c r="BP113" i="2"/>
  <c r="DA113" i="2" s="1"/>
  <c r="S6" i="10" s="1"/>
  <c r="CZ91" i="2"/>
  <c r="R2" i="9" s="1"/>
  <c r="BO109" i="2"/>
  <c r="CZ109" i="2" s="1"/>
  <c r="R2" i="10" s="1"/>
  <c r="CI97" i="2"/>
  <c r="C8" i="9" s="1"/>
  <c r="AS115" i="2"/>
  <c r="CI115" i="2" s="1"/>
  <c r="C8" i="10" s="1"/>
  <c r="CZ99" i="2"/>
  <c r="R10" i="9" s="1"/>
  <c r="BO117" i="2"/>
  <c r="CZ117" i="2" s="1"/>
  <c r="R10" i="10" s="1"/>
  <c r="CY94" i="2"/>
  <c r="Q5" i="9" s="1"/>
  <c r="BN112" i="2"/>
  <c r="CY112" i="2" s="1"/>
  <c r="Q5" i="10" s="1"/>
  <c r="CJ96" i="2"/>
  <c r="AT114" i="2"/>
  <c r="CJ114" i="2" s="1"/>
  <c r="CT93" i="2"/>
  <c r="BE111" i="2"/>
  <c r="CT111" i="2" s="1"/>
  <c r="AS117" i="2"/>
  <c r="CI117" i="2" s="1"/>
  <c r="C10" i="10" s="1"/>
  <c r="CI99" i="2"/>
  <c r="C10" i="9" s="1"/>
  <c r="CT95" i="2"/>
  <c r="BE113" i="2"/>
  <c r="CT113" i="2" s="1"/>
  <c r="CG102" i="2"/>
  <c r="A13" i="9" s="1"/>
  <c r="AQ120" i="2"/>
  <c r="CG120" i="2" s="1"/>
  <c r="A13" i="10" s="1"/>
  <c r="CP98" i="2"/>
  <c r="I9" i="9" s="1"/>
  <c r="BA116" i="2"/>
  <c r="CP116" i="2" s="1"/>
  <c r="I9" i="10" s="1"/>
  <c r="BJ115" i="2"/>
  <c r="CX115" i="2" s="1"/>
  <c r="P8" i="10" s="1"/>
  <c r="CX97" i="2"/>
  <c r="P8" i="9" s="1"/>
  <c r="CB102" i="2"/>
  <c r="CN102" i="2" s="1"/>
  <c r="G13" i="9" s="1"/>
  <c r="BH116" i="2"/>
  <c r="CV116" i="2" s="1"/>
  <c r="N9" i="10" s="1"/>
  <c r="CV98" i="2"/>
  <c r="N9" i="9" s="1"/>
  <c r="BO113" i="2"/>
  <c r="CZ113" i="2" s="1"/>
  <c r="R6" i="10" s="1"/>
  <c r="CZ95" i="2"/>
  <c r="R6" i="9" s="1"/>
  <c r="CK91" i="2"/>
  <c r="D2" i="9" s="1"/>
  <c r="AU109" i="2"/>
  <c r="CK109" i="2" s="1"/>
  <c r="D2" i="10" s="1"/>
  <c r="AT117" i="2"/>
  <c r="CJ117" i="2" s="1"/>
  <c r="CJ99" i="2"/>
  <c r="DB100" i="2"/>
  <c r="T11" i="9" s="1"/>
  <c r="BQ118" i="2"/>
  <c r="DB118" i="2" s="1"/>
  <c r="T11" i="10" s="1"/>
  <c r="AR115" i="2"/>
  <c r="CH115" i="2" s="1"/>
  <c r="B8" i="10" s="1"/>
  <c r="CH97" i="2"/>
  <c r="B8" i="9" s="1"/>
  <c r="CZ93" i="2"/>
  <c r="R4" i="9" s="1"/>
  <c r="BO111" i="2"/>
  <c r="CZ111" i="2" s="1"/>
  <c r="R4" i="10" s="1"/>
  <c r="CY99" i="2"/>
  <c r="Q10" i="9" s="1"/>
  <c r="BN117" i="2"/>
  <c r="CY117" i="2" s="1"/>
  <c r="Q10" i="10" s="1"/>
  <c r="CT96" i="2"/>
  <c r="BE114" i="2"/>
  <c r="CT114" i="2" s="1"/>
  <c r="BJ114" i="2"/>
  <c r="CX114" i="2" s="1"/>
  <c r="P7" i="10" s="1"/>
  <c r="CX96" i="2"/>
  <c r="P7" i="9" s="1"/>
  <c r="BA110" i="2"/>
  <c r="CP110" i="2" s="1"/>
  <c r="I3" i="10" s="1"/>
  <c r="CP92" i="2"/>
  <c r="I3" i="9" s="1"/>
  <c r="DA99" i="2"/>
  <c r="S10" i="9" s="1"/>
  <c r="BP117" i="2"/>
  <c r="DA117" i="2" s="1"/>
  <c r="S10" i="10" s="1"/>
  <c r="BA114" i="2"/>
  <c r="CP114" i="2" s="1"/>
  <c r="I7" i="10" s="1"/>
  <c r="CP96" i="2"/>
  <c r="I7" i="9" s="1"/>
  <c r="CR93" i="2"/>
  <c r="K4" i="9" s="1"/>
  <c r="BC111" i="2"/>
  <c r="CR111" i="2" s="1"/>
  <c r="K4" i="10" s="1"/>
  <c r="CT97" i="2"/>
  <c r="BE115" i="2"/>
  <c r="CT115" i="2" s="1"/>
  <c r="CL96" i="2"/>
  <c r="E7" i="9" s="1"/>
  <c r="AV114" i="2"/>
  <c r="CL114" i="2" s="1"/>
  <c r="E7" i="10" s="1"/>
  <c r="CK99" i="2"/>
  <c r="D10" i="9" s="1"/>
  <c r="AU117" i="2"/>
  <c r="CK117" i="2" s="1"/>
  <c r="D10" i="10" s="1"/>
  <c r="CU98" i="2"/>
  <c r="M9" i="9" s="1"/>
  <c r="BF116" i="2"/>
  <c r="CU116" i="2" s="1"/>
  <c r="M9" i="10" s="1"/>
  <c r="CX98" i="2"/>
  <c r="P9" i="9" s="1"/>
  <c r="BJ116" i="2"/>
  <c r="CX116" i="2" s="1"/>
  <c r="P9" i="10" s="1"/>
  <c r="BX92" i="2"/>
  <c r="BX110" i="2" s="1"/>
  <c r="CB91" i="2"/>
  <c r="CB109" i="2" s="1"/>
  <c r="BY91" i="2"/>
  <c r="BY109" i="2" s="1"/>
  <c r="BV92" i="2"/>
  <c r="BV110" i="2" s="1"/>
  <c r="CW95" i="2"/>
  <c r="O6" i="9" s="1"/>
  <c r="BI113" i="2"/>
  <c r="CW113" i="2" s="1"/>
  <c r="O6" i="10" s="1"/>
  <c r="CH99" i="2"/>
  <c r="B10" i="9" s="1"/>
  <c r="AR117" i="2"/>
  <c r="CH117" i="2" s="1"/>
  <c r="B10" i="10" s="1"/>
  <c r="CI91" i="2"/>
  <c r="C2" i="9" s="1"/>
  <c r="AS109" i="2"/>
  <c r="CI109" i="2" s="1"/>
  <c r="C2" i="10" s="1"/>
  <c r="CU94" i="2"/>
  <c r="M5" i="9" s="1"/>
  <c r="BF112" i="2"/>
  <c r="CU112" i="2" s="1"/>
  <c r="M5" i="10" s="1"/>
  <c r="BQ117" i="2"/>
  <c r="DB117" i="2" s="1"/>
  <c r="T10" i="10" s="1"/>
  <c r="DB99" i="2"/>
  <c r="T10" i="9" s="1"/>
  <c r="BP111" i="2"/>
  <c r="DA111" i="2" s="1"/>
  <c r="S4" i="10" s="1"/>
  <c r="DA93" i="2"/>
  <c r="S4" i="9" s="1"/>
  <c r="BP114" i="2"/>
  <c r="DA114" i="2" s="1"/>
  <c r="S7" i="10" s="1"/>
  <c r="DA96" i="2"/>
  <c r="S7" i="9" s="1"/>
  <c r="CT98" i="2"/>
  <c r="BE116" i="2"/>
  <c r="CT116" i="2" s="1"/>
  <c r="CH95" i="2"/>
  <c r="B6" i="9" s="1"/>
  <c r="AR113" i="2"/>
  <c r="CH113" i="2" s="1"/>
  <c r="B6" i="10" s="1"/>
  <c r="CY97" i="2"/>
  <c r="Q8" i="9" s="1"/>
  <c r="BN115" i="2"/>
  <c r="CY115" i="2" s="1"/>
  <c r="Q8" i="10" s="1"/>
  <c r="CQ91" i="2"/>
  <c r="J2" i="9" s="1"/>
  <c r="CU97" i="2"/>
  <c r="M8" i="9" s="1"/>
  <c r="BF115" i="2"/>
  <c r="CU115" i="2" s="1"/>
  <c r="M8" i="10" s="1"/>
  <c r="AR112" i="2"/>
  <c r="CH112" i="2" s="1"/>
  <c r="B5" i="10" s="1"/>
  <c r="CH94" i="2"/>
  <c r="B5" i="9" s="1"/>
  <c r="CK95" i="2"/>
  <c r="D6" i="9" s="1"/>
  <c r="AU113" i="2"/>
  <c r="CK113" i="2" s="1"/>
  <c r="D6" i="10" s="1"/>
  <c r="BI114" i="2"/>
  <c r="CW114" i="2" s="1"/>
  <c r="O7" i="10" s="1"/>
  <c r="CW96" i="2"/>
  <c r="O7" i="9" s="1"/>
  <c r="CJ92" i="2"/>
  <c r="AT110" i="2"/>
  <c r="CJ110" i="2" s="1"/>
  <c r="BO114" i="2"/>
  <c r="CZ114" i="2" s="1"/>
  <c r="R7" i="10" s="1"/>
  <c r="CZ96" i="2"/>
  <c r="R7" i="9" s="1"/>
  <c r="CK93" i="2"/>
  <c r="D4" i="9" s="1"/>
  <c r="AU111" i="2"/>
  <c r="CK111" i="2" s="1"/>
  <c r="D4" i="10" s="1"/>
  <c r="CN101" i="2"/>
  <c r="G12" i="9" s="1"/>
  <c r="CB119" i="2"/>
  <c r="CN119" i="2" s="1"/>
  <c r="G12" i="10" s="1"/>
  <c r="CT94" i="2"/>
  <c r="BE112" i="2"/>
  <c r="CT112" i="2" s="1"/>
  <c r="BH113" i="2"/>
  <c r="CV113" i="2" s="1"/>
  <c r="N6" i="10" s="1"/>
  <c r="CV95" i="2"/>
  <c r="N6" i="9" s="1"/>
  <c r="CX95" i="2"/>
  <c r="P6" i="9" s="1"/>
  <c r="BJ113" i="2"/>
  <c r="CX113" i="2" s="1"/>
  <c r="P6" i="10" s="1"/>
  <c r="BX101" i="2"/>
  <c r="CK101" i="2" s="1"/>
  <c r="D12" i="9" s="1"/>
  <c r="BQ115" i="2"/>
  <c r="DB115" i="2" s="1"/>
  <c r="T8" i="10" s="1"/>
  <c r="DB97" i="2"/>
  <c r="T8" i="9" s="1"/>
  <c r="CX99" i="2"/>
  <c r="P10" i="9" s="1"/>
  <c r="BJ117" i="2"/>
  <c r="CX117" i="2" s="1"/>
  <c r="P10" i="10" s="1"/>
  <c r="AS112" i="2"/>
  <c r="CI112" i="2" s="1"/>
  <c r="C5" i="10" s="1"/>
  <c r="CI94" i="2"/>
  <c r="C5" i="9" s="1"/>
  <c r="CK96" i="2"/>
  <c r="D7" i="9" s="1"/>
  <c r="AU114" i="2"/>
  <c r="CK114" i="2" s="1"/>
  <c r="D7" i="10" s="1"/>
  <c r="CI96" i="2"/>
  <c r="C7" i="9" s="1"/>
  <c r="AS114" i="2"/>
  <c r="CI114" i="2" s="1"/>
  <c r="C7" i="10" s="1"/>
  <c r="CH96" i="2"/>
  <c r="B7" i="9" s="1"/>
  <c r="AR114" i="2"/>
  <c r="CH114" i="2" s="1"/>
  <c r="B7" i="10" s="1"/>
  <c r="BF110" i="2"/>
  <c r="CU110" i="2" s="1"/>
  <c r="M3" i="10" s="1"/>
  <c r="CU92" i="2"/>
  <c r="M3" i="9" s="1"/>
  <c r="AT112" i="2"/>
  <c r="CJ112" i="2" s="1"/>
  <c r="CJ94" i="2"/>
  <c r="CJ91" i="2"/>
  <c r="AT109" i="2"/>
  <c r="CJ109" i="2" s="1"/>
  <c r="AT111" i="2"/>
  <c r="CJ111" i="2" s="1"/>
  <c r="CJ93" i="2"/>
  <c r="CW94" i="2"/>
  <c r="O5" i="9" s="1"/>
  <c r="BI112" i="2"/>
  <c r="CW112" i="2" s="1"/>
  <c r="O5" i="10" s="1"/>
  <c r="AR116" i="2"/>
  <c r="CH116" i="2" s="1"/>
  <c r="B9" i="10" s="1"/>
  <c r="CH98" i="2"/>
  <c r="B9" i="9" s="1"/>
  <c r="BJ110" i="2"/>
  <c r="CX110" i="2" s="1"/>
  <c r="P3" i="10" s="1"/>
  <c r="CX92" i="2"/>
  <c r="P3" i="9" s="1"/>
  <c r="CU95" i="2"/>
  <c r="M6" i="9" s="1"/>
  <c r="BF113" i="2"/>
  <c r="CU113" i="2" s="1"/>
  <c r="M6" i="10" s="1"/>
  <c r="DA94" i="2"/>
  <c r="S5" i="9" s="1"/>
  <c r="BP112" i="2"/>
  <c r="DA112" i="2" s="1"/>
  <c r="S5" i="10" s="1"/>
  <c r="CZ100" i="2"/>
  <c r="R11" i="9" s="1"/>
  <c r="BO118" i="2"/>
  <c r="CZ118" i="2" s="1"/>
  <c r="R11" i="10" s="1"/>
  <c r="BE117" i="2"/>
  <c r="CT117" i="2" s="1"/>
  <c r="CT99" i="2"/>
  <c r="BW101" i="2"/>
  <c r="CJ101" i="2" s="1"/>
  <c r="CT92" i="2"/>
  <c r="BE110" i="2"/>
  <c r="CT110" i="2" s="1"/>
  <c r="DA92" i="2"/>
  <c r="S3" i="9" s="1"/>
  <c r="BP110" i="2"/>
  <c r="DA110" i="2" s="1"/>
  <c r="S3" i="10" s="1"/>
  <c r="BH110" i="2"/>
  <c r="CV110" i="2" s="1"/>
  <c r="N3" i="10" s="1"/>
  <c r="CV92" i="2"/>
  <c r="N3" i="9" s="1"/>
  <c r="CY96" i="2"/>
  <c r="Q7" i="9" s="1"/>
  <c r="BN114" i="2"/>
  <c r="CY114" i="2" s="1"/>
  <c r="Q7" i="10" s="1"/>
  <c r="CL97" i="2"/>
  <c r="E8" i="9" s="1"/>
  <c r="AV115" i="2"/>
  <c r="CL115" i="2" s="1"/>
  <c r="E8" i="10" s="1"/>
  <c r="CZ97" i="2"/>
  <c r="R8" i="9" s="1"/>
  <c r="BO115" i="2"/>
  <c r="CZ115" i="2" s="1"/>
  <c r="R8" i="10" s="1"/>
  <c r="CX94" i="2"/>
  <c r="P5" i="9" s="1"/>
  <c r="BJ112" i="2"/>
  <c r="CX112" i="2" s="1"/>
  <c r="P5" i="10" s="1"/>
  <c r="CH91" i="2"/>
  <c r="B2" i="9" s="1"/>
  <c r="AR109" i="2"/>
  <c r="CH109" i="2" s="1"/>
  <c r="B2" i="10" s="1"/>
  <c r="CW98" i="2"/>
  <c r="O9" i="9" s="1"/>
  <c r="BI116" i="2"/>
  <c r="CW116" i="2" s="1"/>
  <c r="O9" i="10" s="1"/>
  <c r="CL100" i="2"/>
  <c r="E11" i="9" s="1"/>
  <c r="AV118" i="2"/>
  <c r="CL118" i="2" s="1"/>
  <c r="E11" i="10" s="1"/>
  <c r="AT113" i="2"/>
  <c r="CJ113" i="2" s="1"/>
  <c r="CJ95" i="2"/>
  <c r="CZ98" i="2"/>
  <c r="R9" i="9" s="1"/>
  <c r="BO116" i="2"/>
  <c r="CZ116" i="2" s="1"/>
  <c r="R9" i="10" s="1"/>
  <c r="BH112" i="2"/>
  <c r="CV112" i="2" s="1"/>
  <c r="N5" i="10" s="1"/>
  <c r="CV94" i="2"/>
  <c r="N5" i="9" s="1"/>
  <c r="DA98" i="2"/>
  <c r="S9" i="9" s="1"/>
  <c r="BP116" i="2"/>
  <c r="DA116" i="2" s="1"/>
  <c r="S9" i="10" s="1"/>
  <c r="BF118" i="2"/>
  <c r="CU118" i="2" s="1"/>
  <c r="M11" i="10" s="1"/>
  <c r="CU100" i="2"/>
  <c r="M11" i="9" s="1"/>
  <c r="AS113" i="2"/>
  <c r="CI113" i="2" s="1"/>
  <c r="C6" i="10" s="1"/>
  <c r="CI95" i="2"/>
  <c r="C6" i="9" s="1"/>
  <c r="CA92" i="2"/>
  <c r="CA110" i="2" s="1"/>
  <c r="BV91" i="2"/>
  <c r="BV109" i="2" s="1"/>
  <c r="BZ92" i="2"/>
  <c r="BZ110" i="2" s="1"/>
  <c r="BU91" i="2"/>
  <c r="BU109" i="2" s="1"/>
  <c r="AT118" i="2"/>
  <c r="CJ118" i="2" s="1"/>
  <c r="CJ100" i="2"/>
  <c r="CW100" i="2"/>
  <c r="O11" i="9" s="1"/>
  <c r="BI118" i="2"/>
  <c r="CW118" i="2" s="1"/>
  <c r="O11" i="10" s="1"/>
  <c r="DB93" i="2"/>
  <c r="T4" i="9" s="1"/>
  <c r="BQ111" i="2"/>
  <c r="DB111" i="2" s="1"/>
  <c r="T4" i="10" s="1"/>
  <c r="CH92" i="2"/>
  <c r="B3" i="9" s="1"/>
  <c r="AR110" i="2"/>
  <c r="CH110" i="2" s="1"/>
  <c r="B3" i="10" s="1"/>
  <c r="AS116" i="2"/>
  <c r="CI116" i="2" s="1"/>
  <c r="C9" i="10" s="1"/>
  <c r="CI98" i="2"/>
  <c r="C9" i="9" s="1"/>
  <c r="CL94" i="2"/>
  <c r="E5" i="9" s="1"/>
  <c r="AV112" i="2"/>
  <c r="CL112" i="2" s="1"/>
  <c r="E5" i="10" s="1"/>
  <c r="CY92" i="2"/>
  <c r="Q3" i="9" s="1"/>
  <c r="BN110" i="2"/>
  <c r="CY110" i="2" s="1"/>
  <c r="Q3" i="10" s="1"/>
  <c r="CV96" i="2"/>
  <c r="N7" i="9" s="1"/>
  <c r="BH114" i="2"/>
  <c r="CV114" i="2" s="1"/>
  <c r="N7" i="10" s="1"/>
  <c r="CR100" i="2"/>
  <c r="K11" i="9" s="1"/>
  <c r="BC118" i="2"/>
  <c r="CR118" i="2" s="1"/>
  <c r="K11" i="10" s="1"/>
  <c r="CS92" i="2"/>
  <c r="L3" i="9" s="1"/>
  <c r="BD110" i="2"/>
  <c r="CS110" i="2" s="1"/>
  <c r="L3" i="10" s="1"/>
  <c r="CT100" i="2"/>
  <c r="BE118" i="2"/>
  <c r="CT118" i="2" s="1"/>
  <c r="CK100" i="2"/>
  <c r="D11" i="9" s="1"/>
  <c r="AU118" i="2"/>
  <c r="CK118" i="2" s="1"/>
  <c r="D11" i="10" s="1"/>
  <c r="CK97" i="2"/>
  <c r="D8" i="9" s="1"/>
  <c r="AU115" i="2"/>
  <c r="CK115" i="2" s="1"/>
  <c r="D8" i="10" s="1"/>
  <c r="CY93" i="2"/>
  <c r="Q4" i="9" s="1"/>
  <c r="BN111" i="2"/>
  <c r="CY111" i="2" s="1"/>
  <c r="Q4" i="10" s="1"/>
  <c r="DB95" i="2"/>
  <c r="T6" i="9" s="1"/>
  <c r="BQ113" i="2"/>
  <c r="DB113" i="2" s="1"/>
  <c r="T6" i="10" s="1"/>
  <c r="CS100" i="2"/>
  <c r="L11" i="9" s="1"/>
  <c r="BD118" i="2"/>
  <c r="CS118" i="2" s="1"/>
  <c r="L11" i="10" s="1"/>
  <c r="CJ98" i="2"/>
  <c r="AT116" i="2"/>
  <c r="CJ116" i="2" s="1"/>
  <c r="CD101" i="2"/>
  <c r="BA115" i="2"/>
  <c r="CP115" i="2" s="1"/>
  <c r="I8" i="10" s="1"/>
  <c r="CP97" i="2"/>
  <c r="I8" i="9" s="1"/>
  <c r="BJ111" i="2"/>
  <c r="CX111" i="2" s="1"/>
  <c r="P4" i="10" s="1"/>
  <c r="CX93" i="2"/>
  <c r="P4" i="9" s="1"/>
  <c r="CC101" i="2"/>
  <c r="CC119" i="2" s="1"/>
  <c r="CU93" i="2"/>
  <c r="M4" i="9" s="1"/>
  <c r="BF111" i="2"/>
  <c r="CU111" i="2" s="1"/>
  <c r="M4" i="10" s="1"/>
  <c r="CW97" i="2"/>
  <c r="O8" i="9" s="1"/>
  <c r="BI115" i="2"/>
  <c r="CW115" i="2" s="1"/>
  <c r="O8" i="10" s="1"/>
  <c r="CG101" i="2"/>
  <c r="A12" i="9" s="1"/>
  <c r="AQ119" i="2"/>
  <c r="CG119" i="2" s="1"/>
  <c r="A12" i="10" s="1"/>
  <c r="AK342" i="4"/>
  <c r="AC336" i="4" s="1"/>
  <c r="AL339" i="4"/>
  <c r="AK341" i="4"/>
  <c r="AC335" i="4" s="1"/>
  <c r="AK348" i="4"/>
  <c r="AC342" i="4" s="1"/>
  <c r="AK346" i="4"/>
  <c r="AC340" i="4" s="1"/>
  <c r="AK344" i="4"/>
  <c r="AC338" i="4" s="1"/>
  <c r="AK343" i="4"/>
  <c r="AC337" i="4" s="1"/>
  <c r="AK345" i="4"/>
  <c r="AC339" i="4" s="1"/>
  <c r="AK347" i="4"/>
  <c r="AC341" i="4" s="1"/>
  <c r="AL343" i="4"/>
  <c r="BD335" i="4"/>
  <c r="BX336" i="4"/>
  <c r="BX337" i="4"/>
  <c r="BX338" i="4"/>
  <c r="BX335" i="4"/>
  <c r="CM101" i="2" l="1"/>
  <c r="F12" i="9" s="1"/>
  <c r="CA119" i="2"/>
  <c r="CM119" i="2" s="1"/>
  <c r="F12" i="10" s="1"/>
  <c r="CO101" i="2"/>
  <c r="H12" i="9" s="1"/>
  <c r="CD119" i="2"/>
  <c r="CO119" i="2" s="1"/>
  <c r="H12" i="10" s="1"/>
  <c r="AE328" i="4"/>
  <c r="AE332" i="4" s="1"/>
  <c r="AE334" i="4" s="1"/>
  <c r="AE338" i="4"/>
  <c r="BH337" i="4"/>
  <c r="AZ337" i="4" s="1"/>
  <c r="DJ29" i="4" s="1"/>
  <c r="DI73" i="4" s="1"/>
  <c r="BH333" i="4"/>
  <c r="BT74" i="4" l="1"/>
  <c r="BT78" i="4" s="1"/>
  <c r="BW80" i="4" s="1"/>
  <c r="BT73" i="4" l="1"/>
  <c r="BT80" i="4" s="1"/>
  <c r="BW79" i="4"/>
  <c r="DE45" i="4" s="1"/>
  <c r="DE88" i="4" s="1"/>
  <c r="DE42" i="4"/>
  <c r="DE85" i="4" s="1"/>
  <c r="BT83" i="4"/>
  <c r="BW21" i="4"/>
</calcChain>
</file>

<file path=xl/sharedStrings.xml><?xml version="1.0" encoding="utf-8"?>
<sst xmlns="http://schemas.openxmlformats.org/spreadsheetml/2006/main" count="7024" uniqueCount="318">
  <si>
    <t>Bolsa de espuma sellada</t>
  </si>
  <si>
    <t>en kg</t>
  </si>
  <si>
    <t>und</t>
  </si>
  <si>
    <t>Enfundado</t>
  </si>
  <si>
    <t>en unidades</t>
  </si>
  <si>
    <t>g</t>
  </si>
  <si>
    <t>Bolsa de 45 *60 cm</t>
  </si>
  <si>
    <t>forro espuma</t>
  </si>
  <si>
    <t>espuma triturada</t>
  </si>
  <si>
    <t>cm^2</t>
  </si>
  <si>
    <t>cm</t>
  </si>
  <si>
    <t>forro tela</t>
  </si>
  <si>
    <t>pegante poluretano</t>
  </si>
  <si>
    <t>kg/m^3</t>
  </si>
  <si>
    <t>ml</t>
  </si>
  <si>
    <t>m^3</t>
  </si>
  <si>
    <t>m</t>
  </si>
  <si>
    <t>m^2</t>
  </si>
  <si>
    <t>kg</t>
  </si>
  <si>
    <t>FACTOR CONV SI</t>
  </si>
  <si>
    <t>Conversion</t>
  </si>
  <si>
    <t>CONVERSOR A KG</t>
  </si>
  <si>
    <t>kg/m</t>
  </si>
  <si>
    <t>kg/m^2</t>
  </si>
  <si>
    <t>RESULTADO</t>
  </si>
  <si>
    <t>PESO X ALMOHADA</t>
  </si>
  <si>
    <t>cm^3</t>
  </si>
  <si>
    <t>und/HP</t>
  </si>
  <si>
    <t>kg/HP</t>
  </si>
  <si>
    <t>Sellado</t>
  </si>
  <si>
    <t>en m</t>
  </si>
  <si>
    <t>Hilo bolsa espuma</t>
  </si>
  <si>
    <t>hilo bolsa espuma</t>
  </si>
  <si>
    <t>hilo funda tela</t>
  </si>
  <si>
    <t>Entra</t>
  </si>
  <si>
    <t>Sale</t>
  </si>
  <si>
    <t>Desperdicios</t>
  </si>
  <si>
    <t>P1</t>
  </si>
  <si>
    <t>toij (min)</t>
  </si>
  <si>
    <t>tpcij (min)</t>
  </si>
  <si>
    <t>Bolsa de espuma llena, con abertura</t>
  </si>
  <si>
    <t>en und</t>
  </si>
  <si>
    <t>en kg + desperdicios</t>
  </si>
  <si>
    <t>Rellenado-Pesado</t>
  </si>
  <si>
    <t>Rellenado-pesado</t>
  </si>
  <si>
    <t>Despreciable</t>
  </si>
  <si>
    <t>Bolsa de espuma vacia, con abertura</t>
  </si>
  <si>
    <t>Espuma triturada</t>
  </si>
  <si>
    <t>2 Tapas de espuma</t>
  </si>
  <si>
    <t>Pegamento poliuterano</t>
  </si>
  <si>
    <t>en m^3</t>
  </si>
  <si>
    <t>Almacen insumos/mp</t>
  </si>
  <si>
    <t>Almacen PT</t>
  </si>
  <si>
    <t xml:space="preserve">Rollo de espuma </t>
  </si>
  <si>
    <t>-</t>
  </si>
  <si>
    <t>Por tapas almohada triturada</t>
  </si>
  <si>
    <t>Triturado</t>
  </si>
  <si>
    <t>PARA TRITURADO</t>
  </si>
  <si>
    <t>Almacen de reproceso materiales</t>
  </si>
  <si>
    <t>Retazos de espuma</t>
  </si>
  <si>
    <t>Confección funda sin cremallera</t>
  </si>
  <si>
    <t xml:space="preserve">Funda de tela algodón-poliester sin cremallera </t>
  </si>
  <si>
    <t>para 45 x 60 entra en cm:</t>
  </si>
  <si>
    <t>PARA DONDE?</t>
  </si>
  <si>
    <t>Tapa de tela</t>
  </si>
  <si>
    <t>Corte tapa de tela</t>
  </si>
  <si>
    <t>Rollo de tela</t>
  </si>
  <si>
    <t>Por tapa almohada triturada</t>
  </si>
  <si>
    <t>sale kg</t>
  </si>
  <si>
    <t>sale m^2</t>
  </si>
  <si>
    <t>sale m^3</t>
  </si>
  <si>
    <t>Corte tapas de espuma</t>
  </si>
  <si>
    <t>Pegar tapas espuma</t>
  </si>
  <si>
    <t>Hilo funda de tela sin cremallera</t>
  </si>
  <si>
    <t>Sellado bolsa espuma</t>
  </si>
  <si>
    <t>para pc de sellado-confeccion</t>
  </si>
  <si>
    <t>si la operación dura menos de 50 seg</t>
  </si>
  <si>
    <t>Confección funda tela sin cremallera</t>
  </si>
  <si>
    <t>P2(45x60)</t>
  </si>
  <si>
    <t>Pegar tapas de espuma</t>
  </si>
  <si>
    <t>Corte de espuma continua</t>
  </si>
  <si>
    <t>Perforación Cilindro</t>
  </si>
  <si>
    <t>Pesado de MP</t>
  </si>
  <si>
    <t>Pre-mezclado</t>
  </si>
  <si>
    <t>Mezclado</t>
  </si>
  <si>
    <t>Moldeo</t>
  </si>
  <si>
    <t>Desmoldeo</t>
  </si>
  <si>
    <t>Curado</t>
  </si>
  <si>
    <t>P2</t>
  </si>
  <si>
    <t xml:space="preserve">Funda de tela algodón-poliester con cremallera </t>
  </si>
  <si>
    <t>Almohada inyectada de 60 x 40</t>
  </si>
  <si>
    <t xml:space="preserve"> </t>
  </si>
  <si>
    <t>funda tela</t>
  </si>
  <si>
    <t>cremallera de nylon</t>
  </si>
  <si>
    <t>para 40 x 60 entra en cm:</t>
  </si>
  <si>
    <t>Espuma inyectada moldeada</t>
  </si>
  <si>
    <t>Espuma inyectada</t>
  </si>
  <si>
    <t>P1(40x60)</t>
  </si>
  <si>
    <t>Cremallera</t>
  </si>
  <si>
    <t>Confección funda con cremallera</t>
  </si>
  <si>
    <t>Retazos de tela</t>
  </si>
  <si>
    <t>PROCURAR CERO MANUAL</t>
  </si>
  <si>
    <t>KG</t>
  </si>
  <si>
    <t>Mezcla reaccionante</t>
  </si>
  <si>
    <t>ASUME DENSIDAD POCO MAYOR AGUA</t>
  </si>
  <si>
    <t>CALLE</t>
  </si>
  <si>
    <t>CO2y gases inhertes</t>
  </si>
  <si>
    <t>MP Pesada</t>
  </si>
  <si>
    <t>Materia</t>
  </si>
  <si>
    <t>Agua</t>
  </si>
  <si>
    <t>Poliol</t>
  </si>
  <si>
    <t>TDI</t>
  </si>
  <si>
    <t>Amina</t>
  </si>
  <si>
    <t>Estaño</t>
  </si>
  <si>
    <t>Siliciona</t>
  </si>
  <si>
    <t>Polimérico</t>
  </si>
  <si>
    <t>Cloruro de Metilo</t>
  </si>
  <si>
    <t xml:space="preserve">en kg </t>
  </si>
  <si>
    <t>Proporción peso a peso</t>
  </si>
  <si>
    <t>Pesado MP</t>
  </si>
  <si>
    <t>MP Espuma</t>
  </si>
  <si>
    <t>BARRILES</t>
  </si>
  <si>
    <t>Espuma inyectada y moldeada</t>
  </si>
  <si>
    <t>P11</t>
  </si>
  <si>
    <t>Colchonetas calibre 10 de 190 x 100</t>
  </si>
  <si>
    <t>Almohada inyectada</t>
  </si>
  <si>
    <t>Colchoneta</t>
  </si>
  <si>
    <t>politex</t>
  </si>
  <si>
    <t>lámina de espuma</t>
  </si>
  <si>
    <t>hilo acolchado</t>
  </si>
  <si>
    <t>hilo forro de tela</t>
  </si>
  <si>
    <t xml:space="preserve"> espuma continua acolchado</t>
  </si>
  <si>
    <t>tela tapa acolchado</t>
  </si>
  <si>
    <t>PESO X COLCHONETA</t>
  </si>
  <si>
    <t xml:space="preserve">Lámina de espuma </t>
  </si>
  <si>
    <t>Tapa de tela acolchada</t>
  </si>
  <si>
    <t>Entra de más;</t>
  </si>
  <si>
    <t>Hilo</t>
  </si>
  <si>
    <t>Corte tela acolchada</t>
  </si>
  <si>
    <t>Rollo de tela acolchada</t>
  </si>
  <si>
    <t>Por tapa  Colchoneta</t>
  </si>
  <si>
    <t>tela acolchada</t>
  </si>
  <si>
    <t>Corte</t>
  </si>
  <si>
    <t>Bloque de espuma</t>
  </si>
  <si>
    <t>Colchonetas</t>
  </si>
  <si>
    <t>P11(C10)100X190</t>
  </si>
  <si>
    <t>x</t>
  </si>
  <si>
    <t>Corte bloque espuma en láminas</t>
  </si>
  <si>
    <t>Corte tapa tela acolchada</t>
  </si>
  <si>
    <t>Corte tapa tela sin cremallera/con</t>
  </si>
  <si>
    <t>P4</t>
  </si>
  <si>
    <t>Por tapa almohada viscoelastica</t>
  </si>
  <si>
    <t>YA TENIDO</t>
  </si>
  <si>
    <t>EN CUENTA</t>
  </si>
  <si>
    <t>ARRIBA</t>
  </si>
  <si>
    <t>en m^2</t>
  </si>
  <si>
    <t>Retazos de tela acolchada</t>
  </si>
  <si>
    <t>PAFRAHACER OREJAS COLCHONES</t>
  </si>
  <si>
    <t>kg, peso por oreja</t>
  </si>
  <si>
    <t>Orejas  para bandas</t>
  </si>
  <si>
    <t>Cerrado-Confeción</t>
  </si>
  <si>
    <t>Orejas</t>
  </si>
  <si>
    <t>Sensaflex de 190 x 100 (C15)</t>
  </si>
  <si>
    <t>PESO X COLCHON SENSAFLEX</t>
  </si>
  <si>
    <t xml:space="preserve"> espuma continua acolchado tapa</t>
  </si>
  <si>
    <t xml:space="preserve"> espuma continua acolchado banda</t>
  </si>
  <si>
    <t>tela tapa acolchado banda</t>
  </si>
  <si>
    <t>orejas  para bandas</t>
  </si>
  <si>
    <t>LO QUE SOBRA DE LAS SOBRAS</t>
  </si>
  <si>
    <t>Por tapa y bandas sensaflex</t>
  </si>
  <si>
    <t>Sensaflex</t>
  </si>
  <si>
    <t>P4(C15)100X190</t>
  </si>
  <si>
    <t>P6</t>
  </si>
  <si>
    <t>Semiortopédico resotrado</t>
  </si>
  <si>
    <t>unidad resortada</t>
  </si>
  <si>
    <t>orejas para bandas</t>
  </si>
  <si>
    <t>Por semiortopédico resortado</t>
  </si>
  <si>
    <t>Semiortopédico resortado</t>
  </si>
  <si>
    <t>P6 100 X 190</t>
  </si>
  <si>
    <t>Cerrado-Confeción-Tapizado</t>
  </si>
  <si>
    <t>Confección colchón (+Cerrado y tapizado(resortados))</t>
  </si>
  <si>
    <t>P9</t>
  </si>
  <si>
    <t>cassata</t>
  </si>
  <si>
    <t>pegante poliuretano</t>
  </si>
  <si>
    <t>cassta</t>
  </si>
  <si>
    <t>PREMIUM</t>
  </si>
  <si>
    <t>Por semi anatómico</t>
  </si>
  <si>
    <t>Semi Anatómico</t>
  </si>
  <si>
    <t>Semi ortopédico resortado</t>
  </si>
  <si>
    <t xml:space="preserve">Semi anatómico </t>
  </si>
  <si>
    <t>Semi anatómico de 190 x 100</t>
  </si>
  <si>
    <t>Semi anatómico 190 x 100</t>
  </si>
  <si>
    <t>P9 100 X 190</t>
  </si>
  <si>
    <t>Aplica para bloque y cilindro de espuma</t>
  </si>
  <si>
    <t>P8</t>
  </si>
  <si>
    <t xml:space="preserve">Anatómico </t>
  </si>
  <si>
    <t>Anatómico 190 x 100</t>
  </si>
  <si>
    <t>PESO X COLCHON ANATÓMICO</t>
  </si>
  <si>
    <t>PESO X COLCHON  SEMIORTOPÉDICO RESORTADO</t>
  </si>
  <si>
    <t>P8 100 X 190</t>
  </si>
  <si>
    <t>P7</t>
  </si>
  <si>
    <t>Semi ortopédico resortado 100 x 190</t>
  </si>
  <si>
    <t>Ortopédico resortado 100 x 190</t>
  </si>
  <si>
    <t>PESO X COLCHON ORTOPÉDICO RESORTADO</t>
  </si>
  <si>
    <t>PESO X COLCHON SEMIORTOPEDICO RESORTADO</t>
  </si>
  <si>
    <t>PESO X SEMI ANATÓMICO</t>
  </si>
  <si>
    <t>Por ortopédico resortado</t>
  </si>
  <si>
    <t>P7 100 X 190</t>
  </si>
  <si>
    <t>COMPRESOR</t>
  </si>
  <si>
    <t>BLOQUES HORZ</t>
  </si>
  <si>
    <t>QUEDA EN CURADO:</t>
  </si>
  <si>
    <t>%APORTE</t>
  </si>
  <si>
    <t>Por anatómico</t>
  </si>
  <si>
    <t>Acolchado</t>
  </si>
  <si>
    <t>Cant hilo en kg</t>
  </si>
  <si>
    <t>Desperdicios Hilo</t>
  </si>
  <si>
    <t>PARA DONDE VAN?</t>
  </si>
  <si>
    <t>CILINDROS HORZ</t>
  </si>
  <si>
    <t>Corte espuma continua</t>
  </si>
  <si>
    <t>Bloque cilíndrico perforado</t>
  </si>
  <si>
    <t>espuma continua</t>
  </si>
  <si>
    <t>QUEDA:</t>
  </si>
  <si>
    <t>Perforación cilindro</t>
  </si>
  <si>
    <t>Semirtopédico resortado</t>
  </si>
  <si>
    <t>MATRIZ DE INTENSIDAD DE TRANSPORTE</t>
  </si>
  <si>
    <t>HILO</t>
  </si>
  <si>
    <t>Desechos</t>
  </si>
  <si>
    <t>EN KG</t>
  </si>
  <si>
    <t>RETAZOS DE TELA</t>
  </si>
  <si>
    <t>Rellenado - Pesado</t>
  </si>
  <si>
    <t>almohada espuma trit</t>
  </si>
  <si>
    <t>semi ortopedicoresortado</t>
  </si>
  <si>
    <t>Almacen reproceso</t>
  </si>
  <si>
    <t>QUEDA/FALTAN:</t>
  </si>
  <si>
    <t>Alhomada de espuma triturada</t>
  </si>
  <si>
    <t>Compresor</t>
  </si>
  <si>
    <t>sale a corte tapa desde almac</t>
  </si>
  <si>
    <t>Cerrado-confección-tapizado</t>
  </si>
  <si>
    <t>Corte-manual</t>
  </si>
  <si>
    <t>Triturado-Corte manual</t>
  </si>
  <si>
    <t>Varios</t>
  </si>
  <si>
    <t>Curado-Almacen</t>
  </si>
  <si>
    <t>17 FUJOS EN P2</t>
  </si>
  <si>
    <t>solo espuma</t>
  </si>
  <si>
    <t>DE CORTE ESPUMA A CURADO</t>
  </si>
  <si>
    <t>Entra a acolchado de MP</t>
  </si>
  <si>
    <t>Entra a acolchado de corte espuma continua</t>
  </si>
  <si>
    <t>DE ALM MP A CONFECCIÓN EN TOTAL EN KG</t>
  </si>
  <si>
    <t>C. Cassata 100 x190</t>
  </si>
  <si>
    <t>P10</t>
  </si>
  <si>
    <t>PESO X COLCHON CASSATA</t>
  </si>
  <si>
    <t>Por tapa y bandas cassata</t>
  </si>
  <si>
    <t>Colchón Cassata</t>
  </si>
  <si>
    <t>P10 100 x 190</t>
  </si>
  <si>
    <t>solo clind</t>
  </si>
  <si>
    <t>algodón</t>
  </si>
  <si>
    <t>Confección - colchón algodón</t>
  </si>
  <si>
    <t>tapa tela dacrón</t>
  </si>
  <si>
    <t>Algodón industrial</t>
  </si>
  <si>
    <t>rollo tela dacrón</t>
  </si>
  <si>
    <t>Rollo de espuma</t>
  </si>
  <si>
    <t>ALM MP</t>
  </si>
  <si>
    <t>Entra a acolchado de alm mp</t>
  </si>
  <si>
    <t>C. en algodón</t>
  </si>
  <si>
    <t>Corte tela</t>
  </si>
  <si>
    <t>Confección clchón algodón</t>
  </si>
  <si>
    <t>Confección colchón algodón</t>
  </si>
  <si>
    <t>P5</t>
  </si>
  <si>
    <t>P5 100 x 190</t>
  </si>
  <si>
    <t>P3</t>
  </si>
  <si>
    <t>Base cama 100 x190</t>
  </si>
  <si>
    <t>patas frontales</t>
  </si>
  <si>
    <t>patas traseras</t>
  </si>
  <si>
    <t>tablas laterales</t>
  </si>
  <si>
    <t>tabla frontal</t>
  </si>
  <si>
    <t>tablas traseras</t>
  </si>
  <si>
    <t>uniones de madera</t>
  </si>
  <si>
    <t>tablas de soporte</t>
  </si>
  <si>
    <t>cm^4</t>
  </si>
  <si>
    <t>cm^5</t>
  </si>
  <si>
    <t>cm^6</t>
  </si>
  <si>
    <t>cm^7</t>
  </si>
  <si>
    <t>cm^8</t>
  </si>
  <si>
    <t>cm^9</t>
  </si>
  <si>
    <t>m3</t>
  </si>
  <si>
    <t>tornillo hexagonal de 1/2"</t>
  </si>
  <si>
    <t xml:space="preserve">puntillas aceradas de 5 cm </t>
  </si>
  <si>
    <t>puntillas aceras de 3 cm</t>
  </si>
  <si>
    <t>anclaje metálico para 1/2"</t>
  </si>
  <si>
    <t>Esmalte sintético barnizado</t>
  </si>
  <si>
    <t>l</t>
  </si>
  <si>
    <t>Lijado</t>
  </si>
  <si>
    <t>Barnizado</t>
  </si>
  <si>
    <t>Enesamblado</t>
  </si>
  <si>
    <t>Almacen madera</t>
  </si>
  <si>
    <t>Corte madera</t>
  </si>
  <si>
    <t>Ensamble base cama</t>
  </si>
  <si>
    <t>P3 100 x 190</t>
  </si>
  <si>
    <t>solo cilindro</t>
  </si>
  <si>
    <t>nj</t>
  </si>
  <si>
    <t>Bloques</t>
  </si>
  <si>
    <t>Cilindro</t>
  </si>
  <si>
    <t>Lj</t>
  </si>
  <si>
    <t xml:space="preserve">    </t>
  </si>
  <si>
    <t>SUM</t>
  </si>
  <si>
    <t>Cilindros</t>
  </si>
  <si>
    <t>tni</t>
  </si>
  <si>
    <t>min/año</t>
  </si>
  <si>
    <t>hra/año</t>
  </si>
  <si>
    <t>Triturado-corte manual</t>
  </si>
  <si>
    <t>HORAS EN TOTAL AL AÑO</t>
  </si>
  <si>
    <t>Productividad laboral del sector</t>
  </si>
  <si>
    <t>Coeficiente de cumpl</t>
  </si>
  <si>
    <t># periodos</t>
  </si>
  <si>
    <t>TIEMPO EFECTIVO</t>
  </si>
  <si>
    <t>Tipos de máquina</t>
  </si>
  <si>
    <t>23-24</t>
  </si>
  <si>
    <t>tipos de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</si>
</sst>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00"/>
    <numFmt numFmtId="165" formatCode="0.00000000"/>
    <numFmt numFmtId="166" formatCode="0.00000"/>
    <numFmt numFmtId="167" formatCode="0.0"/>
    <numFmt numFmtId="168" formatCode="0.0000E+00"/>
    <numFmt numFmtId="169" formatCode="0.00000000E+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 style="thin">
        <color indexed="64"/>
      </top>
      <bottom/>
      <diagonal/>
    </border>
    <border>
      <left style="medium">
        <color rgb="FF00B0F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 style="thin">
        <color indexed="64"/>
      </top>
      <bottom style="medium">
        <color rgb="FF00B0F0"/>
      </bottom>
      <diagonal/>
    </border>
    <border>
      <left/>
      <right style="thin">
        <color indexed="64"/>
      </right>
      <top style="thin">
        <color indexed="64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0" fontId="2" fillId="0" borderId="0" xfId="0" applyFont="1"/>
    <xf numFmtId="0" fontId="1" fillId="0" borderId="0" xfId="0" applyFont="1"/>
    <xf numFmtId="0" fontId="3" fillId="0" borderId="0" xfId="0" applyFont="1"/>
    <xf numFmtId="1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Font="1" applyBorder="1"/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6" borderId="2" xfId="0" applyFill="1" applyBorder="1" applyAlignment="1">
      <alignment vertical="center"/>
    </xf>
    <xf numFmtId="0" fontId="1" fillId="0" borderId="2" xfId="0" applyFont="1" applyBorder="1" applyAlignment="1"/>
    <xf numFmtId="0" fontId="0" fillId="0" borderId="2" xfId="0" applyFont="1" applyFill="1" applyBorder="1" applyAlignment="1"/>
    <xf numFmtId="0" fontId="0" fillId="0" borderId="2" xfId="0" applyFont="1" applyFill="1" applyBorder="1"/>
    <xf numFmtId="10" fontId="0" fillId="2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0" fillId="2" borderId="0" xfId="0" applyFill="1" applyBorder="1" applyAlignment="1">
      <alignment horizontal="center"/>
    </xf>
    <xf numFmtId="0" fontId="3" fillId="0" borderId="0" xfId="0" applyFont="1" applyBorder="1"/>
    <xf numFmtId="11" fontId="1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0" fontId="1" fillId="0" borderId="0" xfId="0" applyFont="1" applyBorder="1" applyAlignment="1">
      <alignment horizontal="center"/>
    </xf>
    <xf numFmtId="164" fontId="0" fillId="0" borderId="0" xfId="0" applyNumberFormat="1" applyBorder="1"/>
    <xf numFmtId="11" fontId="0" fillId="0" borderId="0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1" fillId="0" borderId="3" xfId="0" applyFont="1" applyBorder="1"/>
    <xf numFmtId="0" fontId="0" fillId="0" borderId="21" xfId="0" applyBorder="1"/>
    <xf numFmtId="0" fontId="1" fillId="0" borderId="2" xfId="0" applyFont="1" applyBorder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166" fontId="0" fillId="0" borderId="21" xfId="0" applyNumberFormat="1" applyBorder="1"/>
    <xf numFmtId="0" fontId="1" fillId="0" borderId="21" xfId="0" applyFont="1" applyBorder="1"/>
    <xf numFmtId="0" fontId="0" fillId="0" borderId="10" xfId="0" applyFont="1" applyBorder="1" applyAlignment="1">
      <alignment horizontal="left"/>
    </xf>
    <xf numFmtId="167" fontId="0" fillId="0" borderId="0" xfId="0" applyNumberFormat="1" applyBorder="1"/>
    <xf numFmtId="0" fontId="1" fillId="7" borderId="0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26" xfId="0" applyFill="1" applyBorder="1" applyAlignment="1">
      <alignment horizontal="center"/>
    </xf>
    <xf numFmtId="10" fontId="0" fillId="2" borderId="26" xfId="0" applyNumberForma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1" fontId="1" fillId="0" borderId="26" xfId="0" applyNumberFormat="1" applyFont="1" applyBorder="1" applyAlignment="1">
      <alignment horizontal="center"/>
    </xf>
    <xf numFmtId="0" fontId="2" fillId="0" borderId="26" xfId="0" applyFont="1" applyBorder="1"/>
    <xf numFmtId="0" fontId="0" fillId="0" borderId="30" xfId="0" applyBorder="1" applyAlignment="1">
      <alignment horizontal="center"/>
    </xf>
    <xf numFmtId="0" fontId="1" fillId="0" borderId="26" xfId="0" applyFont="1" applyBorder="1"/>
    <xf numFmtId="0" fontId="3" fillId="0" borderId="26" xfId="0" applyFont="1" applyBorder="1"/>
    <xf numFmtId="11" fontId="1" fillId="0" borderId="2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0" fontId="0" fillId="0" borderId="33" xfId="0" applyBorder="1"/>
    <xf numFmtId="0" fontId="1" fillId="0" borderId="33" xfId="0" applyFont="1" applyBorder="1"/>
    <xf numFmtId="165" fontId="0" fillId="0" borderId="34" xfId="0" applyNumberFormat="1" applyBorder="1"/>
    <xf numFmtId="0" fontId="0" fillId="5" borderId="8" xfId="0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10" fontId="0" fillId="0" borderId="2" xfId="0" applyNumberFormat="1" applyBorder="1"/>
    <xf numFmtId="0" fontId="0" fillId="0" borderId="0" xfId="0" applyFont="1"/>
    <xf numFmtId="0" fontId="0" fillId="5" borderId="0" xfId="0" applyFont="1" applyFill="1"/>
    <xf numFmtId="0" fontId="0" fillId="0" borderId="3" xfId="0" applyFont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10" fontId="0" fillId="9" borderId="0" xfId="0" applyNumberForma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0" fontId="0" fillId="9" borderId="0" xfId="0" applyFill="1"/>
    <xf numFmtId="0" fontId="0" fillId="12" borderId="0" xfId="0" applyFill="1"/>
    <xf numFmtId="0" fontId="1" fillId="12" borderId="0" xfId="0" applyFont="1" applyFill="1"/>
    <xf numFmtId="0" fontId="1" fillId="0" borderId="21" xfId="0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/>
    </xf>
    <xf numFmtId="166" fontId="0" fillId="0" borderId="2" xfId="0" applyNumberFormat="1" applyBorder="1" applyAlignment="1"/>
    <xf numFmtId="166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42" xfId="0" applyBorder="1"/>
    <xf numFmtId="0" fontId="1" fillId="0" borderId="42" xfId="0" applyFont="1" applyBorder="1"/>
    <xf numFmtId="0" fontId="0" fillId="0" borderId="21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/>
    <xf numFmtId="166" fontId="0" fillId="0" borderId="0" xfId="0" applyNumberFormat="1"/>
    <xf numFmtId="0" fontId="0" fillId="0" borderId="4" xfId="0" applyBorder="1" applyAlignment="1"/>
    <xf numFmtId="0" fontId="0" fillId="0" borderId="43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21" xfId="0" applyFill="1" applyBorder="1" applyAlignment="1">
      <alignment horizontal="left" vertical="center"/>
    </xf>
    <xf numFmtId="0" fontId="0" fillId="0" borderId="10" xfId="0" applyBorder="1" applyAlignment="1"/>
    <xf numFmtId="0" fontId="0" fillId="0" borderId="21" xfId="0" applyFont="1" applyBorder="1" applyAlignment="1">
      <alignment horizontal="left"/>
    </xf>
    <xf numFmtId="0" fontId="0" fillId="0" borderId="21" xfId="0" applyBorder="1" applyAlignment="1"/>
    <xf numFmtId="0" fontId="0" fillId="0" borderId="0" xfId="0" applyFont="1" applyFill="1"/>
    <xf numFmtId="0" fontId="0" fillId="0" borderId="2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0" xfId="0" applyFont="1" applyBorder="1"/>
    <xf numFmtId="0" fontId="0" fillId="0" borderId="5" xfId="0" applyBorder="1" applyAlignment="1">
      <alignment horizontal="center"/>
    </xf>
    <xf numFmtId="0" fontId="0" fillId="0" borderId="50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42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7" fillId="0" borderId="0" xfId="0" applyFont="1"/>
    <xf numFmtId="0" fontId="11" fillId="0" borderId="2" xfId="0" applyFont="1" applyBorder="1" applyAlignment="1">
      <alignment horizontal="center"/>
    </xf>
    <xf numFmtId="0" fontId="11" fillId="0" borderId="0" xfId="0" applyFont="1" applyBorder="1"/>
    <xf numFmtId="0" fontId="0" fillId="9" borderId="2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2" xfId="0" applyNumberFormat="1" applyBorder="1" applyAlignment="1"/>
    <xf numFmtId="164" fontId="11" fillId="0" borderId="0" xfId="0" applyNumberFormat="1" applyFont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0" fontId="13" fillId="0" borderId="0" xfId="0" applyFont="1"/>
    <xf numFmtId="0" fontId="14" fillId="0" borderId="2" xfId="0" applyFont="1" applyBorder="1"/>
    <xf numFmtId="11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7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45" xfId="0" applyBorder="1"/>
    <xf numFmtId="0" fontId="0" fillId="0" borderId="41" xfId="0" applyBorder="1"/>
    <xf numFmtId="164" fontId="9" fillId="0" borderId="0" xfId="0" applyNumberFormat="1" applyFont="1" applyBorder="1"/>
    <xf numFmtId="0" fontId="0" fillId="0" borderId="9" xfId="0" applyBorder="1"/>
    <xf numFmtId="0" fontId="0" fillId="0" borderId="1" xfId="0" applyBorder="1"/>
    <xf numFmtId="164" fontId="10" fillId="0" borderId="1" xfId="0" applyNumberFormat="1" applyFont="1" applyBorder="1"/>
    <xf numFmtId="0" fontId="0" fillId="0" borderId="10" xfId="0" applyBorder="1"/>
    <xf numFmtId="0" fontId="0" fillId="0" borderId="21" xfId="0" applyBorder="1" applyAlignment="1">
      <alignment horizontal="center" vertical="center"/>
    </xf>
    <xf numFmtId="0" fontId="14" fillId="0" borderId="21" xfId="0" applyFont="1" applyBorder="1"/>
    <xf numFmtId="0" fontId="14" fillId="9" borderId="2" xfId="0" applyFont="1" applyFill="1" applyBorder="1"/>
    <xf numFmtId="0" fontId="0" fillId="0" borderId="45" xfId="0" applyFill="1" applyBorder="1"/>
    <xf numFmtId="0" fontId="0" fillId="0" borderId="0" xfId="0" applyFont="1" applyBorder="1"/>
    <xf numFmtId="0" fontId="0" fillId="0" borderId="45" xfId="0" applyFont="1" applyBorder="1"/>
    <xf numFmtId="165" fontId="0" fillId="0" borderId="2" xfId="0" applyNumberFormat="1" applyBorder="1" applyAlignment="1"/>
    <xf numFmtId="166" fontId="0" fillId="0" borderId="41" xfId="0" applyNumberFormat="1" applyBorder="1"/>
    <xf numFmtId="168" fontId="6" fillId="5" borderId="0" xfId="0" applyNumberFormat="1" applyFont="1" applyFill="1" applyAlignment="1">
      <alignment horizontal="center"/>
    </xf>
    <xf numFmtId="0" fontId="6" fillId="5" borderId="0" xfId="0" applyFont="1" applyFill="1"/>
    <xf numFmtId="11" fontId="6" fillId="5" borderId="0" xfId="0" applyNumberFormat="1" applyFont="1" applyFill="1" applyAlignment="1">
      <alignment horizontal="center"/>
    </xf>
    <xf numFmtId="166" fontId="6" fillId="5" borderId="21" xfId="0" applyNumberFormat="1" applyFont="1" applyFill="1" applyBorder="1"/>
    <xf numFmtId="0" fontId="6" fillId="5" borderId="21" xfId="0" applyFont="1" applyFill="1" applyBorder="1"/>
    <xf numFmtId="168" fontId="0" fillId="0" borderId="0" xfId="0" applyNumberFormat="1"/>
    <xf numFmtId="168" fontId="0" fillId="0" borderId="0" xfId="0" applyNumberFormat="1" applyBorder="1"/>
    <xf numFmtId="167" fontId="0" fillId="0" borderId="2" xfId="0" applyNumberFormat="1" applyFont="1" applyFill="1" applyBorder="1" applyAlignment="1"/>
    <xf numFmtId="164" fontId="1" fillId="0" borderId="0" xfId="0" applyNumberFormat="1" applyFont="1"/>
    <xf numFmtId="0" fontId="0" fillId="8" borderId="0" xfId="0" applyFill="1"/>
    <xf numFmtId="11" fontId="1" fillId="5" borderId="0" xfId="0" applyNumberFormat="1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165" fontId="0" fillId="5" borderId="0" xfId="0" applyNumberFormat="1" applyFill="1" applyBorder="1"/>
    <xf numFmtId="165" fontId="0" fillId="0" borderId="0" xfId="0" applyNumberFormat="1" applyFill="1" applyBorder="1"/>
    <xf numFmtId="0" fontId="2" fillId="0" borderId="2" xfId="0" applyFont="1" applyBorder="1"/>
    <xf numFmtId="0" fontId="0" fillId="0" borderId="0" xfId="0" applyFill="1"/>
    <xf numFmtId="0" fontId="1" fillId="0" borderId="0" xfId="0" applyFont="1" applyFill="1"/>
    <xf numFmtId="169" fontId="0" fillId="0" borderId="0" xfId="0" applyNumberFormat="1"/>
    <xf numFmtId="0" fontId="2" fillId="5" borderId="0" xfId="0" applyFont="1" applyFill="1"/>
    <xf numFmtId="0" fontId="1" fillId="5" borderId="2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5" borderId="2" xfId="0" applyFill="1" applyBorder="1"/>
    <xf numFmtId="0" fontId="0" fillId="5" borderId="0" xfId="0" applyFill="1" applyAlignment="1">
      <alignment horizontal="center"/>
    </xf>
    <xf numFmtId="0" fontId="3" fillId="5" borderId="0" xfId="0" applyFont="1" applyFill="1"/>
    <xf numFmtId="10" fontId="0" fillId="5" borderId="0" xfId="0" applyNumberFormat="1" applyFill="1" applyAlignment="1">
      <alignment horizontal="center"/>
    </xf>
    <xf numFmtId="0" fontId="0" fillId="5" borderId="21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43" xfId="0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0" fillId="5" borderId="4" xfId="0" applyFill="1" applyBorder="1" applyAlignment="1"/>
    <xf numFmtId="166" fontId="0" fillId="5" borderId="0" xfId="0" applyNumberFormat="1" applyFill="1"/>
    <xf numFmtId="10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5" borderId="5" xfId="0" applyFont="1" applyFill="1" applyBorder="1"/>
    <xf numFmtId="0" fontId="0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/>
    </xf>
    <xf numFmtId="0" fontId="1" fillId="5" borderId="21" xfId="0" applyFont="1" applyFill="1" applyBorder="1"/>
    <xf numFmtId="0" fontId="0" fillId="5" borderId="7" xfId="0" applyFont="1" applyFill="1" applyBorder="1" applyAlignment="1">
      <alignment horizontal="center"/>
    </xf>
    <xf numFmtId="0" fontId="0" fillId="5" borderId="42" xfId="0" applyFill="1" applyBorder="1"/>
    <xf numFmtId="0" fontId="1" fillId="5" borderId="42" xfId="0" applyFont="1" applyFill="1" applyBorder="1"/>
    <xf numFmtId="0" fontId="0" fillId="5" borderId="21" xfId="0" applyFont="1" applyFill="1" applyBorder="1" applyAlignment="1">
      <alignment horizontal="center"/>
    </xf>
    <xf numFmtId="0" fontId="1" fillId="5" borderId="0" xfId="0" applyFont="1" applyFill="1" applyBorder="1"/>
    <xf numFmtId="0" fontId="0" fillId="5" borderId="0" xfId="0" applyFill="1" applyBorder="1"/>
    <xf numFmtId="0" fontId="0" fillId="5" borderId="2" xfId="0" applyFill="1" applyBorder="1" applyAlignment="1"/>
    <xf numFmtId="0" fontId="1" fillId="5" borderId="0" xfId="0" applyFont="1" applyFill="1" applyAlignment="1">
      <alignment horizont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11" fontId="0" fillId="5" borderId="2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3" xfId="0" applyNumberFormat="1" applyFill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0" fontId="2" fillId="5" borderId="0" xfId="0" applyFont="1" applyFill="1" applyBorder="1"/>
    <xf numFmtId="0" fontId="0" fillId="5" borderId="21" xfId="0" applyFill="1" applyBorder="1" applyAlignment="1">
      <alignment horizontal="center" vertical="center"/>
    </xf>
    <xf numFmtId="0" fontId="3" fillId="5" borderId="0" xfId="0" applyFont="1" applyFill="1" applyBorder="1"/>
    <xf numFmtId="11" fontId="1" fillId="5" borderId="0" xfId="0" applyNumberFormat="1" applyFon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4" fillId="5" borderId="21" xfId="0" applyFont="1" applyFill="1" applyBorder="1"/>
    <xf numFmtId="0" fontId="0" fillId="5" borderId="21" xfId="0" applyFill="1" applyBorder="1"/>
    <xf numFmtId="0" fontId="1" fillId="5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164" fontId="0" fillId="5" borderId="0" xfId="0" applyNumberFormat="1" applyFill="1"/>
    <xf numFmtId="0" fontId="0" fillId="5" borderId="2" xfId="0" applyFont="1" applyFill="1" applyBorder="1"/>
    <xf numFmtId="11" fontId="0" fillId="5" borderId="0" xfId="0" applyNumberFormat="1" applyFill="1" applyAlignment="1">
      <alignment horizontal="center"/>
    </xf>
    <xf numFmtId="11" fontId="0" fillId="5" borderId="0" xfId="0" applyNumberFormat="1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1" fillId="5" borderId="6" xfId="0" applyFont="1" applyFill="1" applyBorder="1"/>
    <xf numFmtId="0" fontId="0" fillId="5" borderId="2" xfId="0" applyFont="1" applyFill="1" applyBorder="1" applyAlignment="1"/>
    <xf numFmtId="0" fontId="11" fillId="5" borderId="0" xfId="0" applyFont="1" applyFill="1"/>
    <xf numFmtId="164" fontId="11" fillId="5" borderId="0" xfId="0" applyNumberFormat="1" applyFont="1" applyFill="1"/>
    <xf numFmtId="0" fontId="0" fillId="0" borderId="2" xfId="0" applyFill="1" applyBorder="1"/>
    <xf numFmtId="0" fontId="1" fillId="0" borderId="11" xfId="0" applyFont="1" applyBorder="1"/>
    <xf numFmtId="0" fontId="2" fillId="0" borderId="0" xfId="0" applyFont="1" applyFill="1"/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/>
    <xf numFmtId="0" fontId="0" fillId="0" borderId="0" xfId="0" applyFill="1" applyAlignment="1">
      <alignment horizontal="center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4" xfId="0" applyFill="1" applyBorder="1" applyAlignment="1"/>
    <xf numFmtId="166" fontId="0" fillId="0" borderId="0" xfId="0" applyNumberFormat="1" applyFill="1"/>
    <xf numFmtId="10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42" xfId="0" applyFill="1" applyBorder="1"/>
    <xf numFmtId="0" fontId="1" fillId="0" borderId="42" xfId="0" applyFont="1" applyFill="1" applyBorder="1"/>
    <xf numFmtId="0" fontId="0" fillId="15" borderId="21" xfId="0" applyFill="1" applyBorder="1" applyAlignment="1">
      <alignment horizontal="left" vertical="center"/>
    </xf>
    <xf numFmtId="0" fontId="0" fillId="13" borderId="0" xfId="0" applyFill="1"/>
    <xf numFmtId="0" fontId="0" fillId="4" borderId="0" xfId="0" applyFill="1"/>
    <xf numFmtId="0" fontId="0" fillId="6" borderId="45" xfId="0" applyFill="1" applyBorder="1"/>
    <xf numFmtId="0" fontId="0" fillId="6" borderId="0" xfId="0" applyFill="1" applyBorder="1"/>
    <xf numFmtId="0" fontId="0" fillId="6" borderId="0" xfId="0" applyFill="1"/>
    <xf numFmtId="0" fontId="0" fillId="6" borderId="41" xfId="0" applyFill="1" applyBorder="1"/>
    <xf numFmtId="165" fontId="0" fillId="6" borderId="0" xfId="0" applyNumberFormat="1" applyFill="1" applyBorder="1"/>
    <xf numFmtId="166" fontId="0" fillId="6" borderId="41" xfId="0" applyNumberFormat="1" applyFill="1" applyBorder="1"/>
    <xf numFmtId="0" fontId="1" fillId="0" borderId="21" xfId="0" applyFont="1" applyFill="1" applyBorder="1" applyAlignment="1">
      <alignment horizontal="center"/>
    </xf>
    <xf numFmtId="0" fontId="0" fillId="0" borderId="4" xfId="0" applyFill="1" applyBorder="1"/>
    <xf numFmtId="0" fontId="0" fillId="0" borderId="51" xfId="0" applyFont="1" applyFill="1" applyBorder="1" applyAlignment="1">
      <alignment horizontal="center"/>
    </xf>
    <xf numFmtId="0" fontId="0" fillId="0" borderId="21" xfId="0" applyFill="1" applyBorder="1"/>
    <xf numFmtId="0" fontId="0" fillId="14" borderId="0" xfId="0" applyFill="1"/>
    <xf numFmtId="0" fontId="0" fillId="6" borderId="11" xfId="0" applyFill="1" applyBorder="1"/>
    <xf numFmtId="0" fontId="1" fillId="6" borderId="0" xfId="0" applyFont="1" applyFill="1" applyBorder="1"/>
    <xf numFmtId="0" fontId="0" fillId="6" borderId="1" xfId="0" applyFill="1" applyBorder="1"/>
    <xf numFmtId="0" fontId="2" fillId="6" borderId="0" xfId="0" applyFont="1" applyFill="1" applyBorder="1"/>
    <xf numFmtId="0" fontId="0" fillId="0" borderId="0" xfId="0" applyFont="1" applyFill="1" applyBorder="1"/>
    <xf numFmtId="165" fontId="0" fillId="0" borderId="0" xfId="0" applyNumberFormat="1" applyFont="1" applyFill="1" applyBorder="1"/>
    <xf numFmtId="164" fontId="0" fillId="0" borderId="0" xfId="0" applyNumberFormat="1" applyFont="1" applyFill="1" applyBorder="1"/>
    <xf numFmtId="168" fontId="0" fillId="0" borderId="0" xfId="0" applyNumberFormat="1" applyFont="1" applyFill="1" applyBorder="1"/>
    <xf numFmtId="0" fontId="0" fillId="0" borderId="35" xfId="0" applyFont="1" applyFill="1" applyBorder="1"/>
    <xf numFmtId="0" fontId="0" fillId="0" borderId="56" xfId="0" applyFont="1" applyFill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38" xfId="0" applyFont="1" applyFill="1" applyBorder="1"/>
    <xf numFmtId="166" fontId="0" fillId="0" borderId="38" xfId="0" applyNumberFormat="1" applyFont="1" applyFill="1" applyBorder="1"/>
    <xf numFmtId="164" fontId="0" fillId="0" borderId="38" xfId="0" applyNumberFormat="1" applyFont="1" applyFill="1" applyBorder="1"/>
    <xf numFmtId="166" fontId="0" fillId="0" borderId="0" xfId="0" applyNumberFormat="1" applyFont="1" applyFill="1" applyBorder="1"/>
    <xf numFmtId="0" fontId="0" fillId="0" borderId="39" xfId="0" applyFont="1" applyFill="1" applyBorder="1"/>
    <xf numFmtId="0" fontId="0" fillId="0" borderId="57" xfId="0" applyFont="1" applyFill="1" applyBorder="1"/>
    <xf numFmtId="164" fontId="0" fillId="0" borderId="57" xfId="0" applyNumberFormat="1" applyFont="1" applyFill="1" applyBorder="1"/>
    <xf numFmtId="0" fontId="0" fillId="0" borderId="40" xfId="0" applyFont="1" applyFill="1" applyBorder="1"/>
    <xf numFmtId="0" fontId="5" fillId="0" borderId="35" xfId="0" applyFont="1" applyFill="1" applyBorder="1" applyAlignment="1">
      <alignment horizontal="center"/>
    </xf>
    <xf numFmtId="0" fontId="0" fillId="10" borderId="0" xfId="0" applyFill="1"/>
    <xf numFmtId="0" fontId="5" fillId="0" borderId="0" xfId="0" applyFont="1"/>
    <xf numFmtId="0" fontId="0" fillId="12" borderId="21" xfId="0" applyFill="1" applyBorder="1"/>
    <xf numFmtId="0" fontId="5" fillId="0" borderId="0" xfId="0" applyFont="1" applyFill="1"/>
    <xf numFmtId="0" fontId="0" fillId="5" borderId="21" xfId="0" applyFont="1" applyFill="1" applyBorder="1"/>
    <xf numFmtId="0" fontId="0" fillId="12" borderId="0" xfId="0" applyFont="1" applyFill="1"/>
    <xf numFmtId="0" fontId="1" fillId="4" borderId="0" xfId="0" applyFont="1" applyFill="1"/>
    <xf numFmtId="0" fontId="16" fillId="0" borderId="58" xfId="0" applyFont="1" applyFill="1" applyBorder="1"/>
    <xf numFmtId="0" fontId="16" fillId="0" borderId="0" xfId="0" applyFont="1"/>
    <xf numFmtId="0" fontId="0" fillId="5" borderId="0" xfId="0" applyFont="1" applyFill="1" applyBorder="1"/>
    <xf numFmtId="168" fontId="0" fillId="5" borderId="0" xfId="0" applyNumberFormat="1" applyFont="1" applyFill="1" applyBorder="1"/>
    <xf numFmtId="0" fontId="0" fillId="5" borderId="45" xfId="0" applyFill="1" applyBorder="1"/>
    <xf numFmtId="0" fontId="0" fillId="5" borderId="37" xfId="0" applyFont="1" applyFill="1" applyBorder="1"/>
    <xf numFmtId="0" fontId="0" fillId="5" borderId="38" xfId="0" applyFont="1" applyFill="1" applyBorder="1"/>
    <xf numFmtId="0" fontId="0" fillId="5" borderId="39" xfId="0" applyFont="1" applyFill="1" applyBorder="1"/>
    <xf numFmtId="0" fontId="0" fillId="5" borderId="57" xfId="0" applyFont="1" applyFill="1" applyBorder="1"/>
    <xf numFmtId="164" fontId="0" fillId="5" borderId="57" xfId="0" applyNumberFormat="1" applyFont="1" applyFill="1" applyBorder="1"/>
    <xf numFmtId="0" fontId="0" fillId="5" borderId="40" xfId="0" applyFont="1" applyFill="1" applyBorder="1"/>
    <xf numFmtId="0" fontId="0" fillId="16" borderId="0" xfId="0" applyFill="1"/>
    <xf numFmtId="0" fontId="1" fillId="14" borderId="0" xfId="0" applyFont="1" applyFill="1"/>
    <xf numFmtId="10" fontId="0" fillId="0" borderId="0" xfId="0" applyNumberFormat="1"/>
    <xf numFmtId="0" fontId="5" fillId="14" borderId="0" xfId="0" applyFont="1" applyFill="1"/>
    <xf numFmtId="0" fontId="0" fillId="4" borderId="0" xfId="0" applyFill="1" applyAlignment="1">
      <alignment horizontal="center"/>
    </xf>
    <xf numFmtId="0" fontId="0" fillId="0" borderId="35" xfId="0" applyBorder="1"/>
    <xf numFmtId="0" fontId="0" fillId="0" borderId="56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57" xfId="0" applyBorder="1"/>
    <xf numFmtId="0" fontId="0" fillId="0" borderId="40" xfId="0" applyBorder="1"/>
    <xf numFmtId="0" fontId="11" fillId="14" borderId="0" xfId="0" applyFont="1" applyFill="1"/>
    <xf numFmtId="0" fontId="0" fillId="6" borderId="37" xfId="0" applyFont="1" applyFill="1" applyBorder="1"/>
    <xf numFmtId="164" fontId="0" fillId="6" borderId="0" xfId="0" applyNumberFormat="1" applyFill="1"/>
    <xf numFmtId="0" fontId="0" fillId="6" borderId="2" xfId="0" applyFill="1" applyBorder="1" applyAlignment="1">
      <alignment horizontal="center"/>
    </xf>
    <xf numFmtId="0" fontId="3" fillId="6" borderId="0" xfId="0" applyFont="1" applyFill="1"/>
    <xf numFmtId="0" fontId="0" fillId="6" borderId="4" xfId="0" applyFill="1" applyBorder="1" applyAlignment="1">
      <alignment horizontal="center"/>
    </xf>
    <xf numFmtId="0" fontId="3" fillId="6" borderId="0" xfId="0" applyFont="1" applyFill="1" applyBorder="1"/>
    <xf numFmtId="166" fontId="0" fillId="6" borderId="37" xfId="0" applyNumberFormat="1" applyFont="1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5" borderId="51" xfId="0" applyFill="1" applyBorder="1" applyAlignment="1">
      <alignment horizontal="center" vertical="center"/>
    </xf>
    <xf numFmtId="0" fontId="0" fillId="15" borderId="5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5" borderId="46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15" fillId="0" borderId="53" xfId="0" applyFont="1" applyBorder="1" applyAlignment="1">
      <alignment horizontal="center" wrapText="1"/>
    </xf>
    <xf numFmtId="0" fontId="15" fillId="0" borderId="49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1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2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0" xfId="0" applyFill="1" applyBorder="1" applyAlignment="1">
      <alignment horizontal="left" vertical="center"/>
    </xf>
    <xf numFmtId="0" fontId="0" fillId="11" borderId="2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textRotation="90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1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5" borderId="2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54</xdr:row>
      <xdr:rowOff>140074</xdr:rowOff>
    </xdr:from>
    <xdr:to>
      <xdr:col>86</xdr:col>
      <xdr:colOff>1106581</xdr:colOff>
      <xdr:row>55</xdr:row>
      <xdr:rowOff>95250</xdr:rowOff>
    </xdr:to>
    <xdr:cxnSp macro="">
      <xdr:nvCxnSpPr>
        <xdr:cNvPr id="2" name="Conector recto de flecha 1"/>
        <xdr:cNvCxnSpPr/>
      </xdr:nvCxnSpPr>
      <xdr:spPr>
        <a:xfrm flipV="1">
          <a:off x="89811225" y="10779499"/>
          <a:ext cx="1087531" cy="240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54</xdr:row>
      <xdr:rowOff>104775</xdr:rowOff>
    </xdr:from>
    <xdr:to>
      <xdr:col>88</xdr:col>
      <xdr:colOff>742950</xdr:colOff>
      <xdr:row>54</xdr:row>
      <xdr:rowOff>104775</xdr:rowOff>
    </xdr:to>
    <xdr:cxnSp macro="">
      <xdr:nvCxnSpPr>
        <xdr:cNvPr id="3" name="Conector recto de flecha 2"/>
        <xdr:cNvCxnSpPr/>
      </xdr:nvCxnSpPr>
      <xdr:spPr>
        <a:xfrm>
          <a:off x="92716350" y="10744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58</xdr:row>
      <xdr:rowOff>133351</xdr:rowOff>
    </xdr:from>
    <xdr:to>
      <xdr:col>84</xdr:col>
      <xdr:colOff>276225</xdr:colOff>
      <xdr:row>61</xdr:row>
      <xdr:rowOff>168088</xdr:rowOff>
    </xdr:to>
    <xdr:cxnSp macro="">
      <xdr:nvCxnSpPr>
        <xdr:cNvPr id="4" name="Conector recto de flecha 3"/>
        <xdr:cNvCxnSpPr/>
      </xdr:nvCxnSpPr>
      <xdr:spPr>
        <a:xfrm flipV="1">
          <a:off x="83151569" y="1163002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49</xdr:row>
      <xdr:rowOff>193302</xdr:rowOff>
    </xdr:from>
    <xdr:to>
      <xdr:col>86</xdr:col>
      <xdr:colOff>1134596</xdr:colOff>
      <xdr:row>53</xdr:row>
      <xdr:rowOff>112059</xdr:rowOff>
    </xdr:to>
    <xdr:cxnSp macro="">
      <xdr:nvCxnSpPr>
        <xdr:cNvPr id="5" name="Conector recto de flecha 4"/>
        <xdr:cNvCxnSpPr/>
      </xdr:nvCxnSpPr>
      <xdr:spPr>
        <a:xfrm>
          <a:off x="89839240" y="98326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59</xdr:row>
      <xdr:rowOff>0</xdr:rowOff>
    </xdr:from>
    <xdr:to>
      <xdr:col>79</xdr:col>
      <xdr:colOff>1472045</xdr:colOff>
      <xdr:row>62</xdr:row>
      <xdr:rowOff>0</xdr:rowOff>
    </xdr:to>
    <xdr:cxnSp macro="">
      <xdr:nvCxnSpPr>
        <xdr:cNvPr id="6" name="Conector recto de flecha 5"/>
        <xdr:cNvCxnSpPr/>
      </xdr:nvCxnSpPr>
      <xdr:spPr>
        <a:xfrm>
          <a:off x="78194087" y="11687175"/>
          <a:ext cx="140200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63</xdr:row>
      <xdr:rowOff>86591</xdr:rowOff>
    </xdr:from>
    <xdr:to>
      <xdr:col>79</xdr:col>
      <xdr:colOff>1515341</xdr:colOff>
      <xdr:row>64</xdr:row>
      <xdr:rowOff>110379</xdr:rowOff>
    </xdr:to>
    <xdr:cxnSp macro="">
      <xdr:nvCxnSpPr>
        <xdr:cNvPr id="7" name="Conector recto de flecha 6"/>
        <xdr:cNvCxnSpPr/>
      </xdr:nvCxnSpPr>
      <xdr:spPr>
        <a:xfrm flipV="1">
          <a:off x="78164392" y="12535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63</xdr:row>
      <xdr:rowOff>84044</xdr:rowOff>
    </xdr:from>
    <xdr:to>
      <xdr:col>76</xdr:col>
      <xdr:colOff>1190624</xdr:colOff>
      <xdr:row>67</xdr:row>
      <xdr:rowOff>140074</xdr:rowOff>
    </xdr:to>
    <xdr:cxnSp macro="">
      <xdr:nvCxnSpPr>
        <xdr:cNvPr id="8" name="Conector recto de flecha 7"/>
        <xdr:cNvCxnSpPr/>
      </xdr:nvCxnSpPr>
      <xdr:spPr>
        <a:xfrm>
          <a:off x="73098211" y="12533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59</xdr:row>
      <xdr:rowOff>0</xdr:rowOff>
    </xdr:from>
    <xdr:to>
      <xdr:col>74</xdr:col>
      <xdr:colOff>1200411</xdr:colOff>
      <xdr:row>62</xdr:row>
      <xdr:rowOff>39144</xdr:rowOff>
    </xdr:to>
    <xdr:cxnSp macro="">
      <xdr:nvCxnSpPr>
        <xdr:cNvPr id="9" name="Conector recto de flecha 8"/>
        <xdr:cNvCxnSpPr/>
      </xdr:nvCxnSpPr>
      <xdr:spPr>
        <a:xfrm>
          <a:off x="69183437" y="11687175"/>
          <a:ext cx="1130374" cy="610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64</xdr:row>
      <xdr:rowOff>95092</xdr:rowOff>
    </xdr:from>
    <xdr:to>
      <xdr:col>65</xdr:col>
      <xdr:colOff>296916</xdr:colOff>
      <xdr:row>67</xdr:row>
      <xdr:rowOff>80493</xdr:rowOff>
    </xdr:to>
    <xdr:cxnSp macro="">
      <xdr:nvCxnSpPr>
        <xdr:cNvPr id="10" name="Conector recto de flecha 9"/>
        <xdr:cNvCxnSpPr/>
      </xdr:nvCxnSpPr>
      <xdr:spPr>
        <a:xfrm flipV="1">
          <a:off x="56222587" y="12734767"/>
          <a:ext cx="1310054" cy="55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57</xdr:row>
      <xdr:rowOff>14008</xdr:rowOff>
    </xdr:from>
    <xdr:to>
      <xdr:col>71</xdr:col>
      <xdr:colOff>602316</xdr:colOff>
      <xdr:row>57</xdr:row>
      <xdr:rowOff>70038</xdr:rowOff>
    </xdr:to>
    <xdr:cxnSp macro="">
      <xdr:nvCxnSpPr>
        <xdr:cNvPr id="11" name="Conector recto de flecha 10"/>
        <xdr:cNvCxnSpPr/>
      </xdr:nvCxnSpPr>
      <xdr:spPr>
        <a:xfrm>
          <a:off x="61942196" y="11320183"/>
          <a:ext cx="2610970" cy="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54</xdr:row>
      <xdr:rowOff>0</xdr:rowOff>
    </xdr:from>
    <xdr:to>
      <xdr:col>67</xdr:col>
      <xdr:colOff>994523</xdr:colOff>
      <xdr:row>56</xdr:row>
      <xdr:rowOff>168089</xdr:rowOff>
    </xdr:to>
    <xdr:cxnSp macro="">
      <xdr:nvCxnSpPr>
        <xdr:cNvPr id="12" name="Conector recto de flecha 11"/>
        <xdr:cNvCxnSpPr/>
      </xdr:nvCxnSpPr>
      <xdr:spPr>
        <a:xfrm>
          <a:off x="59525087" y="10639425"/>
          <a:ext cx="886386" cy="644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58</xdr:row>
      <xdr:rowOff>28015</xdr:rowOff>
    </xdr:from>
    <xdr:to>
      <xdr:col>67</xdr:col>
      <xdr:colOff>994522</xdr:colOff>
      <xdr:row>59</xdr:row>
      <xdr:rowOff>110378</xdr:rowOff>
    </xdr:to>
    <xdr:cxnSp macro="">
      <xdr:nvCxnSpPr>
        <xdr:cNvPr id="13" name="Conector recto de flecha 12"/>
        <xdr:cNvCxnSpPr/>
      </xdr:nvCxnSpPr>
      <xdr:spPr>
        <a:xfrm flipV="1">
          <a:off x="59495392" y="11524690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51</xdr:row>
      <xdr:rowOff>94361</xdr:rowOff>
    </xdr:from>
    <xdr:to>
      <xdr:col>64</xdr:col>
      <xdr:colOff>575956</xdr:colOff>
      <xdr:row>51</xdr:row>
      <xdr:rowOff>110011</xdr:rowOff>
    </xdr:to>
    <xdr:cxnSp macro="">
      <xdr:nvCxnSpPr>
        <xdr:cNvPr id="14" name="Conector recto de flecha 13"/>
        <xdr:cNvCxnSpPr/>
      </xdr:nvCxnSpPr>
      <xdr:spPr>
        <a:xfrm flipV="1">
          <a:off x="54511439" y="10114661"/>
          <a:ext cx="2233442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51</xdr:row>
      <xdr:rowOff>89802</xdr:rowOff>
    </xdr:from>
    <xdr:to>
      <xdr:col>61</xdr:col>
      <xdr:colOff>596300</xdr:colOff>
      <xdr:row>51</xdr:row>
      <xdr:rowOff>104384</xdr:rowOff>
    </xdr:to>
    <xdr:cxnSp macro="">
      <xdr:nvCxnSpPr>
        <xdr:cNvPr id="15" name="Conector recto de flecha 14"/>
        <xdr:cNvCxnSpPr/>
      </xdr:nvCxnSpPr>
      <xdr:spPr>
        <a:xfrm flipV="1">
          <a:off x="49874988" y="10110102"/>
          <a:ext cx="2118212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63</xdr:row>
      <xdr:rowOff>26096</xdr:rowOff>
    </xdr:from>
    <xdr:to>
      <xdr:col>74</xdr:col>
      <xdr:colOff>1239555</xdr:colOff>
      <xdr:row>65</xdr:row>
      <xdr:rowOff>18421</xdr:rowOff>
    </xdr:to>
    <xdr:cxnSp macro="">
      <xdr:nvCxnSpPr>
        <xdr:cNvPr id="16" name="Conector recto de flecha 15"/>
        <xdr:cNvCxnSpPr/>
      </xdr:nvCxnSpPr>
      <xdr:spPr>
        <a:xfrm flipV="1">
          <a:off x="69249445" y="124752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53</xdr:row>
      <xdr:rowOff>39144</xdr:rowOff>
    </xdr:from>
    <xdr:to>
      <xdr:col>76</xdr:col>
      <xdr:colOff>1343939</xdr:colOff>
      <xdr:row>54</xdr:row>
      <xdr:rowOff>182672</xdr:rowOff>
    </xdr:to>
    <xdr:cxnSp macro="">
      <xdr:nvCxnSpPr>
        <xdr:cNvPr id="17" name="Conector recto de flecha 16"/>
        <xdr:cNvCxnSpPr/>
      </xdr:nvCxnSpPr>
      <xdr:spPr>
        <a:xfrm>
          <a:off x="73145607" y="10440444"/>
          <a:ext cx="1226507" cy="38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69</xdr:row>
      <xdr:rowOff>119062</xdr:rowOff>
    </xdr:from>
    <xdr:to>
      <xdr:col>73</xdr:col>
      <xdr:colOff>1607344</xdr:colOff>
      <xdr:row>76</xdr:row>
      <xdr:rowOff>166687</xdr:rowOff>
    </xdr:to>
    <xdr:cxnSp macro="">
      <xdr:nvCxnSpPr>
        <xdr:cNvPr id="18" name="Conector recto de flecha 17"/>
        <xdr:cNvCxnSpPr/>
      </xdr:nvCxnSpPr>
      <xdr:spPr>
        <a:xfrm flipH="1" flipV="1">
          <a:off x="67908489" y="137112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69</xdr:row>
      <xdr:rowOff>155272</xdr:rowOff>
    </xdr:from>
    <xdr:to>
      <xdr:col>73</xdr:col>
      <xdr:colOff>337779</xdr:colOff>
      <xdr:row>76</xdr:row>
      <xdr:rowOff>59531</xdr:rowOff>
    </xdr:to>
    <xdr:cxnSp macro="">
      <xdr:nvCxnSpPr>
        <xdr:cNvPr id="19" name="Conector recto de flecha 18"/>
        <xdr:cNvCxnSpPr/>
      </xdr:nvCxnSpPr>
      <xdr:spPr>
        <a:xfrm flipV="1">
          <a:off x="65998725" y="13747447"/>
          <a:ext cx="1652229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56</xdr:row>
      <xdr:rowOff>0</xdr:rowOff>
    </xdr:from>
    <xdr:to>
      <xdr:col>61</xdr:col>
      <xdr:colOff>728383</xdr:colOff>
      <xdr:row>59</xdr:row>
      <xdr:rowOff>37353</xdr:rowOff>
    </xdr:to>
    <xdr:cxnSp macro="">
      <xdr:nvCxnSpPr>
        <xdr:cNvPr id="20" name="Conector recto de flecha 19"/>
        <xdr:cNvCxnSpPr/>
      </xdr:nvCxnSpPr>
      <xdr:spPr>
        <a:xfrm flipH="1">
          <a:off x="49871405" y="11115675"/>
          <a:ext cx="2253878" cy="608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56</xdr:row>
      <xdr:rowOff>77693</xdr:rowOff>
    </xdr:from>
    <xdr:to>
      <xdr:col>61</xdr:col>
      <xdr:colOff>283135</xdr:colOff>
      <xdr:row>60</xdr:row>
      <xdr:rowOff>21665</xdr:rowOff>
    </xdr:to>
    <xdr:grpSp>
      <xdr:nvGrpSpPr>
        <xdr:cNvPr id="21" name="Grupo 20"/>
        <xdr:cNvGrpSpPr/>
      </xdr:nvGrpSpPr>
      <xdr:grpSpPr>
        <a:xfrm>
          <a:off x="50005841" y="11377807"/>
          <a:ext cx="1452521" cy="723290"/>
          <a:chOff x="52088676" y="6928970"/>
          <a:chExt cx="616324" cy="691030"/>
        </a:xfrm>
      </xdr:grpSpPr>
      <xdr:cxnSp macro="">
        <xdr:nvCxnSpPr>
          <xdr:cNvPr id="22" name="Conector recto 2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63</xdr:row>
      <xdr:rowOff>112058</xdr:rowOff>
    </xdr:from>
    <xdr:to>
      <xdr:col>70</xdr:col>
      <xdr:colOff>635000</xdr:colOff>
      <xdr:row>76</xdr:row>
      <xdr:rowOff>130735</xdr:rowOff>
    </xdr:to>
    <xdr:cxnSp macro="">
      <xdr:nvCxnSpPr>
        <xdr:cNvPr id="25" name="Conector angular 24"/>
        <xdr:cNvCxnSpPr/>
      </xdr:nvCxnSpPr>
      <xdr:spPr>
        <a:xfrm>
          <a:off x="48413708" y="12561233"/>
          <a:ext cx="14743392" cy="2495177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41</xdr:row>
      <xdr:rowOff>112059</xdr:rowOff>
    </xdr:from>
    <xdr:to>
      <xdr:col>83</xdr:col>
      <xdr:colOff>1336116</xdr:colOff>
      <xdr:row>47</xdr:row>
      <xdr:rowOff>161367</xdr:rowOff>
    </xdr:to>
    <xdr:cxnSp macro="">
      <xdr:nvCxnSpPr>
        <xdr:cNvPr id="26" name="Conector recto de flecha 25"/>
        <xdr:cNvCxnSpPr/>
      </xdr:nvCxnSpPr>
      <xdr:spPr>
        <a:xfrm>
          <a:off x="83216937" y="8227359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38</xdr:row>
      <xdr:rowOff>0</xdr:rowOff>
    </xdr:from>
    <xdr:to>
      <xdr:col>79</xdr:col>
      <xdr:colOff>1494118</xdr:colOff>
      <xdr:row>41</xdr:row>
      <xdr:rowOff>18676</xdr:rowOff>
    </xdr:to>
    <xdr:cxnSp macro="">
      <xdr:nvCxnSpPr>
        <xdr:cNvPr id="27" name="Conector recto de flecha 26"/>
        <xdr:cNvCxnSpPr/>
      </xdr:nvCxnSpPr>
      <xdr:spPr>
        <a:xfrm>
          <a:off x="78194087" y="75438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41</xdr:row>
      <xdr:rowOff>168088</xdr:rowOff>
    </xdr:from>
    <xdr:to>
      <xdr:col>79</xdr:col>
      <xdr:colOff>1494118</xdr:colOff>
      <xdr:row>43</xdr:row>
      <xdr:rowOff>110378</xdr:rowOff>
    </xdr:to>
    <xdr:cxnSp macro="">
      <xdr:nvCxnSpPr>
        <xdr:cNvPr id="28" name="Conector recto de flecha 27"/>
        <xdr:cNvCxnSpPr/>
      </xdr:nvCxnSpPr>
      <xdr:spPr>
        <a:xfrm flipV="1">
          <a:off x="78164392" y="8283388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44</xdr:row>
      <xdr:rowOff>155864</xdr:rowOff>
    </xdr:from>
    <xdr:to>
      <xdr:col>76</xdr:col>
      <xdr:colOff>1333500</xdr:colOff>
      <xdr:row>45</xdr:row>
      <xdr:rowOff>138545</xdr:rowOff>
    </xdr:to>
    <xdr:cxnSp macro="">
      <xdr:nvCxnSpPr>
        <xdr:cNvPr id="29" name="Conector recto de flecha 28"/>
        <xdr:cNvCxnSpPr/>
      </xdr:nvCxnSpPr>
      <xdr:spPr>
        <a:xfrm>
          <a:off x="73097448" y="88426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34</xdr:row>
      <xdr:rowOff>111724</xdr:rowOff>
    </xdr:from>
    <xdr:to>
      <xdr:col>76</xdr:col>
      <xdr:colOff>1335189</xdr:colOff>
      <xdr:row>35</xdr:row>
      <xdr:rowOff>94405</xdr:rowOff>
    </xdr:to>
    <xdr:cxnSp macro="">
      <xdr:nvCxnSpPr>
        <xdr:cNvPr id="30" name="Conector recto de flecha 29"/>
        <xdr:cNvCxnSpPr/>
      </xdr:nvCxnSpPr>
      <xdr:spPr>
        <a:xfrm>
          <a:off x="73099137" y="68935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34</xdr:row>
      <xdr:rowOff>82789</xdr:rowOff>
    </xdr:from>
    <xdr:to>
      <xdr:col>74</xdr:col>
      <xdr:colOff>1265493</xdr:colOff>
      <xdr:row>35</xdr:row>
      <xdr:rowOff>69695</xdr:rowOff>
    </xdr:to>
    <xdr:cxnSp macro="">
      <xdr:nvCxnSpPr>
        <xdr:cNvPr id="31" name="Conector recto de flecha 30"/>
        <xdr:cNvCxnSpPr/>
      </xdr:nvCxnSpPr>
      <xdr:spPr>
        <a:xfrm flipV="1">
          <a:off x="69171479" y="68645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33</xdr:row>
      <xdr:rowOff>177209</xdr:rowOff>
    </xdr:from>
    <xdr:to>
      <xdr:col>70</xdr:col>
      <xdr:colOff>1370671</xdr:colOff>
      <xdr:row>34</xdr:row>
      <xdr:rowOff>23231</xdr:rowOff>
    </xdr:to>
    <xdr:cxnSp macro="">
      <xdr:nvCxnSpPr>
        <xdr:cNvPr id="32" name="Conector recto de flecha 31"/>
        <xdr:cNvCxnSpPr/>
      </xdr:nvCxnSpPr>
      <xdr:spPr>
        <a:xfrm>
          <a:off x="62555327" y="6768509"/>
          <a:ext cx="1337444" cy="36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115</xdr:row>
      <xdr:rowOff>140074</xdr:rowOff>
    </xdr:from>
    <xdr:to>
      <xdr:col>86</xdr:col>
      <xdr:colOff>1106581</xdr:colOff>
      <xdr:row>116</xdr:row>
      <xdr:rowOff>95250</xdr:rowOff>
    </xdr:to>
    <xdr:cxnSp macro="">
      <xdr:nvCxnSpPr>
        <xdr:cNvPr id="33" name="Conector recto de flecha 32"/>
        <xdr:cNvCxnSpPr/>
      </xdr:nvCxnSpPr>
      <xdr:spPr>
        <a:xfrm flipV="1">
          <a:off x="89811225" y="22542874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115</xdr:row>
      <xdr:rowOff>104775</xdr:rowOff>
    </xdr:from>
    <xdr:to>
      <xdr:col>88</xdr:col>
      <xdr:colOff>742950</xdr:colOff>
      <xdr:row>115</xdr:row>
      <xdr:rowOff>104775</xdr:rowOff>
    </xdr:to>
    <xdr:cxnSp macro="">
      <xdr:nvCxnSpPr>
        <xdr:cNvPr id="34" name="Conector recto de flecha 33"/>
        <xdr:cNvCxnSpPr/>
      </xdr:nvCxnSpPr>
      <xdr:spPr>
        <a:xfrm>
          <a:off x="92716350" y="225075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119</xdr:row>
      <xdr:rowOff>133351</xdr:rowOff>
    </xdr:from>
    <xdr:to>
      <xdr:col>84</xdr:col>
      <xdr:colOff>276225</xdr:colOff>
      <xdr:row>122</xdr:row>
      <xdr:rowOff>168088</xdr:rowOff>
    </xdr:to>
    <xdr:cxnSp macro="">
      <xdr:nvCxnSpPr>
        <xdr:cNvPr id="35" name="Conector recto de flecha 34"/>
        <xdr:cNvCxnSpPr/>
      </xdr:nvCxnSpPr>
      <xdr:spPr>
        <a:xfrm flipV="1">
          <a:off x="83151569" y="2329815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110</xdr:row>
      <xdr:rowOff>193302</xdr:rowOff>
    </xdr:from>
    <xdr:to>
      <xdr:col>86</xdr:col>
      <xdr:colOff>1134596</xdr:colOff>
      <xdr:row>114</xdr:row>
      <xdr:rowOff>112059</xdr:rowOff>
    </xdr:to>
    <xdr:cxnSp macro="">
      <xdr:nvCxnSpPr>
        <xdr:cNvPr id="36" name="Conector recto de flecha 35"/>
        <xdr:cNvCxnSpPr/>
      </xdr:nvCxnSpPr>
      <xdr:spPr>
        <a:xfrm>
          <a:off x="89839240" y="216340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124</xdr:row>
      <xdr:rowOff>84044</xdr:rowOff>
    </xdr:from>
    <xdr:to>
      <xdr:col>76</xdr:col>
      <xdr:colOff>1190624</xdr:colOff>
      <xdr:row>128</xdr:row>
      <xdr:rowOff>140074</xdr:rowOff>
    </xdr:to>
    <xdr:cxnSp macro="">
      <xdr:nvCxnSpPr>
        <xdr:cNvPr id="38" name="Conector recto de flecha 37"/>
        <xdr:cNvCxnSpPr/>
      </xdr:nvCxnSpPr>
      <xdr:spPr>
        <a:xfrm>
          <a:off x="73098211" y="242108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119</xdr:row>
      <xdr:rowOff>28015</xdr:rowOff>
    </xdr:from>
    <xdr:to>
      <xdr:col>67</xdr:col>
      <xdr:colOff>994522</xdr:colOff>
      <xdr:row>120</xdr:row>
      <xdr:rowOff>110378</xdr:rowOff>
    </xdr:to>
    <xdr:cxnSp macro="">
      <xdr:nvCxnSpPr>
        <xdr:cNvPr id="39" name="Conector recto de flecha 38"/>
        <xdr:cNvCxnSpPr/>
      </xdr:nvCxnSpPr>
      <xdr:spPr>
        <a:xfrm flipV="1">
          <a:off x="59495392" y="23192815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124</xdr:row>
      <xdr:rowOff>26096</xdr:rowOff>
    </xdr:from>
    <xdr:to>
      <xdr:col>74</xdr:col>
      <xdr:colOff>1239555</xdr:colOff>
      <xdr:row>126</xdr:row>
      <xdr:rowOff>18421</xdr:rowOff>
    </xdr:to>
    <xdr:cxnSp macro="">
      <xdr:nvCxnSpPr>
        <xdr:cNvPr id="40" name="Conector recto de flecha 39"/>
        <xdr:cNvCxnSpPr/>
      </xdr:nvCxnSpPr>
      <xdr:spPr>
        <a:xfrm flipV="1">
          <a:off x="69249445" y="2415292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116158</xdr:colOff>
      <xdr:row>118</xdr:row>
      <xdr:rowOff>162622</xdr:rowOff>
    </xdr:from>
    <xdr:to>
      <xdr:col>71</xdr:col>
      <xdr:colOff>1208969</xdr:colOff>
      <xdr:row>125</xdr:row>
      <xdr:rowOff>143657</xdr:rowOff>
    </xdr:to>
    <xdr:cxnSp macro="">
      <xdr:nvCxnSpPr>
        <xdr:cNvPr id="41" name="Conector recto de flecha 40"/>
        <xdr:cNvCxnSpPr/>
      </xdr:nvCxnSpPr>
      <xdr:spPr>
        <a:xfrm>
          <a:off x="61144194" y="24587443"/>
          <a:ext cx="3269954" cy="140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102</xdr:row>
      <xdr:rowOff>112059</xdr:rowOff>
    </xdr:from>
    <xdr:to>
      <xdr:col>83</xdr:col>
      <xdr:colOff>1336116</xdr:colOff>
      <xdr:row>108</xdr:row>
      <xdr:rowOff>161367</xdr:rowOff>
    </xdr:to>
    <xdr:cxnSp macro="">
      <xdr:nvCxnSpPr>
        <xdr:cNvPr id="42" name="Conector recto de flecha 41"/>
        <xdr:cNvCxnSpPr/>
      </xdr:nvCxnSpPr>
      <xdr:spPr>
        <a:xfrm>
          <a:off x="83216937" y="20019309"/>
          <a:ext cx="3244104" cy="1201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99</xdr:row>
      <xdr:rowOff>0</xdr:rowOff>
    </xdr:from>
    <xdr:to>
      <xdr:col>79</xdr:col>
      <xdr:colOff>1494118</xdr:colOff>
      <xdr:row>102</xdr:row>
      <xdr:rowOff>18676</xdr:rowOff>
    </xdr:to>
    <xdr:cxnSp macro="">
      <xdr:nvCxnSpPr>
        <xdr:cNvPr id="43" name="Conector recto de flecha 42"/>
        <xdr:cNvCxnSpPr/>
      </xdr:nvCxnSpPr>
      <xdr:spPr>
        <a:xfrm>
          <a:off x="78194087" y="1933575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102</xdr:row>
      <xdr:rowOff>168088</xdr:rowOff>
    </xdr:from>
    <xdr:to>
      <xdr:col>79</xdr:col>
      <xdr:colOff>1494118</xdr:colOff>
      <xdr:row>104</xdr:row>
      <xdr:rowOff>110378</xdr:rowOff>
    </xdr:to>
    <xdr:cxnSp macro="">
      <xdr:nvCxnSpPr>
        <xdr:cNvPr id="44" name="Conector recto de flecha 43"/>
        <xdr:cNvCxnSpPr/>
      </xdr:nvCxnSpPr>
      <xdr:spPr>
        <a:xfrm flipV="1">
          <a:off x="78164392" y="20075338"/>
          <a:ext cx="1453776" cy="332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105</xdr:row>
      <xdr:rowOff>155864</xdr:rowOff>
    </xdr:from>
    <xdr:to>
      <xdr:col>76</xdr:col>
      <xdr:colOff>1333500</xdr:colOff>
      <xdr:row>106</xdr:row>
      <xdr:rowOff>138545</xdr:rowOff>
    </xdr:to>
    <xdr:cxnSp macro="">
      <xdr:nvCxnSpPr>
        <xdr:cNvPr id="45" name="Conector recto de flecha 44"/>
        <xdr:cNvCxnSpPr/>
      </xdr:nvCxnSpPr>
      <xdr:spPr>
        <a:xfrm>
          <a:off x="73097448" y="2064413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95</xdr:row>
      <xdr:rowOff>111724</xdr:rowOff>
    </xdr:from>
    <xdr:to>
      <xdr:col>76</xdr:col>
      <xdr:colOff>1335189</xdr:colOff>
      <xdr:row>96</xdr:row>
      <xdr:rowOff>94405</xdr:rowOff>
    </xdr:to>
    <xdr:cxnSp macro="">
      <xdr:nvCxnSpPr>
        <xdr:cNvPr id="46" name="Conector recto de flecha 45"/>
        <xdr:cNvCxnSpPr/>
      </xdr:nvCxnSpPr>
      <xdr:spPr>
        <a:xfrm>
          <a:off x="73099137" y="1868547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95</xdr:row>
      <xdr:rowOff>82789</xdr:rowOff>
    </xdr:from>
    <xdr:to>
      <xdr:col>74</xdr:col>
      <xdr:colOff>1265493</xdr:colOff>
      <xdr:row>96</xdr:row>
      <xdr:rowOff>69695</xdr:rowOff>
    </xdr:to>
    <xdr:cxnSp macro="">
      <xdr:nvCxnSpPr>
        <xdr:cNvPr id="47" name="Conector recto de flecha 46"/>
        <xdr:cNvCxnSpPr/>
      </xdr:nvCxnSpPr>
      <xdr:spPr>
        <a:xfrm flipV="1">
          <a:off x="69171479" y="1865653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94</xdr:row>
      <xdr:rowOff>177209</xdr:rowOff>
    </xdr:from>
    <xdr:to>
      <xdr:col>70</xdr:col>
      <xdr:colOff>728773</xdr:colOff>
      <xdr:row>95</xdr:row>
      <xdr:rowOff>5638</xdr:rowOff>
    </xdr:to>
    <xdr:cxnSp macro="">
      <xdr:nvCxnSpPr>
        <xdr:cNvPr id="48" name="Conector recto de flecha 47"/>
        <xdr:cNvCxnSpPr/>
      </xdr:nvCxnSpPr>
      <xdr:spPr>
        <a:xfrm>
          <a:off x="62555327" y="18560459"/>
          <a:ext cx="695546" cy="18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34848</xdr:colOff>
      <xdr:row>102</xdr:row>
      <xdr:rowOff>46464</xdr:rowOff>
    </xdr:from>
    <xdr:to>
      <xdr:col>79</xdr:col>
      <xdr:colOff>1482161</xdr:colOff>
      <xdr:row>102</xdr:row>
      <xdr:rowOff>88372</xdr:rowOff>
    </xdr:to>
    <xdr:cxnSp macro="">
      <xdr:nvCxnSpPr>
        <xdr:cNvPr id="49" name="Conector recto de flecha 48"/>
        <xdr:cNvCxnSpPr/>
      </xdr:nvCxnSpPr>
      <xdr:spPr>
        <a:xfrm>
          <a:off x="78158898" y="19953714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801494</xdr:colOff>
      <xdr:row>101</xdr:row>
      <xdr:rowOff>145303</xdr:rowOff>
    </xdr:from>
    <xdr:to>
      <xdr:col>75</xdr:col>
      <xdr:colOff>2065721</xdr:colOff>
      <xdr:row>103</xdr:row>
      <xdr:rowOff>81311</xdr:rowOff>
    </xdr:to>
    <xdr:cxnSp macro="">
      <xdr:nvCxnSpPr>
        <xdr:cNvPr id="50" name="Conector recto de flecha 49"/>
        <xdr:cNvCxnSpPr/>
      </xdr:nvCxnSpPr>
      <xdr:spPr>
        <a:xfrm flipV="1">
          <a:off x="66752594" y="19862053"/>
          <a:ext cx="6150552" cy="317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74705</xdr:colOff>
      <xdr:row>86</xdr:row>
      <xdr:rowOff>37353</xdr:rowOff>
    </xdr:from>
    <xdr:to>
      <xdr:col>75</xdr:col>
      <xdr:colOff>1695914</xdr:colOff>
      <xdr:row>89</xdr:row>
      <xdr:rowOff>162622</xdr:rowOff>
    </xdr:to>
    <xdr:cxnSp macro="">
      <xdr:nvCxnSpPr>
        <xdr:cNvPr id="51" name="Conector recto de flecha 50"/>
        <xdr:cNvCxnSpPr/>
      </xdr:nvCxnSpPr>
      <xdr:spPr>
        <a:xfrm flipH="1" flipV="1">
          <a:off x="70912130" y="16896603"/>
          <a:ext cx="1621209" cy="696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25991</xdr:colOff>
      <xdr:row>87</xdr:row>
      <xdr:rowOff>77694</xdr:rowOff>
    </xdr:from>
    <xdr:to>
      <xdr:col>75</xdr:col>
      <xdr:colOff>2071976</xdr:colOff>
      <xdr:row>91</xdr:row>
      <xdr:rowOff>21665</xdr:rowOff>
    </xdr:to>
    <xdr:grpSp>
      <xdr:nvGrpSpPr>
        <xdr:cNvPr id="52" name="Grupo 51"/>
        <xdr:cNvGrpSpPr/>
      </xdr:nvGrpSpPr>
      <xdr:grpSpPr>
        <a:xfrm>
          <a:off x="70619230" y="17417524"/>
          <a:ext cx="2045985" cy="723289"/>
          <a:chOff x="52088676" y="6928970"/>
          <a:chExt cx="616324" cy="691030"/>
        </a:xfrm>
      </xdr:grpSpPr>
      <xdr:cxnSp macro="">
        <xdr:nvCxnSpPr>
          <xdr:cNvPr id="53" name="Conector recto 52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cto 53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198864</xdr:colOff>
      <xdr:row>90</xdr:row>
      <xdr:rowOff>94322</xdr:rowOff>
    </xdr:from>
    <xdr:to>
      <xdr:col>74</xdr:col>
      <xdr:colOff>1266128</xdr:colOff>
      <xdr:row>92</xdr:row>
      <xdr:rowOff>69695</xdr:rowOff>
    </xdr:to>
    <xdr:cxnSp macro="">
      <xdr:nvCxnSpPr>
        <xdr:cNvPr id="56" name="Conector recto de flecha 55"/>
        <xdr:cNvCxnSpPr/>
      </xdr:nvCxnSpPr>
      <xdr:spPr>
        <a:xfrm>
          <a:off x="69312264" y="17715572"/>
          <a:ext cx="1067264" cy="3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176</xdr:row>
      <xdr:rowOff>140074</xdr:rowOff>
    </xdr:from>
    <xdr:to>
      <xdr:col>86</xdr:col>
      <xdr:colOff>1106581</xdr:colOff>
      <xdr:row>177</xdr:row>
      <xdr:rowOff>95250</xdr:rowOff>
    </xdr:to>
    <xdr:cxnSp macro="">
      <xdr:nvCxnSpPr>
        <xdr:cNvPr id="58" name="Conector recto de flecha 57"/>
        <xdr:cNvCxnSpPr/>
      </xdr:nvCxnSpPr>
      <xdr:spPr>
        <a:xfrm flipV="1">
          <a:off x="89811225" y="3417289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176</xdr:row>
      <xdr:rowOff>104775</xdr:rowOff>
    </xdr:from>
    <xdr:to>
      <xdr:col>88</xdr:col>
      <xdr:colOff>742950</xdr:colOff>
      <xdr:row>176</xdr:row>
      <xdr:rowOff>104775</xdr:rowOff>
    </xdr:to>
    <xdr:cxnSp macro="">
      <xdr:nvCxnSpPr>
        <xdr:cNvPr id="59" name="Conector recto de flecha 58"/>
        <xdr:cNvCxnSpPr/>
      </xdr:nvCxnSpPr>
      <xdr:spPr>
        <a:xfrm>
          <a:off x="92716350" y="341376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180</xdr:row>
      <xdr:rowOff>133351</xdr:rowOff>
    </xdr:from>
    <xdr:to>
      <xdr:col>84</xdr:col>
      <xdr:colOff>276225</xdr:colOff>
      <xdr:row>183</xdr:row>
      <xdr:rowOff>168088</xdr:rowOff>
    </xdr:to>
    <xdr:cxnSp macro="">
      <xdr:nvCxnSpPr>
        <xdr:cNvPr id="60" name="Conector recto de flecha 59"/>
        <xdr:cNvCxnSpPr/>
      </xdr:nvCxnSpPr>
      <xdr:spPr>
        <a:xfrm flipV="1">
          <a:off x="83151569" y="3492817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171</xdr:row>
      <xdr:rowOff>193302</xdr:rowOff>
    </xdr:from>
    <xdr:to>
      <xdr:col>86</xdr:col>
      <xdr:colOff>1134596</xdr:colOff>
      <xdr:row>175</xdr:row>
      <xdr:rowOff>112059</xdr:rowOff>
    </xdr:to>
    <xdr:cxnSp macro="">
      <xdr:nvCxnSpPr>
        <xdr:cNvPr id="61" name="Conector recto de flecha 60"/>
        <xdr:cNvCxnSpPr/>
      </xdr:nvCxnSpPr>
      <xdr:spPr>
        <a:xfrm>
          <a:off x="89839240" y="3327362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163</xdr:row>
      <xdr:rowOff>112059</xdr:rowOff>
    </xdr:from>
    <xdr:to>
      <xdr:col>83</xdr:col>
      <xdr:colOff>1336116</xdr:colOff>
      <xdr:row>169</xdr:row>
      <xdr:rowOff>161367</xdr:rowOff>
    </xdr:to>
    <xdr:cxnSp macro="">
      <xdr:nvCxnSpPr>
        <xdr:cNvPr id="64" name="Conector recto de flecha 63"/>
        <xdr:cNvCxnSpPr/>
      </xdr:nvCxnSpPr>
      <xdr:spPr>
        <a:xfrm>
          <a:off x="83216937" y="31668384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160</xdr:row>
      <xdr:rowOff>0</xdr:rowOff>
    </xdr:from>
    <xdr:to>
      <xdr:col>79</xdr:col>
      <xdr:colOff>1494118</xdr:colOff>
      <xdr:row>163</xdr:row>
      <xdr:rowOff>18676</xdr:rowOff>
    </xdr:to>
    <xdr:cxnSp macro="">
      <xdr:nvCxnSpPr>
        <xdr:cNvPr id="65" name="Conector recto de flecha 64"/>
        <xdr:cNvCxnSpPr/>
      </xdr:nvCxnSpPr>
      <xdr:spPr>
        <a:xfrm>
          <a:off x="78194087" y="30984825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163</xdr:row>
      <xdr:rowOff>168088</xdr:rowOff>
    </xdr:from>
    <xdr:to>
      <xdr:col>79</xdr:col>
      <xdr:colOff>1494118</xdr:colOff>
      <xdr:row>165</xdr:row>
      <xdr:rowOff>110378</xdr:rowOff>
    </xdr:to>
    <xdr:cxnSp macro="">
      <xdr:nvCxnSpPr>
        <xdr:cNvPr id="66" name="Conector recto de flecha 65"/>
        <xdr:cNvCxnSpPr/>
      </xdr:nvCxnSpPr>
      <xdr:spPr>
        <a:xfrm flipV="1">
          <a:off x="78164392" y="31724413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166</xdr:row>
      <xdr:rowOff>155864</xdr:rowOff>
    </xdr:from>
    <xdr:to>
      <xdr:col>76</xdr:col>
      <xdr:colOff>1333500</xdr:colOff>
      <xdr:row>167</xdr:row>
      <xdr:rowOff>138545</xdr:rowOff>
    </xdr:to>
    <xdr:cxnSp macro="">
      <xdr:nvCxnSpPr>
        <xdr:cNvPr id="67" name="Conector recto de flecha 66"/>
        <xdr:cNvCxnSpPr/>
      </xdr:nvCxnSpPr>
      <xdr:spPr>
        <a:xfrm>
          <a:off x="73097448" y="3228368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156</xdr:row>
      <xdr:rowOff>111724</xdr:rowOff>
    </xdr:from>
    <xdr:to>
      <xdr:col>76</xdr:col>
      <xdr:colOff>1335189</xdr:colOff>
      <xdr:row>157</xdr:row>
      <xdr:rowOff>94405</xdr:rowOff>
    </xdr:to>
    <xdr:cxnSp macro="">
      <xdr:nvCxnSpPr>
        <xdr:cNvPr id="68" name="Conector recto de flecha 67"/>
        <xdr:cNvCxnSpPr/>
      </xdr:nvCxnSpPr>
      <xdr:spPr>
        <a:xfrm>
          <a:off x="73099137" y="3033454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111125</xdr:colOff>
      <xdr:row>156</xdr:row>
      <xdr:rowOff>142875</xdr:rowOff>
    </xdr:from>
    <xdr:to>
      <xdr:col>74</xdr:col>
      <xdr:colOff>1587500</xdr:colOff>
      <xdr:row>157</xdr:row>
      <xdr:rowOff>15875</xdr:rowOff>
    </xdr:to>
    <xdr:cxnSp macro="">
      <xdr:nvCxnSpPr>
        <xdr:cNvPr id="69" name="Conector recto de flecha 68"/>
        <xdr:cNvCxnSpPr/>
      </xdr:nvCxnSpPr>
      <xdr:spPr>
        <a:xfrm flipV="1">
          <a:off x="67424300" y="30365700"/>
          <a:ext cx="32766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34848</xdr:colOff>
      <xdr:row>163</xdr:row>
      <xdr:rowOff>46464</xdr:rowOff>
    </xdr:from>
    <xdr:to>
      <xdr:col>79</xdr:col>
      <xdr:colOff>1482161</xdr:colOff>
      <xdr:row>163</xdr:row>
      <xdr:rowOff>88372</xdr:rowOff>
    </xdr:to>
    <xdr:cxnSp macro="">
      <xdr:nvCxnSpPr>
        <xdr:cNvPr id="70" name="Conector recto de flecha 69"/>
        <xdr:cNvCxnSpPr/>
      </xdr:nvCxnSpPr>
      <xdr:spPr>
        <a:xfrm>
          <a:off x="78158898" y="31602789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101023</xdr:colOff>
      <xdr:row>162</xdr:row>
      <xdr:rowOff>145304</xdr:rowOff>
    </xdr:from>
    <xdr:to>
      <xdr:col>75</xdr:col>
      <xdr:colOff>2065721</xdr:colOff>
      <xdr:row>164</xdr:row>
      <xdr:rowOff>129886</xdr:rowOff>
    </xdr:to>
    <xdr:cxnSp macro="">
      <xdr:nvCxnSpPr>
        <xdr:cNvPr id="71" name="Conector recto de flecha 70"/>
        <xdr:cNvCxnSpPr/>
      </xdr:nvCxnSpPr>
      <xdr:spPr>
        <a:xfrm flipV="1">
          <a:off x="67414198" y="31511129"/>
          <a:ext cx="5488948" cy="365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232</xdr:row>
      <xdr:rowOff>140074</xdr:rowOff>
    </xdr:from>
    <xdr:to>
      <xdr:col>86</xdr:col>
      <xdr:colOff>1106581</xdr:colOff>
      <xdr:row>233</xdr:row>
      <xdr:rowOff>95250</xdr:rowOff>
    </xdr:to>
    <xdr:cxnSp macro="">
      <xdr:nvCxnSpPr>
        <xdr:cNvPr id="72" name="Conector recto de flecha 71"/>
        <xdr:cNvCxnSpPr/>
      </xdr:nvCxnSpPr>
      <xdr:spPr>
        <a:xfrm flipV="1">
          <a:off x="89811225" y="4484089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232</xdr:row>
      <xdr:rowOff>104775</xdr:rowOff>
    </xdr:from>
    <xdr:to>
      <xdr:col>88</xdr:col>
      <xdr:colOff>742950</xdr:colOff>
      <xdr:row>232</xdr:row>
      <xdr:rowOff>104775</xdr:rowOff>
    </xdr:to>
    <xdr:cxnSp macro="">
      <xdr:nvCxnSpPr>
        <xdr:cNvPr id="73" name="Conector recto de flecha 72"/>
        <xdr:cNvCxnSpPr/>
      </xdr:nvCxnSpPr>
      <xdr:spPr>
        <a:xfrm>
          <a:off x="92716350" y="448056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2294659</xdr:colOff>
      <xdr:row>236</xdr:row>
      <xdr:rowOff>19051</xdr:rowOff>
    </xdr:from>
    <xdr:to>
      <xdr:col>84</xdr:col>
      <xdr:colOff>19050</xdr:colOff>
      <xdr:row>239</xdr:row>
      <xdr:rowOff>21648</xdr:rowOff>
    </xdr:to>
    <xdr:cxnSp macro="">
      <xdr:nvCxnSpPr>
        <xdr:cNvPr id="74" name="Conector recto de flecha 73"/>
        <xdr:cNvCxnSpPr/>
      </xdr:nvCxnSpPr>
      <xdr:spPr>
        <a:xfrm flipV="1">
          <a:off x="82737614" y="46388483"/>
          <a:ext cx="3590925" cy="58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228</xdr:row>
      <xdr:rowOff>2802</xdr:rowOff>
    </xdr:from>
    <xdr:to>
      <xdr:col>86</xdr:col>
      <xdr:colOff>1134596</xdr:colOff>
      <xdr:row>231</xdr:row>
      <xdr:rowOff>112059</xdr:rowOff>
    </xdr:to>
    <xdr:cxnSp macro="">
      <xdr:nvCxnSpPr>
        <xdr:cNvPr id="75" name="Conector recto de flecha 74"/>
        <xdr:cNvCxnSpPr/>
      </xdr:nvCxnSpPr>
      <xdr:spPr>
        <a:xfrm>
          <a:off x="89839240" y="4394162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92927</xdr:colOff>
      <xdr:row>209</xdr:row>
      <xdr:rowOff>92927</xdr:rowOff>
    </xdr:from>
    <xdr:to>
      <xdr:col>83</xdr:col>
      <xdr:colOff>1336116</xdr:colOff>
      <xdr:row>225</xdr:row>
      <xdr:rowOff>161367</xdr:rowOff>
    </xdr:to>
    <xdr:cxnSp macro="">
      <xdr:nvCxnSpPr>
        <xdr:cNvPr id="78" name="Conector recto de flecha 77"/>
        <xdr:cNvCxnSpPr/>
      </xdr:nvCxnSpPr>
      <xdr:spPr>
        <a:xfrm>
          <a:off x="73121102" y="40412252"/>
          <a:ext cx="13339939" cy="3116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111125</xdr:colOff>
      <xdr:row>212</xdr:row>
      <xdr:rowOff>142875</xdr:rowOff>
    </xdr:from>
    <xdr:to>
      <xdr:col>74</xdr:col>
      <xdr:colOff>1587500</xdr:colOff>
      <xdr:row>213</xdr:row>
      <xdr:rowOff>15875</xdr:rowOff>
    </xdr:to>
    <xdr:cxnSp macro="">
      <xdr:nvCxnSpPr>
        <xdr:cNvPr id="79" name="Conector recto de flecha 78"/>
        <xdr:cNvCxnSpPr/>
      </xdr:nvCxnSpPr>
      <xdr:spPr>
        <a:xfrm flipV="1">
          <a:off x="67424300" y="41033700"/>
          <a:ext cx="32766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74705</xdr:colOff>
      <xdr:row>151</xdr:row>
      <xdr:rowOff>37353</xdr:rowOff>
    </xdr:from>
    <xdr:to>
      <xdr:col>75</xdr:col>
      <xdr:colOff>45357</xdr:colOff>
      <xdr:row>152</xdr:row>
      <xdr:rowOff>45357</xdr:rowOff>
    </xdr:to>
    <xdr:cxnSp macro="">
      <xdr:nvCxnSpPr>
        <xdr:cNvPr id="80" name="Conector recto de flecha 79"/>
        <xdr:cNvCxnSpPr/>
      </xdr:nvCxnSpPr>
      <xdr:spPr>
        <a:xfrm flipH="1" flipV="1">
          <a:off x="58672505" y="29307678"/>
          <a:ext cx="12210277" cy="198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432546</xdr:colOff>
      <xdr:row>148</xdr:row>
      <xdr:rowOff>77693</xdr:rowOff>
    </xdr:from>
    <xdr:to>
      <xdr:col>67</xdr:col>
      <xdr:colOff>283135</xdr:colOff>
      <xdr:row>152</xdr:row>
      <xdr:rowOff>21665</xdr:rowOff>
    </xdr:to>
    <xdr:grpSp>
      <xdr:nvGrpSpPr>
        <xdr:cNvPr id="81" name="Grupo 80"/>
        <xdr:cNvGrpSpPr/>
      </xdr:nvGrpSpPr>
      <xdr:grpSpPr>
        <a:xfrm>
          <a:off x="58794819" y="29302125"/>
          <a:ext cx="716498" cy="723290"/>
          <a:chOff x="52088676" y="6928970"/>
          <a:chExt cx="616324" cy="691030"/>
        </a:xfrm>
      </xdr:grpSpPr>
      <xdr:cxnSp macro="">
        <xdr:nvCxnSpPr>
          <xdr:cNvPr id="82" name="Conector recto 8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8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ector recto 8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204109</xdr:colOff>
      <xdr:row>155</xdr:row>
      <xdr:rowOff>22678</xdr:rowOff>
    </xdr:from>
    <xdr:to>
      <xdr:col>64</xdr:col>
      <xdr:colOff>247651</xdr:colOff>
      <xdr:row>190</xdr:row>
      <xdr:rowOff>57149</xdr:rowOff>
    </xdr:to>
    <xdr:cxnSp macro="">
      <xdr:nvCxnSpPr>
        <xdr:cNvPr id="85" name="Conector angular 84"/>
        <xdr:cNvCxnSpPr/>
      </xdr:nvCxnSpPr>
      <xdr:spPr>
        <a:xfrm rot="16200000" flipH="1">
          <a:off x="53043819" y="33384218"/>
          <a:ext cx="6701971" cy="435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38100</xdr:colOff>
      <xdr:row>233</xdr:row>
      <xdr:rowOff>38100</xdr:rowOff>
    </xdr:from>
    <xdr:to>
      <xdr:col>87</xdr:col>
      <xdr:colOff>57150</xdr:colOff>
      <xdr:row>237</xdr:row>
      <xdr:rowOff>38100</xdr:rowOff>
    </xdr:to>
    <xdr:cxnSp macro="">
      <xdr:nvCxnSpPr>
        <xdr:cNvPr id="86" name="Conector recto de flecha 85"/>
        <xdr:cNvCxnSpPr/>
      </xdr:nvCxnSpPr>
      <xdr:spPr>
        <a:xfrm flipV="1">
          <a:off x="89830275" y="44929425"/>
          <a:ext cx="13144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234</xdr:row>
      <xdr:rowOff>152400</xdr:rowOff>
    </xdr:from>
    <xdr:to>
      <xdr:col>87</xdr:col>
      <xdr:colOff>19050</xdr:colOff>
      <xdr:row>241</xdr:row>
      <xdr:rowOff>95250</xdr:rowOff>
    </xdr:to>
    <xdr:cxnSp macro="">
      <xdr:nvCxnSpPr>
        <xdr:cNvPr id="87" name="Conector recto de flecha 86"/>
        <xdr:cNvCxnSpPr/>
      </xdr:nvCxnSpPr>
      <xdr:spPr>
        <a:xfrm flipV="1">
          <a:off x="91106625" y="4523422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233</xdr:row>
      <xdr:rowOff>114300</xdr:rowOff>
    </xdr:from>
    <xdr:to>
      <xdr:col>87</xdr:col>
      <xdr:colOff>590550</xdr:colOff>
      <xdr:row>246</xdr:row>
      <xdr:rowOff>114300</xdr:rowOff>
    </xdr:to>
    <xdr:cxnSp macro="">
      <xdr:nvCxnSpPr>
        <xdr:cNvPr id="88" name="Conector recto de flecha 87"/>
        <xdr:cNvCxnSpPr/>
      </xdr:nvCxnSpPr>
      <xdr:spPr>
        <a:xfrm flipV="1">
          <a:off x="91125675" y="4500562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326573</xdr:colOff>
      <xdr:row>201</xdr:row>
      <xdr:rowOff>27213</xdr:rowOff>
    </xdr:from>
    <xdr:to>
      <xdr:col>85</xdr:col>
      <xdr:colOff>27215</xdr:colOff>
      <xdr:row>247</xdr:row>
      <xdr:rowOff>81646</xdr:rowOff>
    </xdr:to>
    <xdr:cxnSp macro="">
      <xdr:nvCxnSpPr>
        <xdr:cNvPr id="89" name="Conector angular 88"/>
        <xdr:cNvCxnSpPr/>
      </xdr:nvCxnSpPr>
      <xdr:spPr>
        <a:xfrm>
          <a:off x="60734123" y="38822538"/>
          <a:ext cx="2690404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136634</xdr:colOff>
      <xdr:row>202</xdr:row>
      <xdr:rowOff>108127</xdr:rowOff>
    </xdr:from>
    <xdr:to>
      <xdr:col>84</xdr:col>
      <xdr:colOff>958247</xdr:colOff>
      <xdr:row>247</xdr:row>
      <xdr:rowOff>46691</xdr:rowOff>
    </xdr:to>
    <xdr:cxnSp macro="">
      <xdr:nvCxnSpPr>
        <xdr:cNvPr id="90" name="Conector angular 89"/>
        <xdr:cNvCxnSpPr/>
      </xdr:nvCxnSpPr>
      <xdr:spPr>
        <a:xfrm>
          <a:off x="56074361" y="39853354"/>
          <a:ext cx="31193375" cy="8705894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58079</xdr:colOff>
      <xdr:row>242</xdr:row>
      <xdr:rowOff>81311</xdr:rowOff>
    </xdr:from>
    <xdr:to>
      <xdr:col>84</xdr:col>
      <xdr:colOff>1033811</xdr:colOff>
      <xdr:row>242</xdr:row>
      <xdr:rowOff>92927</xdr:rowOff>
    </xdr:to>
    <xdr:cxnSp macro="">
      <xdr:nvCxnSpPr>
        <xdr:cNvPr id="91" name="Conector recto de flecha 90"/>
        <xdr:cNvCxnSpPr/>
      </xdr:nvCxnSpPr>
      <xdr:spPr>
        <a:xfrm>
          <a:off x="86602229" y="4668713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1022195</xdr:colOff>
      <xdr:row>238</xdr:row>
      <xdr:rowOff>71088</xdr:rowOff>
    </xdr:from>
    <xdr:to>
      <xdr:col>84</xdr:col>
      <xdr:colOff>1393</xdr:colOff>
      <xdr:row>240</xdr:row>
      <xdr:rowOff>58079</xdr:rowOff>
    </xdr:to>
    <xdr:cxnSp macro="">
      <xdr:nvCxnSpPr>
        <xdr:cNvPr id="92" name="Conector recto de flecha 91"/>
        <xdr:cNvCxnSpPr/>
      </xdr:nvCxnSpPr>
      <xdr:spPr>
        <a:xfrm flipV="1">
          <a:off x="86147120" y="45914913"/>
          <a:ext cx="398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46463</xdr:colOff>
      <xdr:row>195</xdr:row>
      <xdr:rowOff>139390</xdr:rowOff>
    </xdr:from>
    <xdr:to>
      <xdr:col>75</xdr:col>
      <xdr:colOff>766647</xdr:colOff>
      <xdr:row>205</xdr:row>
      <xdr:rowOff>162622</xdr:rowOff>
    </xdr:to>
    <xdr:cxnSp macro="">
      <xdr:nvCxnSpPr>
        <xdr:cNvPr id="93" name="Conector recto de flecha 92"/>
        <xdr:cNvCxnSpPr/>
      </xdr:nvCxnSpPr>
      <xdr:spPr>
        <a:xfrm flipH="1" flipV="1">
          <a:off x="67359638" y="37791715"/>
          <a:ext cx="42444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325244</xdr:colOff>
      <xdr:row>182</xdr:row>
      <xdr:rowOff>92927</xdr:rowOff>
    </xdr:from>
    <xdr:to>
      <xdr:col>70</xdr:col>
      <xdr:colOff>756425</xdr:colOff>
      <xdr:row>193</xdr:row>
      <xdr:rowOff>175633</xdr:rowOff>
    </xdr:to>
    <xdr:cxnSp macro="">
      <xdr:nvCxnSpPr>
        <xdr:cNvPr id="94" name="Conector recto de flecha 93"/>
        <xdr:cNvCxnSpPr/>
      </xdr:nvCxnSpPr>
      <xdr:spPr>
        <a:xfrm flipH="1" flipV="1">
          <a:off x="56494169" y="35268752"/>
          <a:ext cx="6784356" cy="2178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193</xdr:row>
      <xdr:rowOff>0</xdr:rowOff>
    </xdr:from>
    <xdr:to>
      <xdr:col>73</xdr:col>
      <xdr:colOff>721446</xdr:colOff>
      <xdr:row>196</xdr:row>
      <xdr:rowOff>134472</xdr:rowOff>
    </xdr:to>
    <xdr:grpSp>
      <xdr:nvGrpSpPr>
        <xdr:cNvPr id="95" name="Grupo 94"/>
        <xdr:cNvGrpSpPr/>
      </xdr:nvGrpSpPr>
      <xdr:grpSpPr>
        <a:xfrm>
          <a:off x="67064659" y="37991761"/>
          <a:ext cx="721446" cy="718961"/>
          <a:chOff x="52088676" y="6928970"/>
          <a:chExt cx="616324" cy="691030"/>
        </a:xfrm>
      </xdr:grpSpPr>
      <xdr:cxnSp macro="">
        <xdr:nvCxnSpPr>
          <xdr:cNvPr id="96" name="Conector recto 95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96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ector recto 97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19050</xdr:colOff>
      <xdr:row>351</xdr:row>
      <xdr:rowOff>140074</xdr:rowOff>
    </xdr:from>
    <xdr:to>
      <xdr:col>88</xdr:col>
      <xdr:colOff>1106581</xdr:colOff>
      <xdr:row>352</xdr:row>
      <xdr:rowOff>95250</xdr:rowOff>
    </xdr:to>
    <xdr:cxnSp macro="">
      <xdr:nvCxnSpPr>
        <xdr:cNvPr id="99" name="Conector recto de flecha 98"/>
        <xdr:cNvCxnSpPr/>
      </xdr:nvCxnSpPr>
      <xdr:spPr>
        <a:xfrm flipV="1">
          <a:off x="92697300" y="676818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351</xdr:row>
      <xdr:rowOff>79375</xdr:rowOff>
    </xdr:from>
    <xdr:to>
      <xdr:col>90</xdr:col>
      <xdr:colOff>1235982</xdr:colOff>
      <xdr:row>351</xdr:row>
      <xdr:rowOff>104775</xdr:rowOff>
    </xdr:to>
    <xdr:cxnSp macro="">
      <xdr:nvCxnSpPr>
        <xdr:cNvPr id="100" name="Conector recto de flecha 99"/>
        <xdr:cNvCxnSpPr/>
      </xdr:nvCxnSpPr>
      <xdr:spPr>
        <a:xfrm flipV="1">
          <a:off x="96926400" y="67621150"/>
          <a:ext cx="1197882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274449</xdr:colOff>
      <xdr:row>354</xdr:row>
      <xdr:rowOff>114303</xdr:rowOff>
    </xdr:from>
    <xdr:to>
      <xdr:col>85</xdr:col>
      <xdr:colOff>2171700</xdr:colOff>
      <xdr:row>358</xdr:row>
      <xdr:rowOff>64576</xdr:rowOff>
    </xdr:to>
    <xdr:cxnSp macro="">
      <xdr:nvCxnSpPr>
        <xdr:cNvPr id="101" name="Conector recto de flecha 100"/>
        <xdr:cNvCxnSpPr/>
      </xdr:nvCxnSpPr>
      <xdr:spPr>
        <a:xfrm flipV="1">
          <a:off x="80833347" y="69097905"/>
          <a:ext cx="8806912" cy="725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347</xdr:row>
      <xdr:rowOff>2802</xdr:rowOff>
    </xdr:from>
    <xdr:to>
      <xdr:col>88</xdr:col>
      <xdr:colOff>1134596</xdr:colOff>
      <xdr:row>350</xdr:row>
      <xdr:rowOff>112059</xdr:rowOff>
    </xdr:to>
    <xdr:cxnSp macro="">
      <xdr:nvCxnSpPr>
        <xdr:cNvPr id="102" name="Conector recto de flecha 101"/>
        <xdr:cNvCxnSpPr/>
      </xdr:nvCxnSpPr>
      <xdr:spPr>
        <a:xfrm>
          <a:off x="92725315" y="66773052"/>
          <a:ext cx="1087531" cy="6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328</xdr:row>
      <xdr:rowOff>92927</xdr:rowOff>
    </xdr:from>
    <xdr:to>
      <xdr:col>85</xdr:col>
      <xdr:colOff>2014251</xdr:colOff>
      <xdr:row>345</xdr:row>
      <xdr:rowOff>108857</xdr:rowOff>
    </xdr:to>
    <xdr:cxnSp macro="">
      <xdr:nvCxnSpPr>
        <xdr:cNvPr id="103" name="Conector recto de flecha 102"/>
        <xdr:cNvCxnSpPr/>
      </xdr:nvCxnSpPr>
      <xdr:spPr>
        <a:xfrm>
          <a:off x="76796785" y="63091277"/>
          <a:ext cx="12828416" cy="340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331</xdr:row>
      <xdr:rowOff>142875</xdr:rowOff>
    </xdr:from>
    <xdr:to>
      <xdr:col>76</xdr:col>
      <xdr:colOff>1587500</xdr:colOff>
      <xdr:row>332</xdr:row>
      <xdr:rowOff>15875</xdr:rowOff>
    </xdr:to>
    <xdr:cxnSp macro="">
      <xdr:nvCxnSpPr>
        <xdr:cNvPr id="104" name="Conector recto de flecha 103"/>
        <xdr:cNvCxnSpPr/>
      </xdr:nvCxnSpPr>
      <xdr:spPr>
        <a:xfrm flipV="1">
          <a:off x="70948550" y="63712725"/>
          <a:ext cx="3448050" cy="1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352</xdr:row>
      <xdr:rowOff>38100</xdr:rowOff>
    </xdr:from>
    <xdr:to>
      <xdr:col>89</xdr:col>
      <xdr:colOff>57150</xdr:colOff>
      <xdr:row>356</xdr:row>
      <xdr:rowOff>38100</xdr:rowOff>
    </xdr:to>
    <xdr:cxnSp macro="">
      <xdr:nvCxnSpPr>
        <xdr:cNvPr id="105" name="Conector recto de flecha 104"/>
        <xdr:cNvCxnSpPr/>
      </xdr:nvCxnSpPr>
      <xdr:spPr>
        <a:xfrm flipV="1">
          <a:off x="92716350" y="67770375"/>
          <a:ext cx="21145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353</xdr:row>
      <xdr:rowOff>152400</xdr:rowOff>
    </xdr:from>
    <xdr:to>
      <xdr:col>89</xdr:col>
      <xdr:colOff>19050</xdr:colOff>
      <xdr:row>360</xdr:row>
      <xdr:rowOff>95250</xdr:rowOff>
    </xdr:to>
    <xdr:cxnSp macro="">
      <xdr:nvCxnSpPr>
        <xdr:cNvPr id="106" name="Conector recto de flecha 105"/>
        <xdr:cNvCxnSpPr/>
      </xdr:nvCxnSpPr>
      <xdr:spPr>
        <a:xfrm flipV="1">
          <a:off x="94792800" y="68075175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352</xdr:row>
      <xdr:rowOff>114300</xdr:rowOff>
    </xdr:from>
    <xdr:to>
      <xdr:col>89</xdr:col>
      <xdr:colOff>590550</xdr:colOff>
      <xdr:row>365</xdr:row>
      <xdr:rowOff>114300</xdr:rowOff>
    </xdr:to>
    <xdr:cxnSp macro="">
      <xdr:nvCxnSpPr>
        <xdr:cNvPr id="107" name="Conector recto de flecha 106"/>
        <xdr:cNvCxnSpPr/>
      </xdr:nvCxnSpPr>
      <xdr:spPr>
        <a:xfrm flipV="1">
          <a:off x="94811850" y="67846575"/>
          <a:ext cx="55245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495566</xdr:colOff>
      <xdr:row>320</xdr:row>
      <xdr:rowOff>11850</xdr:rowOff>
    </xdr:from>
    <xdr:to>
      <xdr:col>86</xdr:col>
      <xdr:colOff>718546</xdr:colOff>
      <xdr:row>366</xdr:row>
      <xdr:rowOff>66283</xdr:rowOff>
    </xdr:to>
    <xdr:cxnSp macro="">
      <xdr:nvCxnSpPr>
        <xdr:cNvPr id="108" name="Conector angular 107"/>
        <xdr:cNvCxnSpPr/>
      </xdr:nvCxnSpPr>
      <xdr:spPr>
        <a:xfrm>
          <a:off x="62255666" y="61476675"/>
          <a:ext cx="28255055" cy="914128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321</xdr:row>
      <xdr:rowOff>33421</xdr:rowOff>
    </xdr:from>
    <xdr:to>
      <xdr:col>87</xdr:col>
      <xdr:colOff>24423</xdr:colOff>
      <xdr:row>365</xdr:row>
      <xdr:rowOff>158750</xdr:rowOff>
    </xdr:to>
    <xdr:cxnSp macro="">
      <xdr:nvCxnSpPr>
        <xdr:cNvPr id="109" name="Conector angular 108"/>
        <xdr:cNvCxnSpPr/>
      </xdr:nvCxnSpPr>
      <xdr:spPr>
        <a:xfrm>
          <a:off x="58865169" y="61688746"/>
          <a:ext cx="32246829" cy="883117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361</xdr:row>
      <xdr:rowOff>81311</xdr:rowOff>
    </xdr:from>
    <xdr:to>
      <xdr:col>86</xdr:col>
      <xdr:colOff>1033811</xdr:colOff>
      <xdr:row>361</xdr:row>
      <xdr:rowOff>92927</xdr:rowOff>
    </xdr:to>
    <xdr:cxnSp macro="">
      <xdr:nvCxnSpPr>
        <xdr:cNvPr id="110" name="Conector recto de flecha 109"/>
        <xdr:cNvCxnSpPr/>
      </xdr:nvCxnSpPr>
      <xdr:spPr>
        <a:xfrm>
          <a:off x="89850254" y="69680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356</xdr:row>
      <xdr:rowOff>186542</xdr:rowOff>
    </xdr:from>
    <xdr:to>
      <xdr:col>86</xdr:col>
      <xdr:colOff>1393</xdr:colOff>
      <xdr:row>358</xdr:row>
      <xdr:rowOff>173533</xdr:rowOff>
    </xdr:to>
    <xdr:cxnSp macro="">
      <xdr:nvCxnSpPr>
        <xdr:cNvPr id="111" name="Conector recto de flecha 110"/>
        <xdr:cNvCxnSpPr/>
      </xdr:nvCxnSpPr>
      <xdr:spPr>
        <a:xfrm flipV="1">
          <a:off x="88633145" y="68737967"/>
          <a:ext cx="1160423" cy="415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314</xdr:row>
      <xdr:rowOff>139390</xdr:rowOff>
    </xdr:from>
    <xdr:to>
      <xdr:col>77</xdr:col>
      <xdr:colOff>766647</xdr:colOff>
      <xdr:row>324</xdr:row>
      <xdr:rowOff>162622</xdr:rowOff>
    </xdr:to>
    <xdr:cxnSp macro="">
      <xdr:nvCxnSpPr>
        <xdr:cNvPr id="112" name="Conector recto de flecha 111"/>
        <xdr:cNvCxnSpPr/>
      </xdr:nvCxnSpPr>
      <xdr:spPr>
        <a:xfrm flipH="1" flipV="1">
          <a:off x="70883888" y="6046121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312</xdr:row>
      <xdr:rowOff>148442</xdr:rowOff>
    </xdr:from>
    <xdr:to>
      <xdr:col>72</xdr:col>
      <xdr:colOff>756425</xdr:colOff>
      <xdr:row>312</xdr:row>
      <xdr:rowOff>175634</xdr:rowOff>
    </xdr:to>
    <xdr:cxnSp macro="">
      <xdr:nvCxnSpPr>
        <xdr:cNvPr id="113" name="Conector recto de flecha 112"/>
        <xdr:cNvCxnSpPr/>
      </xdr:nvCxnSpPr>
      <xdr:spPr>
        <a:xfrm flipH="1" flipV="1">
          <a:off x="59739563" y="6008926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312</xdr:row>
      <xdr:rowOff>0</xdr:rowOff>
    </xdr:from>
    <xdr:to>
      <xdr:col>75</xdr:col>
      <xdr:colOff>721446</xdr:colOff>
      <xdr:row>315</xdr:row>
      <xdr:rowOff>134472</xdr:rowOff>
    </xdr:to>
    <xdr:grpSp>
      <xdr:nvGrpSpPr>
        <xdr:cNvPr id="114" name="Grupo 113"/>
        <xdr:cNvGrpSpPr/>
      </xdr:nvGrpSpPr>
      <xdr:grpSpPr>
        <a:xfrm>
          <a:off x="70593239" y="61176477"/>
          <a:ext cx="721446" cy="718961"/>
          <a:chOff x="52088676" y="6928970"/>
          <a:chExt cx="616324" cy="691030"/>
        </a:xfrm>
      </xdr:grpSpPr>
      <xdr:cxnSp macro="">
        <xdr:nvCxnSpPr>
          <xdr:cNvPr id="115" name="Conector recto 114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cto 115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ector recto 116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341</xdr:row>
      <xdr:rowOff>115455</xdr:rowOff>
    </xdr:from>
    <xdr:to>
      <xdr:col>89</xdr:col>
      <xdr:colOff>528443</xdr:colOff>
      <xdr:row>350</xdr:row>
      <xdr:rowOff>152553</xdr:rowOff>
    </xdr:to>
    <xdr:cxnSp macro="">
      <xdr:nvCxnSpPr>
        <xdr:cNvPr id="118" name="Conector recto de flecha 117"/>
        <xdr:cNvCxnSpPr/>
      </xdr:nvCxnSpPr>
      <xdr:spPr>
        <a:xfrm>
          <a:off x="92822568" y="65742705"/>
          <a:ext cx="2479625" cy="1761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335</xdr:row>
      <xdr:rowOff>101022</xdr:rowOff>
    </xdr:from>
    <xdr:to>
      <xdr:col>86</xdr:col>
      <xdr:colOff>3857</xdr:colOff>
      <xdr:row>338</xdr:row>
      <xdr:rowOff>129886</xdr:rowOff>
    </xdr:to>
    <xdr:cxnSp macro="">
      <xdr:nvCxnSpPr>
        <xdr:cNvPr id="119" name="Conector recto de flecha 118"/>
        <xdr:cNvCxnSpPr/>
      </xdr:nvCxnSpPr>
      <xdr:spPr>
        <a:xfrm>
          <a:off x="88837654" y="64585272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89</xdr:col>
      <xdr:colOff>9619</xdr:colOff>
      <xdr:row>426</xdr:row>
      <xdr:rowOff>95250</xdr:rowOff>
    </xdr:to>
    <xdr:cxnSp macro="">
      <xdr:nvCxnSpPr>
        <xdr:cNvPr id="122" name="Conector recto de flecha 121"/>
        <xdr:cNvCxnSpPr/>
      </xdr:nvCxnSpPr>
      <xdr:spPr>
        <a:xfrm flipV="1">
          <a:off x="92697300" y="81931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23" name="Conector recto de flecha 12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428</xdr:row>
      <xdr:rowOff>114303</xdr:rowOff>
    </xdr:from>
    <xdr:to>
      <xdr:col>85</xdr:col>
      <xdr:colOff>2171700</xdr:colOff>
      <xdr:row>429</xdr:row>
      <xdr:rowOff>174949</xdr:rowOff>
    </xdr:to>
    <xdr:cxnSp macro="">
      <xdr:nvCxnSpPr>
        <xdr:cNvPr id="124" name="Conector recto de flecha 123"/>
        <xdr:cNvCxnSpPr/>
      </xdr:nvCxnSpPr>
      <xdr:spPr>
        <a:xfrm flipV="1">
          <a:off x="80812238" y="82476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89</xdr:col>
      <xdr:colOff>9059</xdr:colOff>
      <xdr:row>424</xdr:row>
      <xdr:rowOff>112059</xdr:rowOff>
    </xdr:to>
    <xdr:cxnSp macro="">
      <xdr:nvCxnSpPr>
        <xdr:cNvPr id="125" name="Conector recto de flecha 124"/>
        <xdr:cNvCxnSpPr/>
      </xdr:nvCxnSpPr>
      <xdr:spPr>
        <a:xfrm>
          <a:off x="92725315" y="81031977"/>
          <a:ext cx="20574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402</xdr:row>
      <xdr:rowOff>92927</xdr:rowOff>
    </xdr:from>
    <xdr:to>
      <xdr:col>85</xdr:col>
      <xdr:colOff>2014251</xdr:colOff>
      <xdr:row>419</xdr:row>
      <xdr:rowOff>108857</xdr:rowOff>
    </xdr:to>
    <xdr:cxnSp macro="">
      <xdr:nvCxnSpPr>
        <xdr:cNvPr id="126" name="Conector recto de flecha 125"/>
        <xdr:cNvCxnSpPr/>
      </xdr:nvCxnSpPr>
      <xdr:spPr>
        <a:xfrm>
          <a:off x="76796785" y="77502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405</xdr:row>
      <xdr:rowOff>142875</xdr:rowOff>
    </xdr:from>
    <xdr:to>
      <xdr:col>76</xdr:col>
      <xdr:colOff>1368425</xdr:colOff>
      <xdr:row>406</xdr:row>
      <xdr:rowOff>15875</xdr:rowOff>
    </xdr:to>
    <xdr:cxnSp macro="">
      <xdr:nvCxnSpPr>
        <xdr:cNvPr id="127" name="Conector recto de flecha 126"/>
        <xdr:cNvCxnSpPr/>
      </xdr:nvCxnSpPr>
      <xdr:spPr>
        <a:xfrm flipV="1">
          <a:off x="70948550" y="78124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28" name="Conector recto de flecha 127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29" name="Conector recto de flecha 128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30" name="Conector recto de flecha 129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394</xdr:row>
      <xdr:rowOff>27213</xdr:rowOff>
    </xdr:from>
    <xdr:to>
      <xdr:col>87</xdr:col>
      <xdr:colOff>27215</xdr:colOff>
      <xdr:row>440</xdr:row>
      <xdr:rowOff>81646</xdr:rowOff>
    </xdr:to>
    <xdr:cxnSp macro="">
      <xdr:nvCxnSpPr>
        <xdr:cNvPr id="131" name="Conector angular 130"/>
        <xdr:cNvCxnSpPr/>
      </xdr:nvCxnSpPr>
      <xdr:spPr>
        <a:xfrm>
          <a:off x="62848673" y="75912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395</xdr:row>
      <xdr:rowOff>33421</xdr:rowOff>
    </xdr:from>
    <xdr:to>
      <xdr:col>87</xdr:col>
      <xdr:colOff>24423</xdr:colOff>
      <xdr:row>439</xdr:row>
      <xdr:rowOff>158750</xdr:rowOff>
    </xdr:to>
    <xdr:cxnSp macro="">
      <xdr:nvCxnSpPr>
        <xdr:cNvPr id="132" name="Conector angular 131"/>
        <xdr:cNvCxnSpPr/>
      </xdr:nvCxnSpPr>
      <xdr:spPr>
        <a:xfrm>
          <a:off x="58865169" y="76109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33" name="Conector recto de flecha 132"/>
        <xdr:cNvCxnSpPr/>
      </xdr:nvCxnSpPr>
      <xdr:spPr>
        <a:xfrm>
          <a:off x="89850254" y="83777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388</xdr:row>
      <xdr:rowOff>139390</xdr:rowOff>
    </xdr:from>
    <xdr:to>
      <xdr:col>77</xdr:col>
      <xdr:colOff>766647</xdr:colOff>
      <xdr:row>398</xdr:row>
      <xdr:rowOff>162622</xdr:rowOff>
    </xdr:to>
    <xdr:cxnSp macro="">
      <xdr:nvCxnSpPr>
        <xdr:cNvPr id="134" name="Conector recto de flecha 133"/>
        <xdr:cNvCxnSpPr/>
      </xdr:nvCxnSpPr>
      <xdr:spPr>
        <a:xfrm flipH="1" flipV="1">
          <a:off x="70883888" y="74882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386</xdr:row>
      <xdr:rowOff>148442</xdr:rowOff>
    </xdr:from>
    <xdr:to>
      <xdr:col>72</xdr:col>
      <xdr:colOff>756425</xdr:colOff>
      <xdr:row>386</xdr:row>
      <xdr:rowOff>175634</xdr:rowOff>
    </xdr:to>
    <xdr:cxnSp macro="">
      <xdr:nvCxnSpPr>
        <xdr:cNvPr id="135" name="Conector recto de flecha 134"/>
        <xdr:cNvCxnSpPr/>
      </xdr:nvCxnSpPr>
      <xdr:spPr>
        <a:xfrm flipH="1" flipV="1">
          <a:off x="59739563" y="74510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386</xdr:row>
      <xdr:rowOff>0</xdr:rowOff>
    </xdr:from>
    <xdr:to>
      <xdr:col>75</xdr:col>
      <xdr:colOff>721446</xdr:colOff>
      <xdr:row>389</xdr:row>
      <xdr:rowOff>134472</xdr:rowOff>
    </xdr:to>
    <xdr:grpSp>
      <xdr:nvGrpSpPr>
        <xdr:cNvPr id="136" name="Grupo 135"/>
        <xdr:cNvGrpSpPr/>
      </xdr:nvGrpSpPr>
      <xdr:grpSpPr>
        <a:xfrm>
          <a:off x="70593239" y="75593864"/>
          <a:ext cx="721446" cy="718960"/>
          <a:chOff x="52088676" y="6928970"/>
          <a:chExt cx="616324" cy="691030"/>
        </a:xfrm>
      </xdr:grpSpPr>
      <xdr:cxnSp macro="">
        <xdr:nvCxnSpPr>
          <xdr:cNvPr id="137" name="Conector recto 13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ector recto 13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Conector recto 13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415</xdr:row>
      <xdr:rowOff>125605</xdr:rowOff>
    </xdr:from>
    <xdr:to>
      <xdr:col>89</xdr:col>
      <xdr:colOff>528443</xdr:colOff>
      <xdr:row>424</xdr:row>
      <xdr:rowOff>152553</xdr:rowOff>
    </xdr:to>
    <xdr:cxnSp macro="">
      <xdr:nvCxnSpPr>
        <xdr:cNvPr id="140" name="Conector recto de flecha 139"/>
        <xdr:cNvCxnSpPr/>
      </xdr:nvCxnSpPr>
      <xdr:spPr>
        <a:xfrm>
          <a:off x="92730585" y="80011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409</xdr:row>
      <xdr:rowOff>101022</xdr:rowOff>
    </xdr:from>
    <xdr:to>
      <xdr:col>86</xdr:col>
      <xdr:colOff>3857</xdr:colOff>
      <xdr:row>412</xdr:row>
      <xdr:rowOff>129886</xdr:rowOff>
    </xdr:to>
    <xdr:cxnSp macro="">
      <xdr:nvCxnSpPr>
        <xdr:cNvPr id="141" name="Conector recto de flecha 140"/>
        <xdr:cNvCxnSpPr/>
      </xdr:nvCxnSpPr>
      <xdr:spPr>
        <a:xfrm>
          <a:off x="88837654" y="78844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88</xdr:col>
      <xdr:colOff>1106581</xdr:colOff>
      <xdr:row>426</xdr:row>
      <xdr:rowOff>95250</xdr:rowOff>
    </xdr:to>
    <xdr:cxnSp macro="">
      <xdr:nvCxnSpPr>
        <xdr:cNvPr id="142" name="Conector recto de flecha 141"/>
        <xdr:cNvCxnSpPr/>
      </xdr:nvCxnSpPr>
      <xdr:spPr>
        <a:xfrm flipV="1">
          <a:off x="92697300" y="81931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43" name="Conector recto de flecha 14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88</xdr:col>
      <xdr:colOff>1134596</xdr:colOff>
      <xdr:row>424</xdr:row>
      <xdr:rowOff>112059</xdr:rowOff>
    </xdr:to>
    <xdr:cxnSp macro="">
      <xdr:nvCxnSpPr>
        <xdr:cNvPr id="144" name="Conector recto de flecha 143"/>
        <xdr:cNvCxnSpPr/>
      </xdr:nvCxnSpPr>
      <xdr:spPr>
        <a:xfrm>
          <a:off x="92725315" y="81031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45" name="Conector recto de flecha 144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46" name="Conector recto de flecha 145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47" name="Conector recto de flecha 146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48" name="Conector recto de flecha 147"/>
        <xdr:cNvCxnSpPr/>
      </xdr:nvCxnSpPr>
      <xdr:spPr>
        <a:xfrm>
          <a:off x="89850254" y="83777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431</xdr:row>
      <xdr:rowOff>71088</xdr:rowOff>
    </xdr:from>
    <xdr:to>
      <xdr:col>86</xdr:col>
      <xdr:colOff>1393</xdr:colOff>
      <xdr:row>433</xdr:row>
      <xdr:rowOff>58079</xdr:rowOff>
    </xdr:to>
    <xdr:cxnSp macro="">
      <xdr:nvCxnSpPr>
        <xdr:cNvPr id="149" name="Conector recto de flecha 148"/>
        <xdr:cNvCxnSpPr/>
      </xdr:nvCxnSpPr>
      <xdr:spPr>
        <a:xfrm flipV="1">
          <a:off x="88633145" y="83005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417</xdr:row>
      <xdr:rowOff>10468</xdr:rowOff>
    </xdr:from>
    <xdr:to>
      <xdr:col>89</xdr:col>
      <xdr:colOff>1151860</xdr:colOff>
      <xdr:row>424</xdr:row>
      <xdr:rowOff>158414</xdr:rowOff>
    </xdr:to>
    <xdr:cxnSp macro="">
      <xdr:nvCxnSpPr>
        <xdr:cNvPr id="150" name="Conector recto de flecha 149"/>
        <xdr:cNvCxnSpPr/>
      </xdr:nvCxnSpPr>
      <xdr:spPr>
        <a:xfrm>
          <a:off x="95925124" y="802776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409</xdr:row>
      <xdr:rowOff>101022</xdr:rowOff>
    </xdr:from>
    <xdr:to>
      <xdr:col>89</xdr:col>
      <xdr:colOff>3857</xdr:colOff>
      <xdr:row>412</xdr:row>
      <xdr:rowOff>129886</xdr:rowOff>
    </xdr:to>
    <xdr:cxnSp macro="">
      <xdr:nvCxnSpPr>
        <xdr:cNvPr id="151" name="Conector recto de flecha 150"/>
        <xdr:cNvCxnSpPr/>
      </xdr:nvCxnSpPr>
      <xdr:spPr>
        <a:xfrm>
          <a:off x="93904954" y="78844197"/>
          <a:ext cx="8726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89</xdr:col>
      <xdr:colOff>9619</xdr:colOff>
      <xdr:row>502</xdr:row>
      <xdr:rowOff>95250</xdr:rowOff>
    </xdr:to>
    <xdr:cxnSp macro="">
      <xdr:nvCxnSpPr>
        <xdr:cNvPr id="152" name="Conector recto de flecha 151"/>
        <xdr:cNvCxnSpPr/>
      </xdr:nvCxnSpPr>
      <xdr:spPr>
        <a:xfrm flipV="1">
          <a:off x="92697300" y="96409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53" name="Conector recto de flecha 15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504</xdr:row>
      <xdr:rowOff>114303</xdr:rowOff>
    </xdr:from>
    <xdr:to>
      <xdr:col>85</xdr:col>
      <xdr:colOff>2171700</xdr:colOff>
      <xdr:row>505</xdr:row>
      <xdr:rowOff>174949</xdr:rowOff>
    </xdr:to>
    <xdr:cxnSp macro="">
      <xdr:nvCxnSpPr>
        <xdr:cNvPr id="154" name="Conector recto de flecha 153"/>
        <xdr:cNvCxnSpPr/>
      </xdr:nvCxnSpPr>
      <xdr:spPr>
        <a:xfrm flipV="1">
          <a:off x="80812238" y="96954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89</xdr:col>
      <xdr:colOff>9059</xdr:colOff>
      <xdr:row>500</xdr:row>
      <xdr:rowOff>112059</xdr:rowOff>
    </xdr:to>
    <xdr:cxnSp macro="">
      <xdr:nvCxnSpPr>
        <xdr:cNvPr id="155" name="Conector recto de flecha 154"/>
        <xdr:cNvCxnSpPr/>
      </xdr:nvCxnSpPr>
      <xdr:spPr>
        <a:xfrm>
          <a:off x="92725315" y="95509977"/>
          <a:ext cx="20574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478</xdr:row>
      <xdr:rowOff>92927</xdr:rowOff>
    </xdr:from>
    <xdr:to>
      <xdr:col>85</xdr:col>
      <xdr:colOff>2014251</xdr:colOff>
      <xdr:row>495</xdr:row>
      <xdr:rowOff>108857</xdr:rowOff>
    </xdr:to>
    <xdr:cxnSp macro="">
      <xdr:nvCxnSpPr>
        <xdr:cNvPr id="156" name="Conector recto de flecha 155"/>
        <xdr:cNvCxnSpPr/>
      </xdr:nvCxnSpPr>
      <xdr:spPr>
        <a:xfrm>
          <a:off x="76796785" y="91980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481</xdr:row>
      <xdr:rowOff>142875</xdr:rowOff>
    </xdr:from>
    <xdr:to>
      <xdr:col>76</xdr:col>
      <xdr:colOff>1368425</xdr:colOff>
      <xdr:row>482</xdr:row>
      <xdr:rowOff>15875</xdr:rowOff>
    </xdr:to>
    <xdr:cxnSp macro="">
      <xdr:nvCxnSpPr>
        <xdr:cNvPr id="157" name="Conector recto de flecha 156"/>
        <xdr:cNvCxnSpPr/>
      </xdr:nvCxnSpPr>
      <xdr:spPr>
        <a:xfrm flipV="1">
          <a:off x="70948550" y="92602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58" name="Conector recto de flecha 157"/>
        <xdr:cNvCxnSpPr/>
      </xdr:nvCxnSpPr>
      <xdr:spPr>
        <a:xfrm flipV="1">
          <a:off x="92716350" y="96497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59" name="Conector recto de flecha 158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60" name="Conector recto de flecha 159"/>
        <xdr:cNvCxnSpPr/>
      </xdr:nvCxnSpPr>
      <xdr:spPr>
        <a:xfrm flipV="1">
          <a:off x="94811850" y="965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470</xdr:row>
      <xdr:rowOff>27213</xdr:rowOff>
    </xdr:from>
    <xdr:to>
      <xdr:col>87</xdr:col>
      <xdr:colOff>27215</xdr:colOff>
      <xdr:row>516</xdr:row>
      <xdr:rowOff>81646</xdr:rowOff>
    </xdr:to>
    <xdr:cxnSp macro="">
      <xdr:nvCxnSpPr>
        <xdr:cNvPr id="161" name="Conector angular 160"/>
        <xdr:cNvCxnSpPr/>
      </xdr:nvCxnSpPr>
      <xdr:spPr>
        <a:xfrm>
          <a:off x="62848673" y="90390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471</xdr:row>
      <xdr:rowOff>33421</xdr:rowOff>
    </xdr:from>
    <xdr:to>
      <xdr:col>87</xdr:col>
      <xdr:colOff>24423</xdr:colOff>
      <xdr:row>515</xdr:row>
      <xdr:rowOff>158750</xdr:rowOff>
    </xdr:to>
    <xdr:cxnSp macro="">
      <xdr:nvCxnSpPr>
        <xdr:cNvPr id="162" name="Conector angular 161"/>
        <xdr:cNvCxnSpPr/>
      </xdr:nvCxnSpPr>
      <xdr:spPr>
        <a:xfrm>
          <a:off x="58865169" y="90587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63" name="Conector recto de flecha 162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464</xdr:row>
      <xdr:rowOff>139390</xdr:rowOff>
    </xdr:from>
    <xdr:to>
      <xdr:col>77</xdr:col>
      <xdr:colOff>766647</xdr:colOff>
      <xdr:row>474</xdr:row>
      <xdr:rowOff>162622</xdr:rowOff>
    </xdr:to>
    <xdr:cxnSp macro="">
      <xdr:nvCxnSpPr>
        <xdr:cNvPr id="164" name="Conector recto de flecha 163"/>
        <xdr:cNvCxnSpPr/>
      </xdr:nvCxnSpPr>
      <xdr:spPr>
        <a:xfrm flipH="1" flipV="1">
          <a:off x="70883888" y="89360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462</xdr:row>
      <xdr:rowOff>148442</xdr:rowOff>
    </xdr:from>
    <xdr:to>
      <xdr:col>72</xdr:col>
      <xdr:colOff>756425</xdr:colOff>
      <xdr:row>462</xdr:row>
      <xdr:rowOff>175634</xdr:rowOff>
    </xdr:to>
    <xdr:cxnSp macro="">
      <xdr:nvCxnSpPr>
        <xdr:cNvPr id="165" name="Conector recto de flecha 164"/>
        <xdr:cNvCxnSpPr/>
      </xdr:nvCxnSpPr>
      <xdr:spPr>
        <a:xfrm flipH="1" flipV="1">
          <a:off x="59739563" y="88988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462</xdr:row>
      <xdr:rowOff>0</xdr:rowOff>
    </xdr:from>
    <xdr:to>
      <xdr:col>75</xdr:col>
      <xdr:colOff>721446</xdr:colOff>
      <xdr:row>465</xdr:row>
      <xdr:rowOff>134472</xdr:rowOff>
    </xdr:to>
    <xdr:grpSp>
      <xdr:nvGrpSpPr>
        <xdr:cNvPr id="166" name="Grupo 165"/>
        <xdr:cNvGrpSpPr/>
      </xdr:nvGrpSpPr>
      <xdr:grpSpPr>
        <a:xfrm>
          <a:off x="70593239" y="90400909"/>
          <a:ext cx="721446" cy="718961"/>
          <a:chOff x="52088676" y="6928970"/>
          <a:chExt cx="616324" cy="691030"/>
        </a:xfrm>
      </xdr:grpSpPr>
      <xdr:cxnSp macro="">
        <xdr:nvCxnSpPr>
          <xdr:cNvPr id="167" name="Conector recto 16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16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16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491</xdr:row>
      <xdr:rowOff>125605</xdr:rowOff>
    </xdr:from>
    <xdr:to>
      <xdr:col>89</xdr:col>
      <xdr:colOff>528443</xdr:colOff>
      <xdr:row>500</xdr:row>
      <xdr:rowOff>152553</xdr:rowOff>
    </xdr:to>
    <xdr:cxnSp macro="">
      <xdr:nvCxnSpPr>
        <xdr:cNvPr id="170" name="Conector recto de flecha 169"/>
        <xdr:cNvCxnSpPr/>
      </xdr:nvCxnSpPr>
      <xdr:spPr>
        <a:xfrm>
          <a:off x="92730585" y="94489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485</xdr:row>
      <xdr:rowOff>101022</xdr:rowOff>
    </xdr:from>
    <xdr:to>
      <xdr:col>86</xdr:col>
      <xdr:colOff>3857</xdr:colOff>
      <xdr:row>488</xdr:row>
      <xdr:rowOff>129886</xdr:rowOff>
    </xdr:to>
    <xdr:cxnSp macro="">
      <xdr:nvCxnSpPr>
        <xdr:cNvPr id="171" name="Conector recto de flecha 170"/>
        <xdr:cNvCxnSpPr/>
      </xdr:nvCxnSpPr>
      <xdr:spPr>
        <a:xfrm>
          <a:off x="88837654" y="93322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88</xdr:col>
      <xdr:colOff>1106581</xdr:colOff>
      <xdr:row>502</xdr:row>
      <xdr:rowOff>95250</xdr:rowOff>
    </xdr:to>
    <xdr:cxnSp macro="">
      <xdr:nvCxnSpPr>
        <xdr:cNvPr id="172" name="Conector recto de flecha 171"/>
        <xdr:cNvCxnSpPr/>
      </xdr:nvCxnSpPr>
      <xdr:spPr>
        <a:xfrm flipV="1">
          <a:off x="92697300" y="96409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73" name="Conector recto de flecha 17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88</xdr:col>
      <xdr:colOff>1134596</xdr:colOff>
      <xdr:row>500</xdr:row>
      <xdr:rowOff>112059</xdr:rowOff>
    </xdr:to>
    <xdr:cxnSp macro="">
      <xdr:nvCxnSpPr>
        <xdr:cNvPr id="174" name="Conector recto de flecha 173"/>
        <xdr:cNvCxnSpPr/>
      </xdr:nvCxnSpPr>
      <xdr:spPr>
        <a:xfrm>
          <a:off x="92725315" y="95509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75" name="Conector recto de flecha 174"/>
        <xdr:cNvCxnSpPr/>
      </xdr:nvCxnSpPr>
      <xdr:spPr>
        <a:xfrm flipV="1">
          <a:off x="92716350" y="96497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76" name="Conector recto de flecha 175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77" name="Conector recto de flecha 176"/>
        <xdr:cNvCxnSpPr/>
      </xdr:nvCxnSpPr>
      <xdr:spPr>
        <a:xfrm flipV="1">
          <a:off x="94811850" y="965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78" name="Conector recto de flecha 177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507</xdr:row>
      <xdr:rowOff>71088</xdr:rowOff>
    </xdr:from>
    <xdr:to>
      <xdr:col>86</xdr:col>
      <xdr:colOff>1393</xdr:colOff>
      <xdr:row>509</xdr:row>
      <xdr:rowOff>58079</xdr:rowOff>
    </xdr:to>
    <xdr:cxnSp macro="">
      <xdr:nvCxnSpPr>
        <xdr:cNvPr id="179" name="Conector recto de flecha 178"/>
        <xdr:cNvCxnSpPr/>
      </xdr:nvCxnSpPr>
      <xdr:spPr>
        <a:xfrm flipV="1">
          <a:off x="88633145" y="97483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493</xdr:row>
      <xdr:rowOff>10468</xdr:rowOff>
    </xdr:from>
    <xdr:to>
      <xdr:col>89</xdr:col>
      <xdr:colOff>1151860</xdr:colOff>
      <xdr:row>500</xdr:row>
      <xdr:rowOff>158414</xdr:rowOff>
    </xdr:to>
    <xdr:cxnSp macro="">
      <xdr:nvCxnSpPr>
        <xdr:cNvPr id="180" name="Conector recto de flecha 179"/>
        <xdr:cNvCxnSpPr/>
      </xdr:nvCxnSpPr>
      <xdr:spPr>
        <a:xfrm>
          <a:off x="95925124" y="947556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485</xdr:row>
      <xdr:rowOff>101022</xdr:rowOff>
    </xdr:from>
    <xdr:to>
      <xdr:col>89</xdr:col>
      <xdr:colOff>3857</xdr:colOff>
      <xdr:row>488</xdr:row>
      <xdr:rowOff>129886</xdr:rowOff>
    </xdr:to>
    <xdr:cxnSp macro="">
      <xdr:nvCxnSpPr>
        <xdr:cNvPr id="181" name="Conector recto de flecha 180"/>
        <xdr:cNvCxnSpPr/>
      </xdr:nvCxnSpPr>
      <xdr:spPr>
        <a:xfrm>
          <a:off x="93904954" y="93322197"/>
          <a:ext cx="8726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579</xdr:row>
      <xdr:rowOff>140074</xdr:rowOff>
    </xdr:from>
    <xdr:to>
      <xdr:col>88</xdr:col>
      <xdr:colOff>1106581</xdr:colOff>
      <xdr:row>580</xdr:row>
      <xdr:rowOff>95250</xdr:rowOff>
    </xdr:to>
    <xdr:cxnSp macro="">
      <xdr:nvCxnSpPr>
        <xdr:cNvPr id="182" name="Conector recto de flecha 181"/>
        <xdr:cNvCxnSpPr/>
      </xdr:nvCxnSpPr>
      <xdr:spPr>
        <a:xfrm flipV="1">
          <a:off x="92697300" y="111268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579</xdr:row>
      <xdr:rowOff>104775</xdr:rowOff>
    </xdr:from>
    <xdr:to>
      <xdr:col>90</xdr:col>
      <xdr:colOff>742950</xdr:colOff>
      <xdr:row>579</xdr:row>
      <xdr:rowOff>104775</xdr:rowOff>
    </xdr:to>
    <xdr:cxnSp macro="">
      <xdr:nvCxnSpPr>
        <xdr:cNvPr id="183" name="Conector recto de flecha 182"/>
        <xdr:cNvCxnSpPr/>
      </xdr:nvCxnSpPr>
      <xdr:spPr>
        <a:xfrm>
          <a:off x="96926400" y="111232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582</xdr:row>
      <xdr:rowOff>38100</xdr:rowOff>
    </xdr:from>
    <xdr:to>
      <xdr:col>85</xdr:col>
      <xdr:colOff>2171700</xdr:colOff>
      <xdr:row>582</xdr:row>
      <xdr:rowOff>114303</xdr:rowOff>
    </xdr:to>
    <xdr:cxnSp macro="">
      <xdr:nvCxnSpPr>
        <xdr:cNvPr id="184" name="Conector recto de flecha 183"/>
        <xdr:cNvCxnSpPr/>
      </xdr:nvCxnSpPr>
      <xdr:spPr>
        <a:xfrm>
          <a:off x="84191475" y="1117377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575</xdr:row>
      <xdr:rowOff>2802</xdr:rowOff>
    </xdr:from>
    <xdr:to>
      <xdr:col>88</xdr:col>
      <xdr:colOff>1134596</xdr:colOff>
      <xdr:row>578</xdr:row>
      <xdr:rowOff>112059</xdr:rowOff>
    </xdr:to>
    <xdr:cxnSp macro="">
      <xdr:nvCxnSpPr>
        <xdr:cNvPr id="185" name="Conector recto de flecha 184"/>
        <xdr:cNvCxnSpPr/>
      </xdr:nvCxnSpPr>
      <xdr:spPr>
        <a:xfrm>
          <a:off x="92725315" y="110368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556</xdr:row>
      <xdr:rowOff>92927</xdr:rowOff>
    </xdr:from>
    <xdr:to>
      <xdr:col>85</xdr:col>
      <xdr:colOff>2014251</xdr:colOff>
      <xdr:row>573</xdr:row>
      <xdr:rowOff>108857</xdr:rowOff>
    </xdr:to>
    <xdr:cxnSp macro="">
      <xdr:nvCxnSpPr>
        <xdr:cNvPr id="186" name="Conector recto de flecha 185"/>
        <xdr:cNvCxnSpPr/>
      </xdr:nvCxnSpPr>
      <xdr:spPr>
        <a:xfrm>
          <a:off x="76796785" y="106839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559</xdr:row>
      <xdr:rowOff>142875</xdr:rowOff>
    </xdr:from>
    <xdr:to>
      <xdr:col>76</xdr:col>
      <xdr:colOff>1587500</xdr:colOff>
      <xdr:row>560</xdr:row>
      <xdr:rowOff>15875</xdr:rowOff>
    </xdr:to>
    <xdr:cxnSp macro="">
      <xdr:nvCxnSpPr>
        <xdr:cNvPr id="187" name="Conector recto de flecha 186"/>
        <xdr:cNvCxnSpPr/>
      </xdr:nvCxnSpPr>
      <xdr:spPr>
        <a:xfrm flipV="1">
          <a:off x="70948550" y="107461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580</xdr:row>
      <xdr:rowOff>38100</xdr:rowOff>
    </xdr:from>
    <xdr:to>
      <xdr:col>89</xdr:col>
      <xdr:colOff>57150</xdr:colOff>
      <xdr:row>584</xdr:row>
      <xdr:rowOff>38100</xdr:rowOff>
    </xdr:to>
    <xdr:cxnSp macro="">
      <xdr:nvCxnSpPr>
        <xdr:cNvPr id="188" name="Conector recto de flecha 187"/>
        <xdr:cNvCxnSpPr/>
      </xdr:nvCxnSpPr>
      <xdr:spPr>
        <a:xfrm flipV="1">
          <a:off x="92716350" y="111356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581</xdr:row>
      <xdr:rowOff>152400</xdr:rowOff>
    </xdr:from>
    <xdr:to>
      <xdr:col>89</xdr:col>
      <xdr:colOff>19050</xdr:colOff>
      <xdr:row>588</xdr:row>
      <xdr:rowOff>95250</xdr:rowOff>
    </xdr:to>
    <xdr:cxnSp macro="">
      <xdr:nvCxnSpPr>
        <xdr:cNvPr id="189" name="Conector recto de flecha 188"/>
        <xdr:cNvCxnSpPr/>
      </xdr:nvCxnSpPr>
      <xdr:spPr>
        <a:xfrm flipV="1">
          <a:off x="94792800" y="111661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580</xdr:row>
      <xdr:rowOff>114300</xdr:rowOff>
    </xdr:from>
    <xdr:to>
      <xdr:col>89</xdr:col>
      <xdr:colOff>590550</xdr:colOff>
      <xdr:row>593</xdr:row>
      <xdr:rowOff>114300</xdr:rowOff>
    </xdr:to>
    <xdr:cxnSp macro="">
      <xdr:nvCxnSpPr>
        <xdr:cNvPr id="190" name="Conector recto de flecha 189"/>
        <xdr:cNvCxnSpPr/>
      </xdr:nvCxnSpPr>
      <xdr:spPr>
        <a:xfrm flipV="1">
          <a:off x="94811850" y="111432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548</xdr:row>
      <xdr:rowOff>27213</xdr:rowOff>
    </xdr:from>
    <xdr:to>
      <xdr:col>87</xdr:col>
      <xdr:colOff>27215</xdr:colOff>
      <xdr:row>594</xdr:row>
      <xdr:rowOff>81646</xdr:rowOff>
    </xdr:to>
    <xdr:cxnSp macro="">
      <xdr:nvCxnSpPr>
        <xdr:cNvPr id="191" name="Conector angular 190"/>
        <xdr:cNvCxnSpPr/>
      </xdr:nvCxnSpPr>
      <xdr:spPr>
        <a:xfrm>
          <a:off x="62848673" y="105249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549</xdr:row>
      <xdr:rowOff>33421</xdr:rowOff>
    </xdr:from>
    <xdr:to>
      <xdr:col>87</xdr:col>
      <xdr:colOff>24423</xdr:colOff>
      <xdr:row>593</xdr:row>
      <xdr:rowOff>158750</xdr:rowOff>
    </xdr:to>
    <xdr:cxnSp macro="">
      <xdr:nvCxnSpPr>
        <xdr:cNvPr id="192" name="Conector angular 191"/>
        <xdr:cNvCxnSpPr/>
      </xdr:nvCxnSpPr>
      <xdr:spPr>
        <a:xfrm>
          <a:off x="58865169" y="105446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589</xdr:row>
      <xdr:rowOff>81311</xdr:rowOff>
    </xdr:from>
    <xdr:to>
      <xdr:col>86</xdr:col>
      <xdr:colOff>1033811</xdr:colOff>
      <xdr:row>589</xdr:row>
      <xdr:rowOff>92927</xdr:rowOff>
    </xdr:to>
    <xdr:cxnSp macro="">
      <xdr:nvCxnSpPr>
        <xdr:cNvPr id="193" name="Conector recto de flecha 192"/>
        <xdr:cNvCxnSpPr/>
      </xdr:nvCxnSpPr>
      <xdr:spPr>
        <a:xfrm>
          <a:off x="89850254" y="113114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584</xdr:row>
      <xdr:rowOff>186542</xdr:rowOff>
    </xdr:from>
    <xdr:to>
      <xdr:col>86</xdr:col>
      <xdr:colOff>1393</xdr:colOff>
      <xdr:row>586</xdr:row>
      <xdr:rowOff>173533</xdr:rowOff>
    </xdr:to>
    <xdr:cxnSp macro="">
      <xdr:nvCxnSpPr>
        <xdr:cNvPr id="194" name="Conector recto de flecha 193"/>
        <xdr:cNvCxnSpPr/>
      </xdr:nvCxnSpPr>
      <xdr:spPr>
        <a:xfrm flipV="1">
          <a:off x="88633145" y="112267217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542</xdr:row>
      <xdr:rowOff>139390</xdr:rowOff>
    </xdr:from>
    <xdr:to>
      <xdr:col>77</xdr:col>
      <xdr:colOff>766647</xdr:colOff>
      <xdr:row>552</xdr:row>
      <xdr:rowOff>162622</xdr:rowOff>
    </xdr:to>
    <xdr:cxnSp macro="">
      <xdr:nvCxnSpPr>
        <xdr:cNvPr id="195" name="Conector recto de flecha 194"/>
        <xdr:cNvCxnSpPr/>
      </xdr:nvCxnSpPr>
      <xdr:spPr>
        <a:xfrm flipH="1" flipV="1">
          <a:off x="70883888" y="104219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540</xdr:row>
      <xdr:rowOff>148442</xdr:rowOff>
    </xdr:from>
    <xdr:to>
      <xdr:col>72</xdr:col>
      <xdr:colOff>756425</xdr:colOff>
      <xdr:row>540</xdr:row>
      <xdr:rowOff>175634</xdr:rowOff>
    </xdr:to>
    <xdr:cxnSp macro="">
      <xdr:nvCxnSpPr>
        <xdr:cNvPr id="196" name="Conector recto de flecha 195"/>
        <xdr:cNvCxnSpPr/>
      </xdr:nvCxnSpPr>
      <xdr:spPr>
        <a:xfrm flipH="1" flipV="1">
          <a:off x="59739563" y="103847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540</xdr:row>
      <xdr:rowOff>0</xdr:rowOff>
    </xdr:from>
    <xdr:to>
      <xdr:col>75</xdr:col>
      <xdr:colOff>721446</xdr:colOff>
      <xdr:row>543</xdr:row>
      <xdr:rowOff>134472</xdr:rowOff>
    </xdr:to>
    <xdr:grpSp>
      <xdr:nvGrpSpPr>
        <xdr:cNvPr id="197" name="Grupo 196"/>
        <xdr:cNvGrpSpPr/>
      </xdr:nvGrpSpPr>
      <xdr:grpSpPr>
        <a:xfrm>
          <a:off x="70593239" y="105597614"/>
          <a:ext cx="721446" cy="718960"/>
          <a:chOff x="52088676" y="6928970"/>
          <a:chExt cx="616324" cy="691030"/>
        </a:xfrm>
      </xdr:grpSpPr>
      <xdr:cxnSp macro="">
        <xdr:nvCxnSpPr>
          <xdr:cNvPr id="198" name="Conector recto 197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Conector recto 198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Conector recto 199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569</xdr:row>
      <xdr:rowOff>115455</xdr:rowOff>
    </xdr:from>
    <xdr:to>
      <xdr:col>89</xdr:col>
      <xdr:colOff>528443</xdr:colOff>
      <xdr:row>578</xdr:row>
      <xdr:rowOff>152553</xdr:rowOff>
    </xdr:to>
    <xdr:cxnSp macro="">
      <xdr:nvCxnSpPr>
        <xdr:cNvPr id="201" name="Conector recto de flecha 200"/>
        <xdr:cNvCxnSpPr/>
      </xdr:nvCxnSpPr>
      <xdr:spPr>
        <a:xfrm>
          <a:off x="92822568" y="109338630"/>
          <a:ext cx="2479625" cy="175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563</xdr:row>
      <xdr:rowOff>101022</xdr:rowOff>
    </xdr:from>
    <xdr:to>
      <xdr:col>86</xdr:col>
      <xdr:colOff>3857</xdr:colOff>
      <xdr:row>566</xdr:row>
      <xdr:rowOff>129886</xdr:rowOff>
    </xdr:to>
    <xdr:cxnSp macro="">
      <xdr:nvCxnSpPr>
        <xdr:cNvPr id="202" name="Conector recto de flecha 201"/>
        <xdr:cNvCxnSpPr/>
      </xdr:nvCxnSpPr>
      <xdr:spPr>
        <a:xfrm>
          <a:off x="88837654" y="108181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70036</xdr:colOff>
      <xdr:row>359</xdr:row>
      <xdr:rowOff>84044</xdr:rowOff>
    </xdr:from>
    <xdr:to>
      <xdr:col>59</xdr:col>
      <xdr:colOff>1190624</xdr:colOff>
      <xdr:row>363</xdr:row>
      <xdr:rowOff>140074</xdr:rowOff>
    </xdr:to>
    <xdr:cxnSp macro="">
      <xdr:nvCxnSpPr>
        <xdr:cNvPr id="205" name="Conector recto de flecha 204"/>
        <xdr:cNvCxnSpPr/>
      </xdr:nvCxnSpPr>
      <xdr:spPr>
        <a:xfrm>
          <a:off x="48390361" y="69302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40342</xdr:colOff>
      <xdr:row>354</xdr:row>
      <xdr:rowOff>28015</xdr:rowOff>
    </xdr:from>
    <xdr:to>
      <xdr:col>50</xdr:col>
      <xdr:colOff>994522</xdr:colOff>
      <xdr:row>355</xdr:row>
      <xdr:rowOff>110378</xdr:rowOff>
    </xdr:to>
    <xdr:cxnSp macro="">
      <xdr:nvCxnSpPr>
        <xdr:cNvPr id="206" name="Conector recto de flecha 205"/>
        <xdr:cNvCxnSpPr/>
      </xdr:nvCxnSpPr>
      <xdr:spPr>
        <a:xfrm flipV="1">
          <a:off x="40197742" y="6814129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136045</xdr:colOff>
      <xdr:row>359</xdr:row>
      <xdr:rowOff>26096</xdr:rowOff>
    </xdr:from>
    <xdr:to>
      <xdr:col>57</xdr:col>
      <xdr:colOff>1239555</xdr:colOff>
      <xdr:row>361</xdr:row>
      <xdr:rowOff>18421</xdr:rowOff>
    </xdr:to>
    <xdr:cxnSp macro="">
      <xdr:nvCxnSpPr>
        <xdr:cNvPr id="207" name="Conector recto de flecha 206"/>
        <xdr:cNvCxnSpPr/>
      </xdr:nvCxnSpPr>
      <xdr:spPr>
        <a:xfrm flipV="1">
          <a:off x="46179895" y="69244271"/>
          <a:ext cx="8939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116158</xdr:colOff>
      <xdr:row>353</xdr:row>
      <xdr:rowOff>162622</xdr:rowOff>
    </xdr:from>
    <xdr:to>
      <xdr:col>54</xdr:col>
      <xdr:colOff>1208969</xdr:colOff>
      <xdr:row>360</xdr:row>
      <xdr:rowOff>143657</xdr:rowOff>
    </xdr:to>
    <xdr:cxnSp macro="">
      <xdr:nvCxnSpPr>
        <xdr:cNvPr id="208" name="Conector recto de flecha 207"/>
        <xdr:cNvCxnSpPr/>
      </xdr:nvCxnSpPr>
      <xdr:spPr>
        <a:xfrm>
          <a:off x="42350008" y="68085397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40342</xdr:colOff>
      <xdr:row>336</xdr:row>
      <xdr:rowOff>86591</xdr:rowOff>
    </xdr:from>
    <xdr:to>
      <xdr:col>41</xdr:col>
      <xdr:colOff>1515341</xdr:colOff>
      <xdr:row>337</xdr:row>
      <xdr:rowOff>110379</xdr:rowOff>
    </xdr:to>
    <xdr:cxnSp macro="">
      <xdr:nvCxnSpPr>
        <xdr:cNvPr id="214" name="Conector recto de flecha 213"/>
        <xdr:cNvCxnSpPr/>
      </xdr:nvCxnSpPr>
      <xdr:spPr>
        <a:xfrm flipV="1">
          <a:off x="32387242" y="64761341"/>
          <a:ext cx="722524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70036</xdr:colOff>
      <xdr:row>336</xdr:row>
      <xdr:rowOff>84044</xdr:rowOff>
    </xdr:from>
    <xdr:to>
      <xdr:col>38</xdr:col>
      <xdr:colOff>1190624</xdr:colOff>
      <xdr:row>340</xdr:row>
      <xdr:rowOff>140074</xdr:rowOff>
    </xdr:to>
    <xdr:cxnSp macro="">
      <xdr:nvCxnSpPr>
        <xdr:cNvPr id="215" name="Conector recto de flecha 214"/>
        <xdr:cNvCxnSpPr/>
      </xdr:nvCxnSpPr>
      <xdr:spPr>
        <a:xfrm>
          <a:off x="30130936" y="64758794"/>
          <a:ext cx="691963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40342</xdr:colOff>
      <xdr:row>331</xdr:row>
      <xdr:rowOff>28015</xdr:rowOff>
    </xdr:from>
    <xdr:to>
      <xdr:col>29</xdr:col>
      <xdr:colOff>994522</xdr:colOff>
      <xdr:row>332</xdr:row>
      <xdr:rowOff>110378</xdr:rowOff>
    </xdr:to>
    <xdr:cxnSp macro="">
      <xdr:nvCxnSpPr>
        <xdr:cNvPr id="216" name="Conector recto de flecha 215"/>
        <xdr:cNvCxnSpPr/>
      </xdr:nvCxnSpPr>
      <xdr:spPr>
        <a:xfrm flipV="1">
          <a:off x="22138342" y="63597865"/>
          <a:ext cx="725580" cy="32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136045</xdr:colOff>
      <xdr:row>336</xdr:row>
      <xdr:rowOff>26096</xdr:rowOff>
    </xdr:from>
    <xdr:to>
      <xdr:col>36</xdr:col>
      <xdr:colOff>1239555</xdr:colOff>
      <xdr:row>338</xdr:row>
      <xdr:rowOff>18421</xdr:rowOff>
    </xdr:to>
    <xdr:cxnSp macro="">
      <xdr:nvCxnSpPr>
        <xdr:cNvPr id="217" name="Conector recto de flecha 216"/>
        <xdr:cNvCxnSpPr/>
      </xdr:nvCxnSpPr>
      <xdr:spPr>
        <a:xfrm flipV="1">
          <a:off x="28244320" y="64700846"/>
          <a:ext cx="6272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116158</xdr:colOff>
      <xdr:row>330</xdr:row>
      <xdr:rowOff>162622</xdr:rowOff>
    </xdr:from>
    <xdr:to>
      <xdr:col>33</xdr:col>
      <xdr:colOff>1208969</xdr:colOff>
      <xdr:row>337</xdr:row>
      <xdr:rowOff>143657</xdr:rowOff>
    </xdr:to>
    <xdr:cxnSp macro="">
      <xdr:nvCxnSpPr>
        <xdr:cNvPr id="218" name="Conector recto de flecha 217"/>
        <xdr:cNvCxnSpPr/>
      </xdr:nvCxnSpPr>
      <xdr:spPr>
        <a:xfrm>
          <a:off x="24414433" y="63541972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34847</xdr:colOff>
      <xdr:row>331</xdr:row>
      <xdr:rowOff>34847</xdr:rowOff>
    </xdr:from>
    <xdr:to>
      <xdr:col>42</xdr:col>
      <xdr:colOff>1</xdr:colOff>
      <xdr:row>331</xdr:row>
      <xdr:rowOff>35406</xdr:rowOff>
    </xdr:to>
    <xdr:cxnSp macro="">
      <xdr:nvCxnSpPr>
        <xdr:cNvPr id="219" name="Conector recto de flecha 218"/>
        <xdr:cNvCxnSpPr/>
      </xdr:nvCxnSpPr>
      <xdr:spPr>
        <a:xfrm flipH="1" flipV="1">
          <a:off x="32381747" y="63604697"/>
          <a:ext cx="72715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48846</xdr:colOff>
      <xdr:row>330</xdr:row>
      <xdr:rowOff>122116</xdr:rowOff>
    </xdr:from>
    <xdr:to>
      <xdr:col>61</xdr:col>
      <xdr:colOff>4090</xdr:colOff>
      <xdr:row>334</xdr:row>
      <xdr:rowOff>80543</xdr:rowOff>
    </xdr:to>
    <xdr:cxnSp macro="">
      <xdr:nvCxnSpPr>
        <xdr:cNvPr id="220" name="Conector recto de flecha 219"/>
        <xdr:cNvCxnSpPr/>
      </xdr:nvCxnSpPr>
      <xdr:spPr>
        <a:xfrm>
          <a:off x="49845546" y="63501466"/>
          <a:ext cx="1555444" cy="825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266700</xdr:colOff>
      <xdr:row>329</xdr:row>
      <xdr:rowOff>114300</xdr:rowOff>
    </xdr:from>
    <xdr:to>
      <xdr:col>55</xdr:col>
      <xdr:colOff>42190</xdr:colOff>
      <xdr:row>331</xdr:row>
      <xdr:rowOff>175793</xdr:rowOff>
    </xdr:to>
    <xdr:cxnSp macro="">
      <xdr:nvCxnSpPr>
        <xdr:cNvPr id="222" name="Conector recto de flecha 221"/>
        <xdr:cNvCxnSpPr/>
      </xdr:nvCxnSpPr>
      <xdr:spPr>
        <a:xfrm>
          <a:off x="42500550" y="63303150"/>
          <a:ext cx="2061490" cy="442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330</xdr:row>
      <xdr:rowOff>26097</xdr:rowOff>
    </xdr:from>
    <xdr:to>
      <xdr:col>58</xdr:col>
      <xdr:colOff>1001430</xdr:colOff>
      <xdr:row>331</xdr:row>
      <xdr:rowOff>209550</xdr:rowOff>
    </xdr:to>
    <xdr:cxnSp macro="">
      <xdr:nvCxnSpPr>
        <xdr:cNvPr id="223" name="Conector recto de flecha 222"/>
        <xdr:cNvCxnSpPr/>
      </xdr:nvCxnSpPr>
      <xdr:spPr>
        <a:xfrm flipV="1">
          <a:off x="47110650" y="63405447"/>
          <a:ext cx="963330" cy="373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723900</xdr:colOff>
      <xdr:row>328</xdr:row>
      <xdr:rowOff>76200</xdr:rowOff>
    </xdr:from>
    <xdr:to>
      <xdr:col>50</xdr:col>
      <xdr:colOff>431601</xdr:colOff>
      <xdr:row>329</xdr:row>
      <xdr:rowOff>74414</xdr:rowOff>
    </xdr:to>
    <xdr:cxnSp macro="">
      <xdr:nvCxnSpPr>
        <xdr:cNvPr id="224" name="Conector recto de flecha 223"/>
        <xdr:cNvCxnSpPr/>
      </xdr:nvCxnSpPr>
      <xdr:spPr>
        <a:xfrm>
          <a:off x="38595300" y="63074550"/>
          <a:ext cx="1993701" cy="18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786848</xdr:colOff>
      <xdr:row>77</xdr:row>
      <xdr:rowOff>165652</xdr:rowOff>
    </xdr:from>
    <xdr:to>
      <xdr:col>70</xdr:col>
      <xdr:colOff>745435</xdr:colOff>
      <xdr:row>313</xdr:row>
      <xdr:rowOff>124243</xdr:rowOff>
    </xdr:to>
    <xdr:cxnSp macro="">
      <xdr:nvCxnSpPr>
        <xdr:cNvPr id="230" name="Conector angular 229"/>
        <xdr:cNvCxnSpPr/>
      </xdr:nvCxnSpPr>
      <xdr:spPr>
        <a:xfrm rot="5400000" flipH="1" flipV="1">
          <a:off x="30000021" y="26988054"/>
          <a:ext cx="44973741" cy="21561287"/>
        </a:xfrm>
        <a:prstGeom prst="bentConnector3">
          <a:avLst>
            <a:gd name="adj1" fmla="val 960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1247640</xdr:colOff>
      <xdr:row>329</xdr:row>
      <xdr:rowOff>178594</xdr:rowOff>
    </xdr:from>
    <xdr:to>
      <xdr:col>45</xdr:col>
      <xdr:colOff>625078</xdr:colOff>
      <xdr:row>334</xdr:row>
      <xdr:rowOff>228064</xdr:rowOff>
    </xdr:to>
    <xdr:cxnSp macro="">
      <xdr:nvCxnSpPr>
        <xdr:cNvPr id="231" name="Conector recto de flecha 230"/>
        <xdr:cNvCxnSpPr/>
      </xdr:nvCxnSpPr>
      <xdr:spPr>
        <a:xfrm flipV="1">
          <a:off x="34356540" y="63367444"/>
          <a:ext cx="2615938" cy="1106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1251323</xdr:colOff>
      <xdr:row>30</xdr:row>
      <xdr:rowOff>130735</xdr:rowOff>
    </xdr:from>
    <xdr:to>
      <xdr:col>80</xdr:col>
      <xdr:colOff>1270000</xdr:colOff>
      <xdr:row>35</xdr:row>
      <xdr:rowOff>130736</xdr:rowOff>
    </xdr:to>
    <xdr:cxnSp macro="">
      <xdr:nvCxnSpPr>
        <xdr:cNvPr id="232" name="Conector recto de flecha 231"/>
        <xdr:cNvCxnSpPr/>
      </xdr:nvCxnSpPr>
      <xdr:spPr>
        <a:xfrm flipH="1" flipV="1">
          <a:off x="81956648" y="61505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20</xdr:row>
      <xdr:rowOff>171450</xdr:rowOff>
    </xdr:from>
    <xdr:to>
      <xdr:col>80</xdr:col>
      <xdr:colOff>19050</xdr:colOff>
      <xdr:row>25</xdr:row>
      <xdr:rowOff>95250</xdr:rowOff>
    </xdr:to>
    <xdr:cxnSp macro="">
      <xdr:nvCxnSpPr>
        <xdr:cNvPr id="233" name="Conector recto de flecha 232"/>
        <xdr:cNvCxnSpPr/>
      </xdr:nvCxnSpPr>
      <xdr:spPr>
        <a:xfrm flipV="1">
          <a:off x="80705325" y="427672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1251323</xdr:colOff>
      <xdr:row>23</xdr:row>
      <xdr:rowOff>130735</xdr:rowOff>
    </xdr:from>
    <xdr:to>
      <xdr:col>75</xdr:col>
      <xdr:colOff>1270000</xdr:colOff>
      <xdr:row>28</xdr:row>
      <xdr:rowOff>130736</xdr:rowOff>
    </xdr:to>
    <xdr:cxnSp macro="">
      <xdr:nvCxnSpPr>
        <xdr:cNvPr id="234" name="Conector recto de flecha 233"/>
        <xdr:cNvCxnSpPr/>
      </xdr:nvCxnSpPr>
      <xdr:spPr>
        <a:xfrm flipH="1" flipV="1">
          <a:off x="72088748" y="48170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13</xdr:row>
      <xdr:rowOff>171450</xdr:rowOff>
    </xdr:from>
    <xdr:to>
      <xdr:col>75</xdr:col>
      <xdr:colOff>19050</xdr:colOff>
      <xdr:row>18</xdr:row>
      <xdr:rowOff>95250</xdr:rowOff>
    </xdr:to>
    <xdr:cxnSp macro="">
      <xdr:nvCxnSpPr>
        <xdr:cNvPr id="235" name="Conector recto de flecha 234"/>
        <xdr:cNvCxnSpPr/>
      </xdr:nvCxnSpPr>
      <xdr:spPr>
        <a:xfrm flipV="1">
          <a:off x="70837425" y="2657475"/>
          <a:ext cx="190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85</xdr:row>
      <xdr:rowOff>171450</xdr:rowOff>
    </xdr:from>
    <xdr:to>
      <xdr:col>81</xdr:col>
      <xdr:colOff>19050</xdr:colOff>
      <xdr:row>90</xdr:row>
      <xdr:rowOff>95250</xdr:rowOff>
    </xdr:to>
    <xdr:cxnSp macro="">
      <xdr:nvCxnSpPr>
        <xdr:cNvPr id="236" name="Conector recto de flecha 235"/>
        <xdr:cNvCxnSpPr/>
      </xdr:nvCxnSpPr>
      <xdr:spPr>
        <a:xfrm flipV="1">
          <a:off x="83067525" y="1683067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1210541</xdr:colOff>
      <xdr:row>95</xdr:row>
      <xdr:rowOff>20782</xdr:rowOff>
    </xdr:from>
    <xdr:to>
      <xdr:col>80</xdr:col>
      <xdr:colOff>1212272</xdr:colOff>
      <xdr:row>96</xdr:row>
      <xdr:rowOff>129887</xdr:rowOff>
    </xdr:to>
    <xdr:cxnSp macro="">
      <xdr:nvCxnSpPr>
        <xdr:cNvPr id="237" name="Conector recto de flecha 236"/>
        <xdr:cNvCxnSpPr/>
      </xdr:nvCxnSpPr>
      <xdr:spPr>
        <a:xfrm flipH="1" flipV="1">
          <a:off x="81915866" y="18594532"/>
          <a:ext cx="1731" cy="29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1027206</xdr:colOff>
      <xdr:row>325</xdr:row>
      <xdr:rowOff>37353</xdr:rowOff>
    </xdr:from>
    <xdr:to>
      <xdr:col>71</xdr:col>
      <xdr:colOff>1064559</xdr:colOff>
      <xdr:row>331</xdr:row>
      <xdr:rowOff>186764</xdr:rowOff>
    </xdr:to>
    <xdr:cxnSp macro="">
      <xdr:nvCxnSpPr>
        <xdr:cNvPr id="238" name="Conector recto de flecha 237"/>
        <xdr:cNvCxnSpPr/>
      </xdr:nvCxnSpPr>
      <xdr:spPr>
        <a:xfrm flipH="1" flipV="1">
          <a:off x="64978056" y="62454678"/>
          <a:ext cx="37353" cy="1301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701</xdr:row>
      <xdr:rowOff>140074</xdr:rowOff>
    </xdr:from>
    <xdr:to>
      <xdr:col>87</xdr:col>
      <xdr:colOff>1106581</xdr:colOff>
      <xdr:row>702</xdr:row>
      <xdr:rowOff>95250</xdr:rowOff>
    </xdr:to>
    <xdr:cxnSp macro="">
      <xdr:nvCxnSpPr>
        <xdr:cNvPr id="239" name="Conector recto de flecha 238"/>
        <xdr:cNvCxnSpPr/>
      </xdr:nvCxnSpPr>
      <xdr:spPr>
        <a:xfrm flipV="1">
          <a:off x="91106625" y="134509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701</xdr:row>
      <xdr:rowOff>114300</xdr:rowOff>
    </xdr:from>
    <xdr:to>
      <xdr:col>89</xdr:col>
      <xdr:colOff>2095500</xdr:colOff>
      <xdr:row>701</xdr:row>
      <xdr:rowOff>123825</xdr:rowOff>
    </xdr:to>
    <xdr:cxnSp macro="">
      <xdr:nvCxnSpPr>
        <xdr:cNvPr id="240" name="Conector recto de flecha 239"/>
        <xdr:cNvCxnSpPr/>
      </xdr:nvCxnSpPr>
      <xdr:spPr>
        <a:xfrm flipV="1">
          <a:off x="95040450" y="134483475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600490</xdr:colOff>
      <xdr:row>705</xdr:row>
      <xdr:rowOff>19051</xdr:rowOff>
    </xdr:from>
    <xdr:to>
      <xdr:col>85</xdr:col>
      <xdr:colOff>19050</xdr:colOff>
      <xdr:row>711</xdr:row>
      <xdr:rowOff>144946</xdr:rowOff>
    </xdr:to>
    <xdr:cxnSp macro="">
      <xdr:nvCxnSpPr>
        <xdr:cNvPr id="241" name="Conector recto de flecha 240"/>
        <xdr:cNvCxnSpPr/>
      </xdr:nvCxnSpPr>
      <xdr:spPr>
        <a:xfrm flipV="1">
          <a:off x="81542283" y="132023127"/>
          <a:ext cx="6355245" cy="1244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47065</xdr:colOff>
      <xdr:row>697</xdr:row>
      <xdr:rowOff>2802</xdr:rowOff>
    </xdr:from>
    <xdr:to>
      <xdr:col>87</xdr:col>
      <xdr:colOff>1134596</xdr:colOff>
      <xdr:row>700</xdr:row>
      <xdr:rowOff>112059</xdr:rowOff>
    </xdr:to>
    <xdr:cxnSp macro="">
      <xdr:nvCxnSpPr>
        <xdr:cNvPr id="242" name="Conector recto de flecha 241"/>
        <xdr:cNvCxnSpPr/>
      </xdr:nvCxnSpPr>
      <xdr:spPr>
        <a:xfrm>
          <a:off x="91134640" y="133609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92927</xdr:colOff>
      <xdr:row>678</xdr:row>
      <xdr:rowOff>92927</xdr:rowOff>
    </xdr:from>
    <xdr:to>
      <xdr:col>84</xdr:col>
      <xdr:colOff>1336116</xdr:colOff>
      <xdr:row>694</xdr:row>
      <xdr:rowOff>161367</xdr:rowOff>
    </xdr:to>
    <xdr:cxnSp macro="">
      <xdr:nvCxnSpPr>
        <xdr:cNvPr id="245" name="Conector recto de flecha 244"/>
        <xdr:cNvCxnSpPr/>
      </xdr:nvCxnSpPr>
      <xdr:spPr>
        <a:xfrm>
          <a:off x="74492702" y="130080602"/>
          <a:ext cx="13120864" cy="3116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111125</xdr:colOff>
      <xdr:row>681</xdr:row>
      <xdr:rowOff>142875</xdr:rowOff>
    </xdr:from>
    <xdr:to>
      <xdr:col>75</xdr:col>
      <xdr:colOff>1587500</xdr:colOff>
      <xdr:row>682</xdr:row>
      <xdr:rowOff>15875</xdr:rowOff>
    </xdr:to>
    <xdr:cxnSp macro="">
      <xdr:nvCxnSpPr>
        <xdr:cNvPr id="246" name="Conector recto de flecha 245"/>
        <xdr:cNvCxnSpPr/>
      </xdr:nvCxnSpPr>
      <xdr:spPr>
        <a:xfrm flipV="1">
          <a:off x="69224525" y="130702050"/>
          <a:ext cx="32004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702</xdr:row>
      <xdr:rowOff>38100</xdr:rowOff>
    </xdr:from>
    <xdr:to>
      <xdr:col>88</xdr:col>
      <xdr:colOff>57150</xdr:colOff>
      <xdr:row>706</xdr:row>
      <xdr:rowOff>38100</xdr:rowOff>
    </xdr:to>
    <xdr:cxnSp macro="">
      <xdr:nvCxnSpPr>
        <xdr:cNvPr id="247" name="Conector recto de flecha 246"/>
        <xdr:cNvCxnSpPr/>
      </xdr:nvCxnSpPr>
      <xdr:spPr>
        <a:xfrm flipV="1">
          <a:off x="91125675" y="134597775"/>
          <a:ext cx="16097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703</xdr:row>
      <xdr:rowOff>152400</xdr:rowOff>
    </xdr:from>
    <xdr:to>
      <xdr:col>88</xdr:col>
      <xdr:colOff>19050</xdr:colOff>
      <xdr:row>710</xdr:row>
      <xdr:rowOff>95250</xdr:rowOff>
    </xdr:to>
    <xdr:cxnSp macro="">
      <xdr:nvCxnSpPr>
        <xdr:cNvPr id="248" name="Conector recto de flecha 247"/>
        <xdr:cNvCxnSpPr/>
      </xdr:nvCxnSpPr>
      <xdr:spPr>
        <a:xfrm flipV="1">
          <a:off x="92697300" y="1349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702</xdr:row>
      <xdr:rowOff>114300</xdr:rowOff>
    </xdr:from>
    <xdr:to>
      <xdr:col>88</xdr:col>
      <xdr:colOff>590550</xdr:colOff>
      <xdr:row>715</xdr:row>
      <xdr:rowOff>114300</xdr:rowOff>
    </xdr:to>
    <xdr:cxnSp macro="">
      <xdr:nvCxnSpPr>
        <xdr:cNvPr id="249" name="Conector recto de flecha 248"/>
        <xdr:cNvCxnSpPr/>
      </xdr:nvCxnSpPr>
      <xdr:spPr>
        <a:xfrm flipV="1">
          <a:off x="92716350" y="1346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326573</xdr:colOff>
      <xdr:row>670</xdr:row>
      <xdr:rowOff>27213</xdr:rowOff>
    </xdr:from>
    <xdr:to>
      <xdr:col>86</xdr:col>
      <xdr:colOff>27215</xdr:colOff>
      <xdr:row>716</xdr:row>
      <xdr:rowOff>81646</xdr:rowOff>
    </xdr:to>
    <xdr:cxnSp macro="">
      <xdr:nvCxnSpPr>
        <xdr:cNvPr id="250" name="Conector angular 249"/>
        <xdr:cNvCxnSpPr/>
      </xdr:nvCxnSpPr>
      <xdr:spPr>
        <a:xfrm>
          <a:off x="62086673" y="128490888"/>
          <a:ext cx="277327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136634</xdr:colOff>
      <xdr:row>671</xdr:row>
      <xdr:rowOff>108127</xdr:rowOff>
    </xdr:from>
    <xdr:to>
      <xdr:col>85</xdr:col>
      <xdr:colOff>958247</xdr:colOff>
      <xdr:row>716</xdr:row>
      <xdr:rowOff>46691</xdr:rowOff>
    </xdr:to>
    <xdr:cxnSp macro="">
      <xdr:nvCxnSpPr>
        <xdr:cNvPr id="251" name="Conector angular 250"/>
        <xdr:cNvCxnSpPr/>
      </xdr:nvCxnSpPr>
      <xdr:spPr>
        <a:xfrm>
          <a:off x="57372359" y="128762302"/>
          <a:ext cx="31196838" cy="8511064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711</xdr:row>
      <xdr:rowOff>81311</xdr:rowOff>
    </xdr:from>
    <xdr:to>
      <xdr:col>85</xdr:col>
      <xdr:colOff>1033811</xdr:colOff>
      <xdr:row>711</xdr:row>
      <xdr:rowOff>92927</xdr:rowOff>
    </xdr:to>
    <xdr:cxnSp macro="">
      <xdr:nvCxnSpPr>
        <xdr:cNvPr id="252" name="Conector recto de flecha 251"/>
        <xdr:cNvCxnSpPr/>
      </xdr:nvCxnSpPr>
      <xdr:spPr>
        <a:xfrm>
          <a:off x="87669029" y="1363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1022195</xdr:colOff>
      <xdr:row>707</xdr:row>
      <xdr:rowOff>71088</xdr:rowOff>
    </xdr:from>
    <xdr:to>
      <xdr:col>85</xdr:col>
      <xdr:colOff>1393</xdr:colOff>
      <xdr:row>709</xdr:row>
      <xdr:rowOff>58079</xdr:rowOff>
    </xdr:to>
    <xdr:cxnSp macro="">
      <xdr:nvCxnSpPr>
        <xdr:cNvPr id="253" name="Conector recto de flecha 252"/>
        <xdr:cNvCxnSpPr/>
      </xdr:nvCxnSpPr>
      <xdr:spPr>
        <a:xfrm flipV="1">
          <a:off x="87566345" y="135583263"/>
          <a:ext cx="45998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46463</xdr:colOff>
      <xdr:row>664</xdr:row>
      <xdr:rowOff>139390</xdr:rowOff>
    </xdr:from>
    <xdr:to>
      <xdr:col>76</xdr:col>
      <xdr:colOff>766647</xdr:colOff>
      <xdr:row>674</xdr:row>
      <xdr:rowOff>162622</xdr:rowOff>
    </xdr:to>
    <xdr:cxnSp macro="">
      <xdr:nvCxnSpPr>
        <xdr:cNvPr id="254" name="Conector recto de flecha 253"/>
        <xdr:cNvCxnSpPr/>
      </xdr:nvCxnSpPr>
      <xdr:spPr>
        <a:xfrm flipH="1" flipV="1">
          <a:off x="69159863" y="127460065"/>
          <a:ext cx="4634959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136074</xdr:colOff>
      <xdr:row>660</xdr:row>
      <xdr:rowOff>136073</xdr:rowOff>
    </xdr:from>
    <xdr:to>
      <xdr:col>71</xdr:col>
      <xdr:colOff>1814286</xdr:colOff>
      <xdr:row>663</xdr:row>
      <xdr:rowOff>90714</xdr:rowOff>
    </xdr:to>
    <xdr:cxnSp macro="">
      <xdr:nvCxnSpPr>
        <xdr:cNvPr id="255" name="Conector recto de flecha 254"/>
        <xdr:cNvCxnSpPr/>
      </xdr:nvCxnSpPr>
      <xdr:spPr>
        <a:xfrm flipH="1" flipV="1">
          <a:off x="58733874" y="126694748"/>
          <a:ext cx="7031262" cy="526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662</xdr:row>
      <xdr:rowOff>0</xdr:rowOff>
    </xdr:from>
    <xdr:to>
      <xdr:col>74</xdr:col>
      <xdr:colOff>721446</xdr:colOff>
      <xdr:row>665</xdr:row>
      <xdr:rowOff>134472</xdr:rowOff>
    </xdr:to>
    <xdr:grpSp>
      <xdr:nvGrpSpPr>
        <xdr:cNvPr id="256" name="Grupo 255"/>
        <xdr:cNvGrpSpPr/>
      </xdr:nvGrpSpPr>
      <xdr:grpSpPr>
        <a:xfrm>
          <a:off x="68861420" y="129366818"/>
          <a:ext cx="721446" cy="718961"/>
          <a:chOff x="52088676" y="6928970"/>
          <a:chExt cx="616324" cy="691030"/>
        </a:xfrm>
      </xdr:grpSpPr>
      <xdr:cxnSp macro="">
        <xdr:nvCxnSpPr>
          <xdr:cNvPr id="257" name="Conector recto 25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Conector recto 25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Conector recto 25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87</xdr:col>
      <xdr:colOff>1226704</xdr:colOff>
      <xdr:row>684</xdr:row>
      <xdr:rowOff>101022</xdr:rowOff>
    </xdr:from>
    <xdr:to>
      <xdr:col>88</xdr:col>
      <xdr:colOff>3857</xdr:colOff>
      <xdr:row>687</xdr:row>
      <xdr:rowOff>129886</xdr:rowOff>
    </xdr:to>
    <xdr:cxnSp macro="">
      <xdr:nvCxnSpPr>
        <xdr:cNvPr id="260" name="Conector recto de flecha 259"/>
        <xdr:cNvCxnSpPr/>
      </xdr:nvCxnSpPr>
      <xdr:spPr>
        <a:xfrm>
          <a:off x="92314279" y="131231697"/>
          <a:ext cx="36782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607579</xdr:colOff>
      <xdr:row>485</xdr:row>
      <xdr:rowOff>12122</xdr:rowOff>
    </xdr:from>
    <xdr:to>
      <xdr:col>89</xdr:col>
      <xdr:colOff>222932</xdr:colOff>
      <xdr:row>488</xdr:row>
      <xdr:rowOff>40986</xdr:rowOff>
    </xdr:to>
    <xdr:cxnSp macro="">
      <xdr:nvCxnSpPr>
        <xdr:cNvPr id="261" name="Conector recto de flecha 260"/>
        <xdr:cNvCxnSpPr/>
      </xdr:nvCxnSpPr>
      <xdr:spPr>
        <a:xfrm>
          <a:off x="93285829" y="93233297"/>
          <a:ext cx="17108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438150</xdr:colOff>
      <xdr:row>692</xdr:row>
      <xdr:rowOff>114300</xdr:rowOff>
    </xdr:from>
    <xdr:to>
      <xdr:col>88</xdr:col>
      <xdr:colOff>476250</xdr:colOff>
      <xdr:row>699</xdr:row>
      <xdr:rowOff>0</xdr:rowOff>
    </xdr:to>
    <xdr:cxnSp macro="">
      <xdr:nvCxnSpPr>
        <xdr:cNvPr id="262" name="Conector recto de flecha 261"/>
        <xdr:cNvCxnSpPr/>
      </xdr:nvCxnSpPr>
      <xdr:spPr>
        <a:xfrm flipH="1">
          <a:off x="93116400" y="132768975"/>
          <a:ext cx="381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776</xdr:row>
      <xdr:rowOff>114300</xdr:rowOff>
    </xdr:from>
    <xdr:to>
      <xdr:col>87</xdr:col>
      <xdr:colOff>1466850</xdr:colOff>
      <xdr:row>777</xdr:row>
      <xdr:rowOff>95250</xdr:rowOff>
    </xdr:to>
    <xdr:cxnSp macro="">
      <xdr:nvCxnSpPr>
        <xdr:cNvPr id="263" name="Conector recto de flecha 262"/>
        <xdr:cNvCxnSpPr/>
      </xdr:nvCxnSpPr>
      <xdr:spPr>
        <a:xfrm flipV="1">
          <a:off x="91106625" y="148770975"/>
          <a:ext cx="14478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780</xdr:row>
      <xdr:rowOff>19050</xdr:rowOff>
    </xdr:from>
    <xdr:to>
      <xdr:col>85</xdr:col>
      <xdr:colOff>19050</xdr:colOff>
      <xdr:row>783</xdr:row>
      <xdr:rowOff>168089</xdr:rowOff>
    </xdr:to>
    <xdr:cxnSp macro="">
      <xdr:nvCxnSpPr>
        <xdr:cNvPr id="265" name="Conector recto de flecha 264"/>
        <xdr:cNvCxnSpPr/>
      </xdr:nvCxnSpPr>
      <xdr:spPr>
        <a:xfrm flipV="1">
          <a:off x="84180269" y="14943772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785</xdr:row>
      <xdr:rowOff>86591</xdr:rowOff>
    </xdr:from>
    <xdr:to>
      <xdr:col>80</xdr:col>
      <xdr:colOff>1545106</xdr:colOff>
      <xdr:row>786</xdr:row>
      <xdr:rowOff>110379</xdr:rowOff>
    </xdr:to>
    <xdr:cxnSp macro="">
      <xdr:nvCxnSpPr>
        <xdr:cNvPr id="266" name="Conector recto de flecha 265"/>
        <xdr:cNvCxnSpPr/>
      </xdr:nvCxnSpPr>
      <xdr:spPr>
        <a:xfrm flipV="1">
          <a:off x="80775432" y="150457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785</xdr:row>
      <xdr:rowOff>84044</xdr:rowOff>
    </xdr:from>
    <xdr:to>
      <xdr:col>77</xdr:col>
      <xdr:colOff>1190624</xdr:colOff>
      <xdr:row>789</xdr:row>
      <xdr:rowOff>140074</xdr:rowOff>
    </xdr:to>
    <xdr:cxnSp macro="">
      <xdr:nvCxnSpPr>
        <xdr:cNvPr id="267" name="Conector recto de flecha 266"/>
        <xdr:cNvCxnSpPr/>
      </xdr:nvCxnSpPr>
      <xdr:spPr>
        <a:xfrm>
          <a:off x="74469811" y="150455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778</xdr:row>
      <xdr:rowOff>152400</xdr:rowOff>
    </xdr:from>
    <xdr:to>
      <xdr:col>88</xdr:col>
      <xdr:colOff>19050</xdr:colOff>
      <xdr:row>785</xdr:row>
      <xdr:rowOff>95250</xdr:rowOff>
    </xdr:to>
    <xdr:cxnSp macro="">
      <xdr:nvCxnSpPr>
        <xdr:cNvPr id="268" name="Conector recto de flecha 267"/>
        <xdr:cNvCxnSpPr/>
      </xdr:nvCxnSpPr>
      <xdr:spPr>
        <a:xfrm flipV="1">
          <a:off x="92697300" y="1491900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782</xdr:row>
      <xdr:rowOff>95250</xdr:rowOff>
    </xdr:from>
    <xdr:to>
      <xdr:col>88</xdr:col>
      <xdr:colOff>762000</xdr:colOff>
      <xdr:row>790</xdr:row>
      <xdr:rowOff>114300</xdr:rowOff>
    </xdr:to>
    <xdr:cxnSp macro="">
      <xdr:nvCxnSpPr>
        <xdr:cNvPr id="269" name="Conector recto de flecha 268"/>
        <xdr:cNvCxnSpPr/>
      </xdr:nvCxnSpPr>
      <xdr:spPr>
        <a:xfrm flipV="1">
          <a:off x="92716350" y="149894925"/>
          <a:ext cx="72390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786</xdr:row>
      <xdr:rowOff>76200</xdr:rowOff>
    </xdr:from>
    <xdr:to>
      <xdr:col>85</xdr:col>
      <xdr:colOff>2076450</xdr:colOff>
      <xdr:row>786</xdr:row>
      <xdr:rowOff>81311</xdr:rowOff>
    </xdr:to>
    <xdr:cxnSp macro="">
      <xdr:nvCxnSpPr>
        <xdr:cNvPr id="270" name="Conector recto de flecha 269"/>
        <xdr:cNvCxnSpPr/>
      </xdr:nvCxnSpPr>
      <xdr:spPr>
        <a:xfrm flipV="1">
          <a:off x="87669029" y="150637875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791</xdr:row>
      <xdr:rowOff>81311</xdr:rowOff>
    </xdr:from>
    <xdr:to>
      <xdr:col>85</xdr:col>
      <xdr:colOff>1962150</xdr:colOff>
      <xdr:row>791</xdr:row>
      <xdr:rowOff>133350</xdr:rowOff>
    </xdr:to>
    <xdr:cxnSp macro="">
      <xdr:nvCxnSpPr>
        <xdr:cNvPr id="271" name="Conector recto de flecha 270"/>
        <xdr:cNvCxnSpPr/>
      </xdr:nvCxnSpPr>
      <xdr:spPr>
        <a:xfrm>
          <a:off x="87669029" y="151595486"/>
          <a:ext cx="1904071" cy="52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775</xdr:row>
      <xdr:rowOff>114300</xdr:rowOff>
    </xdr:from>
    <xdr:to>
      <xdr:col>89</xdr:col>
      <xdr:colOff>2095500</xdr:colOff>
      <xdr:row>775</xdr:row>
      <xdr:rowOff>123825</xdr:rowOff>
    </xdr:to>
    <xdr:cxnSp macro="">
      <xdr:nvCxnSpPr>
        <xdr:cNvPr id="304" name="Conector recto de flecha 303"/>
        <xdr:cNvCxnSpPr/>
      </xdr:nvCxnSpPr>
      <xdr:spPr>
        <a:xfrm flipV="1">
          <a:off x="95040450" y="148770975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777</xdr:row>
      <xdr:rowOff>152400</xdr:rowOff>
    </xdr:from>
    <xdr:to>
      <xdr:col>88</xdr:col>
      <xdr:colOff>19050</xdr:colOff>
      <xdr:row>784</xdr:row>
      <xdr:rowOff>95250</xdr:rowOff>
    </xdr:to>
    <xdr:cxnSp macro="">
      <xdr:nvCxnSpPr>
        <xdr:cNvPr id="308" name="Conector recto de flecha 307"/>
        <xdr:cNvCxnSpPr/>
      </xdr:nvCxnSpPr>
      <xdr:spPr>
        <a:xfrm flipV="1">
          <a:off x="92697300" y="1491900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823</xdr:row>
      <xdr:rowOff>19050</xdr:rowOff>
    </xdr:from>
    <xdr:to>
      <xdr:col>85</xdr:col>
      <xdr:colOff>19050</xdr:colOff>
      <xdr:row>826</xdr:row>
      <xdr:rowOff>168089</xdr:rowOff>
    </xdr:to>
    <xdr:cxnSp macro="">
      <xdr:nvCxnSpPr>
        <xdr:cNvPr id="312" name="Conector recto de flecha 311"/>
        <xdr:cNvCxnSpPr/>
      </xdr:nvCxnSpPr>
      <xdr:spPr>
        <a:xfrm flipV="1">
          <a:off x="84380294" y="15783877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828</xdr:row>
      <xdr:rowOff>86591</xdr:rowOff>
    </xdr:from>
    <xdr:to>
      <xdr:col>80</xdr:col>
      <xdr:colOff>1545106</xdr:colOff>
      <xdr:row>829</xdr:row>
      <xdr:rowOff>110379</xdr:rowOff>
    </xdr:to>
    <xdr:cxnSp macro="">
      <xdr:nvCxnSpPr>
        <xdr:cNvPr id="313" name="Conector recto de flecha 312"/>
        <xdr:cNvCxnSpPr/>
      </xdr:nvCxnSpPr>
      <xdr:spPr>
        <a:xfrm flipV="1">
          <a:off x="80975457" y="1588588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829</xdr:row>
      <xdr:rowOff>76200</xdr:rowOff>
    </xdr:from>
    <xdr:to>
      <xdr:col>85</xdr:col>
      <xdr:colOff>2076450</xdr:colOff>
      <xdr:row>829</xdr:row>
      <xdr:rowOff>81311</xdr:rowOff>
    </xdr:to>
    <xdr:cxnSp macro="">
      <xdr:nvCxnSpPr>
        <xdr:cNvPr id="314" name="Conector recto de flecha 313"/>
        <xdr:cNvCxnSpPr/>
      </xdr:nvCxnSpPr>
      <xdr:spPr>
        <a:xfrm flipV="1">
          <a:off x="87869054" y="159038925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398258</xdr:colOff>
      <xdr:row>832</xdr:row>
      <xdr:rowOff>149347</xdr:rowOff>
    </xdr:from>
    <xdr:to>
      <xdr:col>85</xdr:col>
      <xdr:colOff>1247775</xdr:colOff>
      <xdr:row>832</xdr:row>
      <xdr:rowOff>201386</xdr:rowOff>
    </xdr:to>
    <xdr:cxnSp macro="">
      <xdr:nvCxnSpPr>
        <xdr:cNvPr id="315" name="Conector recto de flecha 314"/>
        <xdr:cNvCxnSpPr/>
      </xdr:nvCxnSpPr>
      <xdr:spPr>
        <a:xfrm>
          <a:off x="87142433" y="159683572"/>
          <a:ext cx="1916317" cy="42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54</xdr:row>
      <xdr:rowOff>140074</xdr:rowOff>
    </xdr:from>
    <xdr:to>
      <xdr:col>86</xdr:col>
      <xdr:colOff>1106581</xdr:colOff>
      <xdr:row>55</xdr:row>
      <xdr:rowOff>95250</xdr:rowOff>
    </xdr:to>
    <xdr:cxnSp macro="">
      <xdr:nvCxnSpPr>
        <xdr:cNvPr id="2" name="Conector recto de flecha 1"/>
        <xdr:cNvCxnSpPr/>
      </xdr:nvCxnSpPr>
      <xdr:spPr>
        <a:xfrm flipV="1">
          <a:off x="78181200" y="9331699"/>
          <a:ext cx="1087531" cy="240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54</xdr:row>
      <xdr:rowOff>104775</xdr:rowOff>
    </xdr:from>
    <xdr:to>
      <xdr:col>88</xdr:col>
      <xdr:colOff>742950</xdr:colOff>
      <xdr:row>54</xdr:row>
      <xdr:rowOff>104775</xdr:rowOff>
    </xdr:to>
    <xdr:cxnSp macro="">
      <xdr:nvCxnSpPr>
        <xdr:cNvPr id="3" name="Conector recto de flecha 2"/>
        <xdr:cNvCxnSpPr/>
      </xdr:nvCxnSpPr>
      <xdr:spPr>
        <a:xfrm>
          <a:off x="80352900" y="92964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58</xdr:row>
      <xdr:rowOff>133351</xdr:rowOff>
    </xdr:from>
    <xdr:to>
      <xdr:col>84</xdr:col>
      <xdr:colOff>276225</xdr:colOff>
      <xdr:row>61</xdr:row>
      <xdr:rowOff>168088</xdr:rowOff>
    </xdr:to>
    <xdr:cxnSp macro="">
      <xdr:nvCxnSpPr>
        <xdr:cNvPr id="4" name="Conector recto de flecha 3"/>
        <xdr:cNvCxnSpPr/>
      </xdr:nvCxnSpPr>
      <xdr:spPr>
        <a:xfrm flipV="1">
          <a:off x="71521544" y="1018222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49</xdr:row>
      <xdr:rowOff>193302</xdr:rowOff>
    </xdr:from>
    <xdr:to>
      <xdr:col>86</xdr:col>
      <xdr:colOff>1134596</xdr:colOff>
      <xdr:row>53</xdr:row>
      <xdr:rowOff>112059</xdr:rowOff>
    </xdr:to>
    <xdr:cxnSp macro="">
      <xdr:nvCxnSpPr>
        <xdr:cNvPr id="5" name="Conector recto de flecha 4"/>
        <xdr:cNvCxnSpPr/>
      </xdr:nvCxnSpPr>
      <xdr:spPr>
        <a:xfrm>
          <a:off x="78209215" y="83848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59</xdr:row>
      <xdr:rowOff>0</xdr:rowOff>
    </xdr:from>
    <xdr:to>
      <xdr:col>79</xdr:col>
      <xdr:colOff>1472045</xdr:colOff>
      <xdr:row>62</xdr:row>
      <xdr:rowOff>0</xdr:rowOff>
    </xdr:to>
    <xdr:cxnSp macro="">
      <xdr:nvCxnSpPr>
        <xdr:cNvPr id="6" name="Conector recto de flecha 5"/>
        <xdr:cNvCxnSpPr/>
      </xdr:nvCxnSpPr>
      <xdr:spPr>
        <a:xfrm>
          <a:off x="67840412" y="10239375"/>
          <a:ext cx="140200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63</xdr:row>
      <xdr:rowOff>86591</xdr:rowOff>
    </xdr:from>
    <xdr:to>
      <xdr:col>79</xdr:col>
      <xdr:colOff>1515341</xdr:colOff>
      <xdr:row>64</xdr:row>
      <xdr:rowOff>110379</xdr:rowOff>
    </xdr:to>
    <xdr:cxnSp macro="">
      <xdr:nvCxnSpPr>
        <xdr:cNvPr id="7" name="Conector recto de flecha 6"/>
        <xdr:cNvCxnSpPr/>
      </xdr:nvCxnSpPr>
      <xdr:spPr>
        <a:xfrm flipV="1">
          <a:off x="67810717" y="110879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63</xdr:row>
      <xdr:rowOff>84044</xdr:rowOff>
    </xdr:from>
    <xdr:to>
      <xdr:col>76</xdr:col>
      <xdr:colOff>1190624</xdr:colOff>
      <xdr:row>67</xdr:row>
      <xdr:rowOff>0</xdr:rowOff>
    </xdr:to>
    <xdr:cxnSp macro="">
      <xdr:nvCxnSpPr>
        <xdr:cNvPr id="8" name="Conector recto de flecha 7"/>
        <xdr:cNvCxnSpPr/>
      </xdr:nvCxnSpPr>
      <xdr:spPr>
        <a:xfrm>
          <a:off x="63735136" y="110854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59</xdr:row>
      <xdr:rowOff>0</xdr:rowOff>
    </xdr:from>
    <xdr:to>
      <xdr:col>74</xdr:col>
      <xdr:colOff>1200411</xdr:colOff>
      <xdr:row>62</xdr:row>
      <xdr:rowOff>39144</xdr:rowOff>
    </xdr:to>
    <xdr:cxnSp macro="">
      <xdr:nvCxnSpPr>
        <xdr:cNvPr id="9" name="Conector recto de flecha 8"/>
        <xdr:cNvCxnSpPr/>
      </xdr:nvCxnSpPr>
      <xdr:spPr>
        <a:xfrm>
          <a:off x="60210887" y="10239375"/>
          <a:ext cx="1130374" cy="610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64</xdr:row>
      <xdr:rowOff>95092</xdr:rowOff>
    </xdr:from>
    <xdr:to>
      <xdr:col>65</xdr:col>
      <xdr:colOff>296916</xdr:colOff>
      <xdr:row>67</xdr:row>
      <xdr:rowOff>0</xdr:rowOff>
    </xdr:to>
    <xdr:cxnSp macro="">
      <xdr:nvCxnSpPr>
        <xdr:cNvPr id="10" name="Conector recto de flecha 9"/>
        <xdr:cNvCxnSpPr/>
      </xdr:nvCxnSpPr>
      <xdr:spPr>
        <a:xfrm flipV="1">
          <a:off x="50583787" y="11286967"/>
          <a:ext cx="890954" cy="55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57</xdr:row>
      <xdr:rowOff>14008</xdr:rowOff>
    </xdr:from>
    <xdr:to>
      <xdr:col>71</xdr:col>
      <xdr:colOff>602316</xdr:colOff>
      <xdr:row>57</xdr:row>
      <xdr:rowOff>70038</xdr:rowOff>
    </xdr:to>
    <xdr:cxnSp macro="">
      <xdr:nvCxnSpPr>
        <xdr:cNvPr id="11" name="Conector recto de flecha 10"/>
        <xdr:cNvCxnSpPr/>
      </xdr:nvCxnSpPr>
      <xdr:spPr>
        <a:xfrm>
          <a:off x="54988946" y="9872383"/>
          <a:ext cx="1944220" cy="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54</xdr:row>
      <xdr:rowOff>0</xdr:rowOff>
    </xdr:from>
    <xdr:to>
      <xdr:col>67</xdr:col>
      <xdr:colOff>994523</xdr:colOff>
      <xdr:row>56</xdr:row>
      <xdr:rowOff>168089</xdr:rowOff>
    </xdr:to>
    <xdr:cxnSp macro="">
      <xdr:nvCxnSpPr>
        <xdr:cNvPr id="12" name="Conector recto de flecha 11"/>
        <xdr:cNvCxnSpPr/>
      </xdr:nvCxnSpPr>
      <xdr:spPr>
        <a:xfrm>
          <a:off x="52867112" y="9191625"/>
          <a:ext cx="695886" cy="644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58</xdr:row>
      <xdr:rowOff>28015</xdr:rowOff>
    </xdr:from>
    <xdr:to>
      <xdr:col>67</xdr:col>
      <xdr:colOff>994522</xdr:colOff>
      <xdr:row>59</xdr:row>
      <xdr:rowOff>110378</xdr:rowOff>
    </xdr:to>
    <xdr:cxnSp macro="">
      <xdr:nvCxnSpPr>
        <xdr:cNvPr id="13" name="Conector recto de flecha 12"/>
        <xdr:cNvCxnSpPr/>
      </xdr:nvCxnSpPr>
      <xdr:spPr>
        <a:xfrm flipV="1">
          <a:off x="52837417" y="1007689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51</xdr:row>
      <xdr:rowOff>94361</xdr:rowOff>
    </xdr:from>
    <xdr:to>
      <xdr:col>64</xdr:col>
      <xdr:colOff>575956</xdr:colOff>
      <xdr:row>51</xdr:row>
      <xdr:rowOff>110011</xdr:rowOff>
    </xdr:to>
    <xdr:cxnSp macro="">
      <xdr:nvCxnSpPr>
        <xdr:cNvPr id="14" name="Conector recto de flecha 13"/>
        <xdr:cNvCxnSpPr/>
      </xdr:nvCxnSpPr>
      <xdr:spPr>
        <a:xfrm flipV="1">
          <a:off x="49872764" y="8666861"/>
          <a:ext cx="1233317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51</xdr:row>
      <xdr:rowOff>89802</xdr:rowOff>
    </xdr:from>
    <xdr:to>
      <xdr:col>61</xdr:col>
      <xdr:colOff>596300</xdr:colOff>
      <xdr:row>51</xdr:row>
      <xdr:rowOff>104384</xdr:rowOff>
    </xdr:to>
    <xdr:cxnSp macro="">
      <xdr:nvCxnSpPr>
        <xdr:cNvPr id="15" name="Conector recto de flecha 14"/>
        <xdr:cNvCxnSpPr/>
      </xdr:nvCxnSpPr>
      <xdr:spPr>
        <a:xfrm flipV="1">
          <a:off x="46779363" y="8662302"/>
          <a:ext cx="1280012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63</xdr:row>
      <xdr:rowOff>26096</xdr:rowOff>
    </xdr:from>
    <xdr:to>
      <xdr:col>74</xdr:col>
      <xdr:colOff>1239555</xdr:colOff>
      <xdr:row>65</xdr:row>
      <xdr:rowOff>18421</xdr:rowOff>
    </xdr:to>
    <xdr:cxnSp macro="">
      <xdr:nvCxnSpPr>
        <xdr:cNvPr id="16" name="Conector recto de flecha 15"/>
        <xdr:cNvCxnSpPr/>
      </xdr:nvCxnSpPr>
      <xdr:spPr>
        <a:xfrm flipV="1">
          <a:off x="60276895" y="110274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53</xdr:row>
      <xdr:rowOff>39144</xdr:rowOff>
    </xdr:from>
    <xdr:to>
      <xdr:col>76</xdr:col>
      <xdr:colOff>1343939</xdr:colOff>
      <xdr:row>54</xdr:row>
      <xdr:rowOff>182672</xdr:rowOff>
    </xdr:to>
    <xdr:cxnSp macro="">
      <xdr:nvCxnSpPr>
        <xdr:cNvPr id="17" name="Conector recto de flecha 16"/>
        <xdr:cNvCxnSpPr/>
      </xdr:nvCxnSpPr>
      <xdr:spPr>
        <a:xfrm>
          <a:off x="63782532" y="8992644"/>
          <a:ext cx="1226507" cy="38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68</xdr:row>
      <xdr:rowOff>119062</xdr:rowOff>
    </xdr:from>
    <xdr:to>
      <xdr:col>73</xdr:col>
      <xdr:colOff>1607344</xdr:colOff>
      <xdr:row>75</xdr:row>
      <xdr:rowOff>166687</xdr:rowOff>
    </xdr:to>
    <xdr:cxnSp macro="">
      <xdr:nvCxnSpPr>
        <xdr:cNvPr id="18" name="Conector recto de flecha 17"/>
        <xdr:cNvCxnSpPr/>
      </xdr:nvCxnSpPr>
      <xdr:spPr>
        <a:xfrm flipH="1" flipV="1">
          <a:off x="58935939" y="122634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68</xdr:row>
      <xdr:rowOff>155272</xdr:rowOff>
    </xdr:from>
    <xdr:to>
      <xdr:col>73</xdr:col>
      <xdr:colOff>337779</xdr:colOff>
      <xdr:row>75</xdr:row>
      <xdr:rowOff>59531</xdr:rowOff>
    </xdr:to>
    <xdr:cxnSp macro="">
      <xdr:nvCxnSpPr>
        <xdr:cNvPr id="19" name="Conector recto de flecha 18"/>
        <xdr:cNvCxnSpPr/>
      </xdr:nvCxnSpPr>
      <xdr:spPr>
        <a:xfrm flipV="1">
          <a:off x="57626250" y="12299647"/>
          <a:ext cx="1052154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56</xdr:row>
      <xdr:rowOff>0</xdr:rowOff>
    </xdr:from>
    <xdr:to>
      <xdr:col>61</xdr:col>
      <xdr:colOff>728383</xdr:colOff>
      <xdr:row>59</xdr:row>
      <xdr:rowOff>37353</xdr:rowOff>
    </xdr:to>
    <xdr:cxnSp macro="">
      <xdr:nvCxnSpPr>
        <xdr:cNvPr id="20" name="Conector recto de flecha 19"/>
        <xdr:cNvCxnSpPr/>
      </xdr:nvCxnSpPr>
      <xdr:spPr>
        <a:xfrm flipH="1">
          <a:off x="46775780" y="9667875"/>
          <a:ext cx="1415678" cy="608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56</xdr:row>
      <xdr:rowOff>77693</xdr:rowOff>
    </xdr:from>
    <xdr:to>
      <xdr:col>61</xdr:col>
      <xdr:colOff>283135</xdr:colOff>
      <xdr:row>60</xdr:row>
      <xdr:rowOff>21665</xdr:rowOff>
    </xdr:to>
    <xdr:grpSp>
      <xdr:nvGrpSpPr>
        <xdr:cNvPr id="21" name="Grupo 20"/>
        <xdr:cNvGrpSpPr/>
      </xdr:nvGrpSpPr>
      <xdr:grpSpPr>
        <a:xfrm>
          <a:off x="50577062" y="10908540"/>
          <a:ext cx="1448331" cy="681391"/>
          <a:chOff x="52088676" y="6928970"/>
          <a:chExt cx="616324" cy="691030"/>
        </a:xfrm>
      </xdr:grpSpPr>
      <xdr:cxnSp macro="">
        <xdr:nvCxnSpPr>
          <xdr:cNvPr id="22" name="Conector recto 2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63</xdr:row>
      <xdr:rowOff>112058</xdr:rowOff>
    </xdr:from>
    <xdr:to>
      <xdr:col>70</xdr:col>
      <xdr:colOff>635000</xdr:colOff>
      <xdr:row>75</xdr:row>
      <xdr:rowOff>130735</xdr:rowOff>
    </xdr:to>
    <xdr:cxnSp macro="">
      <xdr:nvCxnSpPr>
        <xdr:cNvPr id="25" name="Conector angular 24"/>
        <xdr:cNvCxnSpPr/>
      </xdr:nvCxnSpPr>
      <xdr:spPr>
        <a:xfrm>
          <a:off x="45318083" y="11113433"/>
          <a:ext cx="10885767" cy="2495177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41</xdr:row>
      <xdr:rowOff>112059</xdr:rowOff>
    </xdr:from>
    <xdr:to>
      <xdr:col>83</xdr:col>
      <xdr:colOff>1336116</xdr:colOff>
      <xdr:row>47</xdr:row>
      <xdr:rowOff>161367</xdr:rowOff>
    </xdr:to>
    <xdr:cxnSp macro="">
      <xdr:nvCxnSpPr>
        <xdr:cNvPr id="26" name="Conector recto de flecha 25"/>
        <xdr:cNvCxnSpPr/>
      </xdr:nvCxnSpPr>
      <xdr:spPr>
        <a:xfrm>
          <a:off x="71586912" y="6779559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38</xdr:row>
      <xdr:rowOff>0</xdr:rowOff>
    </xdr:from>
    <xdr:to>
      <xdr:col>79</xdr:col>
      <xdr:colOff>1494118</xdr:colOff>
      <xdr:row>41</xdr:row>
      <xdr:rowOff>18676</xdr:rowOff>
    </xdr:to>
    <xdr:cxnSp macro="">
      <xdr:nvCxnSpPr>
        <xdr:cNvPr id="27" name="Conector recto de flecha 26"/>
        <xdr:cNvCxnSpPr/>
      </xdr:nvCxnSpPr>
      <xdr:spPr>
        <a:xfrm>
          <a:off x="67840412" y="60960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41</xdr:row>
      <xdr:rowOff>168088</xdr:rowOff>
    </xdr:from>
    <xdr:to>
      <xdr:col>79</xdr:col>
      <xdr:colOff>1494118</xdr:colOff>
      <xdr:row>43</xdr:row>
      <xdr:rowOff>110378</xdr:rowOff>
    </xdr:to>
    <xdr:cxnSp macro="">
      <xdr:nvCxnSpPr>
        <xdr:cNvPr id="28" name="Conector recto de flecha 27"/>
        <xdr:cNvCxnSpPr/>
      </xdr:nvCxnSpPr>
      <xdr:spPr>
        <a:xfrm flipV="1">
          <a:off x="67810717" y="6835588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44</xdr:row>
      <xdr:rowOff>155864</xdr:rowOff>
    </xdr:from>
    <xdr:to>
      <xdr:col>76</xdr:col>
      <xdr:colOff>1333500</xdr:colOff>
      <xdr:row>45</xdr:row>
      <xdr:rowOff>138545</xdr:rowOff>
    </xdr:to>
    <xdr:cxnSp macro="">
      <xdr:nvCxnSpPr>
        <xdr:cNvPr id="29" name="Conector recto de flecha 28"/>
        <xdr:cNvCxnSpPr/>
      </xdr:nvCxnSpPr>
      <xdr:spPr>
        <a:xfrm>
          <a:off x="63734373" y="73948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34</xdr:row>
      <xdr:rowOff>111724</xdr:rowOff>
    </xdr:from>
    <xdr:to>
      <xdr:col>76</xdr:col>
      <xdr:colOff>1335189</xdr:colOff>
      <xdr:row>35</xdr:row>
      <xdr:rowOff>94405</xdr:rowOff>
    </xdr:to>
    <xdr:cxnSp macro="">
      <xdr:nvCxnSpPr>
        <xdr:cNvPr id="30" name="Conector recto de flecha 29"/>
        <xdr:cNvCxnSpPr/>
      </xdr:nvCxnSpPr>
      <xdr:spPr>
        <a:xfrm>
          <a:off x="63736062" y="54457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34</xdr:row>
      <xdr:rowOff>82789</xdr:rowOff>
    </xdr:from>
    <xdr:to>
      <xdr:col>74</xdr:col>
      <xdr:colOff>1265493</xdr:colOff>
      <xdr:row>35</xdr:row>
      <xdr:rowOff>69695</xdr:rowOff>
    </xdr:to>
    <xdr:cxnSp macro="">
      <xdr:nvCxnSpPr>
        <xdr:cNvPr id="31" name="Conector recto de flecha 30"/>
        <xdr:cNvCxnSpPr/>
      </xdr:nvCxnSpPr>
      <xdr:spPr>
        <a:xfrm flipV="1">
          <a:off x="60198929" y="54167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33</xdr:row>
      <xdr:rowOff>177209</xdr:rowOff>
    </xdr:from>
    <xdr:to>
      <xdr:col>70</xdr:col>
      <xdr:colOff>1370671</xdr:colOff>
      <xdr:row>34</xdr:row>
      <xdr:rowOff>23231</xdr:rowOff>
    </xdr:to>
    <xdr:cxnSp macro="">
      <xdr:nvCxnSpPr>
        <xdr:cNvPr id="32" name="Conector recto de flecha 31"/>
        <xdr:cNvCxnSpPr/>
      </xdr:nvCxnSpPr>
      <xdr:spPr>
        <a:xfrm>
          <a:off x="62549751" y="5566965"/>
          <a:ext cx="1337444" cy="31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114</xdr:row>
      <xdr:rowOff>140074</xdr:rowOff>
    </xdr:from>
    <xdr:to>
      <xdr:col>86</xdr:col>
      <xdr:colOff>1106581</xdr:colOff>
      <xdr:row>115</xdr:row>
      <xdr:rowOff>95250</xdr:rowOff>
    </xdr:to>
    <xdr:cxnSp macro="">
      <xdr:nvCxnSpPr>
        <xdr:cNvPr id="36" name="Conector recto de flecha 35"/>
        <xdr:cNvCxnSpPr/>
      </xdr:nvCxnSpPr>
      <xdr:spPr>
        <a:xfrm flipV="1">
          <a:off x="77205568" y="9971235"/>
          <a:ext cx="1087531" cy="22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114</xdr:row>
      <xdr:rowOff>104775</xdr:rowOff>
    </xdr:from>
    <xdr:to>
      <xdr:col>88</xdr:col>
      <xdr:colOff>742950</xdr:colOff>
      <xdr:row>114</xdr:row>
      <xdr:rowOff>104775</xdr:rowOff>
    </xdr:to>
    <xdr:cxnSp macro="">
      <xdr:nvCxnSpPr>
        <xdr:cNvPr id="37" name="Conector recto de flecha 36"/>
        <xdr:cNvCxnSpPr/>
      </xdr:nvCxnSpPr>
      <xdr:spPr>
        <a:xfrm>
          <a:off x="79367743" y="9935936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118</xdr:row>
      <xdr:rowOff>133351</xdr:rowOff>
    </xdr:from>
    <xdr:to>
      <xdr:col>84</xdr:col>
      <xdr:colOff>276225</xdr:colOff>
      <xdr:row>121</xdr:row>
      <xdr:rowOff>168088</xdr:rowOff>
    </xdr:to>
    <xdr:cxnSp macro="">
      <xdr:nvCxnSpPr>
        <xdr:cNvPr id="38" name="Conector recto de flecha 37"/>
        <xdr:cNvCxnSpPr/>
      </xdr:nvCxnSpPr>
      <xdr:spPr>
        <a:xfrm flipV="1">
          <a:off x="70569044" y="10848976"/>
          <a:ext cx="3662002" cy="647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109</xdr:row>
      <xdr:rowOff>193302</xdr:rowOff>
    </xdr:from>
    <xdr:to>
      <xdr:col>86</xdr:col>
      <xdr:colOff>1134596</xdr:colOff>
      <xdr:row>113</xdr:row>
      <xdr:rowOff>112059</xdr:rowOff>
    </xdr:to>
    <xdr:cxnSp macro="">
      <xdr:nvCxnSpPr>
        <xdr:cNvPr id="39" name="Conector recto de flecha 38"/>
        <xdr:cNvCxnSpPr/>
      </xdr:nvCxnSpPr>
      <xdr:spPr>
        <a:xfrm>
          <a:off x="77233583" y="8969909"/>
          <a:ext cx="1087531" cy="735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122</xdr:row>
      <xdr:rowOff>150394</xdr:rowOff>
    </xdr:from>
    <xdr:to>
      <xdr:col>79</xdr:col>
      <xdr:colOff>2306053</xdr:colOff>
      <xdr:row>124</xdr:row>
      <xdr:rowOff>110380</xdr:rowOff>
    </xdr:to>
    <xdr:cxnSp macro="">
      <xdr:nvCxnSpPr>
        <xdr:cNvPr id="41" name="Conector recto de flecha 40"/>
        <xdr:cNvCxnSpPr/>
      </xdr:nvCxnSpPr>
      <xdr:spPr>
        <a:xfrm flipV="1">
          <a:off x="77744289" y="22208289"/>
          <a:ext cx="2265711" cy="327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123</xdr:row>
      <xdr:rowOff>84044</xdr:rowOff>
    </xdr:from>
    <xdr:to>
      <xdr:col>76</xdr:col>
      <xdr:colOff>1190624</xdr:colOff>
      <xdr:row>127</xdr:row>
      <xdr:rowOff>140074</xdr:rowOff>
    </xdr:to>
    <xdr:cxnSp macro="">
      <xdr:nvCxnSpPr>
        <xdr:cNvPr id="42" name="Conector recto de flecha 41"/>
        <xdr:cNvCxnSpPr/>
      </xdr:nvCxnSpPr>
      <xdr:spPr>
        <a:xfrm>
          <a:off x="62798965" y="11820205"/>
          <a:ext cx="1120588" cy="872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118</xdr:row>
      <xdr:rowOff>28015</xdr:rowOff>
    </xdr:from>
    <xdr:to>
      <xdr:col>67</xdr:col>
      <xdr:colOff>994522</xdr:colOff>
      <xdr:row>119</xdr:row>
      <xdr:rowOff>110378</xdr:rowOff>
    </xdr:to>
    <xdr:cxnSp macro="">
      <xdr:nvCxnSpPr>
        <xdr:cNvPr id="47" name="Conector recto de flecha 46"/>
        <xdr:cNvCxnSpPr/>
      </xdr:nvCxnSpPr>
      <xdr:spPr>
        <a:xfrm flipV="1">
          <a:off x="51951592" y="10743640"/>
          <a:ext cx="725580" cy="286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123</xdr:row>
      <xdr:rowOff>26096</xdr:rowOff>
    </xdr:from>
    <xdr:to>
      <xdr:col>74</xdr:col>
      <xdr:colOff>1239555</xdr:colOff>
      <xdr:row>125</xdr:row>
      <xdr:rowOff>18421</xdr:rowOff>
    </xdr:to>
    <xdr:cxnSp macro="">
      <xdr:nvCxnSpPr>
        <xdr:cNvPr id="50" name="Conector recto de flecha 49"/>
        <xdr:cNvCxnSpPr/>
      </xdr:nvCxnSpPr>
      <xdr:spPr>
        <a:xfrm flipV="1">
          <a:off x="59361134" y="11762257"/>
          <a:ext cx="1103510" cy="40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116158</xdr:colOff>
      <xdr:row>117</xdr:row>
      <xdr:rowOff>162622</xdr:rowOff>
    </xdr:from>
    <xdr:to>
      <xdr:col>71</xdr:col>
      <xdr:colOff>1208969</xdr:colOff>
      <xdr:row>124</xdr:row>
      <xdr:rowOff>143657</xdr:rowOff>
    </xdr:to>
    <xdr:cxnSp macro="">
      <xdr:nvCxnSpPr>
        <xdr:cNvPr id="53" name="Conector recto de flecha 52"/>
        <xdr:cNvCxnSpPr/>
      </xdr:nvCxnSpPr>
      <xdr:spPr>
        <a:xfrm>
          <a:off x="55221768" y="21175701"/>
          <a:ext cx="2626103" cy="1293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101</xdr:row>
      <xdr:rowOff>112059</xdr:rowOff>
    </xdr:from>
    <xdr:to>
      <xdr:col>83</xdr:col>
      <xdr:colOff>1336116</xdr:colOff>
      <xdr:row>107</xdr:row>
      <xdr:rowOff>161367</xdr:rowOff>
    </xdr:to>
    <xdr:cxnSp macro="">
      <xdr:nvCxnSpPr>
        <xdr:cNvPr id="60" name="Conector recto de flecha 59"/>
        <xdr:cNvCxnSpPr/>
      </xdr:nvCxnSpPr>
      <xdr:spPr>
        <a:xfrm>
          <a:off x="70634412" y="7255809"/>
          <a:ext cx="3227775" cy="127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98</xdr:row>
      <xdr:rowOff>0</xdr:rowOff>
    </xdr:from>
    <xdr:to>
      <xdr:col>79</xdr:col>
      <xdr:colOff>1494118</xdr:colOff>
      <xdr:row>101</xdr:row>
      <xdr:rowOff>18676</xdr:rowOff>
    </xdr:to>
    <xdr:cxnSp macro="">
      <xdr:nvCxnSpPr>
        <xdr:cNvPr id="61" name="Conector recto de flecha 60"/>
        <xdr:cNvCxnSpPr/>
      </xdr:nvCxnSpPr>
      <xdr:spPr>
        <a:xfrm>
          <a:off x="67976317" y="17447012"/>
          <a:ext cx="1424081" cy="5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101</xdr:row>
      <xdr:rowOff>168088</xdr:rowOff>
    </xdr:from>
    <xdr:to>
      <xdr:col>79</xdr:col>
      <xdr:colOff>1494118</xdr:colOff>
      <xdr:row>103</xdr:row>
      <xdr:rowOff>110378</xdr:rowOff>
    </xdr:to>
    <xdr:cxnSp macro="">
      <xdr:nvCxnSpPr>
        <xdr:cNvPr id="62" name="Conector recto de flecha 61"/>
        <xdr:cNvCxnSpPr/>
      </xdr:nvCxnSpPr>
      <xdr:spPr>
        <a:xfrm flipV="1">
          <a:off x="66851413" y="7311838"/>
          <a:ext cx="1453776" cy="350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104</xdr:row>
      <xdr:rowOff>155864</xdr:rowOff>
    </xdr:from>
    <xdr:to>
      <xdr:col>76</xdr:col>
      <xdr:colOff>1333500</xdr:colOff>
      <xdr:row>105</xdr:row>
      <xdr:rowOff>138545</xdr:rowOff>
    </xdr:to>
    <xdr:cxnSp macro="">
      <xdr:nvCxnSpPr>
        <xdr:cNvPr id="63" name="Conector recto de flecha 62"/>
        <xdr:cNvCxnSpPr/>
      </xdr:nvCxnSpPr>
      <xdr:spPr>
        <a:xfrm>
          <a:off x="62798202" y="7911935"/>
          <a:ext cx="1264227" cy="186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94</xdr:row>
      <xdr:rowOff>111724</xdr:rowOff>
    </xdr:from>
    <xdr:to>
      <xdr:col>76</xdr:col>
      <xdr:colOff>1335189</xdr:colOff>
      <xdr:row>95</xdr:row>
      <xdr:rowOff>94405</xdr:rowOff>
    </xdr:to>
    <xdr:cxnSp macro="">
      <xdr:nvCxnSpPr>
        <xdr:cNvPr id="64" name="Conector recto de flecha 63"/>
        <xdr:cNvCxnSpPr/>
      </xdr:nvCxnSpPr>
      <xdr:spPr>
        <a:xfrm>
          <a:off x="62799891" y="5826724"/>
          <a:ext cx="1264227" cy="18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94</xdr:row>
      <xdr:rowOff>82789</xdr:rowOff>
    </xdr:from>
    <xdr:to>
      <xdr:col>74</xdr:col>
      <xdr:colOff>1265493</xdr:colOff>
      <xdr:row>95</xdr:row>
      <xdr:rowOff>69695</xdr:rowOff>
    </xdr:to>
    <xdr:cxnSp macro="">
      <xdr:nvCxnSpPr>
        <xdr:cNvPr id="65" name="Conector recto de flecha 64"/>
        <xdr:cNvCxnSpPr/>
      </xdr:nvCxnSpPr>
      <xdr:spPr>
        <a:xfrm flipV="1">
          <a:off x="59283168" y="5797789"/>
          <a:ext cx="1207414" cy="191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93</xdr:row>
      <xdr:rowOff>177209</xdr:rowOff>
    </xdr:from>
    <xdr:to>
      <xdr:col>70</xdr:col>
      <xdr:colOff>728773</xdr:colOff>
      <xdr:row>94</xdr:row>
      <xdr:rowOff>5638</xdr:rowOff>
    </xdr:to>
    <xdr:cxnSp macro="">
      <xdr:nvCxnSpPr>
        <xdr:cNvPr id="66" name="Conector recto de flecha 65"/>
        <xdr:cNvCxnSpPr/>
      </xdr:nvCxnSpPr>
      <xdr:spPr>
        <a:xfrm>
          <a:off x="54699923" y="5688102"/>
          <a:ext cx="695546" cy="32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34848</xdr:colOff>
      <xdr:row>101</xdr:row>
      <xdr:rowOff>46464</xdr:rowOff>
    </xdr:from>
    <xdr:to>
      <xdr:col>79</xdr:col>
      <xdr:colOff>1482161</xdr:colOff>
      <xdr:row>101</xdr:row>
      <xdr:rowOff>88372</xdr:rowOff>
    </xdr:to>
    <xdr:cxnSp macro="">
      <xdr:nvCxnSpPr>
        <xdr:cNvPr id="69" name="Conector recto de flecha 68"/>
        <xdr:cNvCxnSpPr/>
      </xdr:nvCxnSpPr>
      <xdr:spPr>
        <a:xfrm>
          <a:off x="67941128" y="18051037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801494</xdr:colOff>
      <xdr:row>100</xdr:row>
      <xdr:rowOff>145303</xdr:rowOff>
    </xdr:from>
    <xdr:to>
      <xdr:col>75</xdr:col>
      <xdr:colOff>2065721</xdr:colOff>
      <xdr:row>102</xdr:row>
      <xdr:rowOff>81311</xdr:rowOff>
    </xdr:to>
    <xdr:cxnSp macro="">
      <xdr:nvCxnSpPr>
        <xdr:cNvPr id="73" name="Conector recto de flecha 72"/>
        <xdr:cNvCxnSpPr/>
      </xdr:nvCxnSpPr>
      <xdr:spPr>
        <a:xfrm flipV="1">
          <a:off x="58683293" y="17964023"/>
          <a:ext cx="5271696" cy="307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74705</xdr:colOff>
      <xdr:row>85</xdr:row>
      <xdr:rowOff>37353</xdr:rowOff>
    </xdr:from>
    <xdr:to>
      <xdr:col>75</xdr:col>
      <xdr:colOff>1695914</xdr:colOff>
      <xdr:row>88</xdr:row>
      <xdr:rowOff>162622</xdr:rowOff>
    </xdr:to>
    <xdr:cxnSp macro="">
      <xdr:nvCxnSpPr>
        <xdr:cNvPr id="76" name="Conector recto de flecha 75"/>
        <xdr:cNvCxnSpPr/>
      </xdr:nvCxnSpPr>
      <xdr:spPr>
        <a:xfrm flipH="1" flipV="1">
          <a:off x="61859431" y="15068268"/>
          <a:ext cx="1621209" cy="682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25991</xdr:colOff>
      <xdr:row>86</xdr:row>
      <xdr:rowOff>77694</xdr:rowOff>
    </xdr:from>
    <xdr:to>
      <xdr:col>75</xdr:col>
      <xdr:colOff>2071976</xdr:colOff>
      <xdr:row>90</xdr:row>
      <xdr:rowOff>21665</xdr:rowOff>
    </xdr:to>
    <xdr:grpSp>
      <xdr:nvGrpSpPr>
        <xdr:cNvPr id="77" name="Grupo 76"/>
        <xdr:cNvGrpSpPr/>
      </xdr:nvGrpSpPr>
      <xdr:grpSpPr>
        <a:xfrm>
          <a:off x="71202322" y="16500638"/>
          <a:ext cx="2045985" cy="696753"/>
          <a:chOff x="52088676" y="6928970"/>
          <a:chExt cx="616324" cy="691030"/>
        </a:xfrm>
      </xdr:grpSpPr>
      <xdr:cxnSp macro="">
        <xdr:nvCxnSpPr>
          <xdr:cNvPr id="78" name="Conector recto 77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78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79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198864</xdr:colOff>
      <xdr:row>89</xdr:row>
      <xdr:rowOff>94322</xdr:rowOff>
    </xdr:from>
    <xdr:to>
      <xdr:col>74</xdr:col>
      <xdr:colOff>1266128</xdr:colOff>
      <xdr:row>91</xdr:row>
      <xdr:rowOff>69695</xdr:rowOff>
    </xdr:to>
    <xdr:cxnSp macro="">
      <xdr:nvCxnSpPr>
        <xdr:cNvPr id="82" name="Conector recto de flecha 81"/>
        <xdr:cNvCxnSpPr/>
      </xdr:nvCxnSpPr>
      <xdr:spPr>
        <a:xfrm>
          <a:off x="60647766" y="15868651"/>
          <a:ext cx="1067264" cy="347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34847</xdr:colOff>
      <xdr:row>118</xdr:row>
      <xdr:rowOff>34847</xdr:rowOff>
    </xdr:from>
    <xdr:to>
      <xdr:col>80</xdr:col>
      <xdr:colOff>1</xdr:colOff>
      <xdr:row>118</xdr:row>
      <xdr:rowOff>35406</xdr:rowOff>
    </xdr:to>
    <xdr:cxnSp macro="">
      <xdr:nvCxnSpPr>
        <xdr:cNvPr id="85" name="Conector recto de flecha 84"/>
        <xdr:cNvCxnSpPr/>
      </xdr:nvCxnSpPr>
      <xdr:spPr>
        <a:xfrm flipH="1" flipV="1">
          <a:off x="69044634" y="21233780"/>
          <a:ext cx="1591373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175</xdr:row>
      <xdr:rowOff>140074</xdr:rowOff>
    </xdr:from>
    <xdr:to>
      <xdr:col>86</xdr:col>
      <xdr:colOff>1106581</xdr:colOff>
      <xdr:row>176</xdr:row>
      <xdr:rowOff>95250</xdr:rowOff>
    </xdr:to>
    <xdr:cxnSp macro="">
      <xdr:nvCxnSpPr>
        <xdr:cNvPr id="81" name="Conector recto de flecha 80"/>
        <xdr:cNvCxnSpPr/>
      </xdr:nvCxnSpPr>
      <xdr:spPr>
        <a:xfrm flipV="1">
          <a:off x="80138954" y="20289112"/>
          <a:ext cx="1087531" cy="1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175</xdr:row>
      <xdr:rowOff>104775</xdr:rowOff>
    </xdr:from>
    <xdr:to>
      <xdr:col>88</xdr:col>
      <xdr:colOff>742950</xdr:colOff>
      <xdr:row>175</xdr:row>
      <xdr:rowOff>104775</xdr:rowOff>
    </xdr:to>
    <xdr:cxnSp macro="">
      <xdr:nvCxnSpPr>
        <xdr:cNvPr id="83" name="Conector recto de flecha 82"/>
        <xdr:cNvCxnSpPr/>
      </xdr:nvCxnSpPr>
      <xdr:spPr>
        <a:xfrm>
          <a:off x="82282812" y="20253813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179</xdr:row>
      <xdr:rowOff>133351</xdr:rowOff>
    </xdr:from>
    <xdr:to>
      <xdr:col>84</xdr:col>
      <xdr:colOff>276225</xdr:colOff>
      <xdr:row>182</xdr:row>
      <xdr:rowOff>168088</xdr:rowOff>
    </xdr:to>
    <xdr:cxnSp macro="">
      <xdr:nvCxnSpPr>
        <xdr:cNvPr id="86" name="Conector recto de flecha 85"/>
        <xdr:cNvCxnSpPr/>
      </xdr:nvCxnSpPr>
      <xdr:spPr>
        <a:xfrm flipV="1">
          <a:off x="73463179" y="21015082"/>
          <a:ext cx="3672469" cy="584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170</xdr:row>
      <xdr:rowOff>193302</xdr:rowOff>
    </xdr:from>
    <xdr:to>
      <xdr:col>86</xdr:col>
      <xdr:colOff>1134596</xdr:colOff>
      <xdr:row>174</xdr:row>
      <xdr:rowOff>112059</xdr:rowOff>
    </xdr:to>
    <xdr:cxnSp macro="">
      <xdr:nvCxnSpPr>
        <xdr:cNvPr id="87" name="Conector recto de flecha 86"/>
        <xdr:cNvCxnSpPr/>
      </xdr:nvCxnSpPr>
      <xdr:spPr>
        <a:xfrm>
          <a:off x="80166969" y="19426475"/>
          <a:ext cx="1087531" cy="65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184</xdr:row>
      <xdr:rowOff>86591</xdr:rowOff>
    </xdr:from>
    <xdr:to>
      <xdr:col>79</xdr:col>
      <xdr:colOff>1545106</xdr:colOff>
      <xdr:row>185</xdr:row>
      <xdr:rowOff>110379</xdr:rowOff>
    </xdr:to>
    <xdr:cxnSp macro="">
      <xdr:nvCxnSpPr>
        <xdr:cNvPr id="88" name="Conector recto de flecha 87"/>
        <xdr:cNvCxnSpPr/>
      </xdr:nvCxnSpPr>
      <xdr:spPr>
        <a:xfrm flipV="1">
          <a:off x="69304951" y="34059091"/>
          <a:ext cx="1474999" cy="2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184</xdr:row>
      <xdr:rowOff>84044</xdr:rowOff>
    </xdr:from>
    <xdr:to>
      <xdr:col>76</xdr:col>
      <xdr:colOff>1190624</xdr:colOff>
      <xdr:row>188</xdr:row>
      <xdr:rowOff>140074</xdr:rowOff>
    </xdr:to>
    <xdr:cxnSp macro="">
      <xdr:nvCxnSpPr>
        <xdr:cNvPr id="89" name="Conector recto de flecha 88"/>
        <xdr:cNvCxnSpPr/>
      </xdr:nvCxnSpPr>
      <xdr:spPr>
        <a:xfrm>
          <a:off x="65279651" y="21881640"/>
          <a:ext cx="1120588" cy="788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162</xdr:row>
      <xdr:rowOff>112059</xdr:rowOff>
    </xdr:from>
    <xdr:to>
      <xdr:col>83</xdr:col>
      <xdr:colOff>1336116</xdr:colOff>
      <xdr:row>168</xdr:row>
      <xdr:rowOff>161367</xdr:rowOff>
    </xdr:to>
    <xdr:cxnSp macro="">
      <xdr:nvCxnSpPr>
        <xdr:cNvPr id="93" name="Conector recto de flecha 92"/>
        <xdr:cNvCxnSpPr/>
      </xdr:nvCxnSpPr>
      <xdr:spPr>
        <a:xfrm>
          <a:off x="73528547" y="17879847"/>
          <a:ext cx="3238242" cy="11483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159</xdr:row>
      <xdr:rowOff>0</xdr:rowOff>
    </xdr:from>
    <xdr:to>
      <xdr:col>79</xdr:col>
      <xdr:colOff>1494118</xdr:colOff>
      <xdr:row>162</xdr:row>
      <xdr:rowOff>18676</xdr:rowOff>
    </xdr:to>
    <xdr:cxnSp macro="">
      <xdr:nvCxnSpPr>
        <xdr:cNvPr id="94" name="Conector recto de flecha 93"/>
        <xdr:cNvCxnSpPr/>
      </xdr:nvCxnSpPr>
      <xdr:spPr>
        <a:xfrm>
          <a:off x="69639172" y="17218269"/>
          <a:ext cx="1424081" cy="568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162</xdr:row>
      <xdr:rowOff>168088</xdr:rowOff>
    </xdr:from>
    <xdr:to>
      <xdr:col>79</xdr:col>
      <xdr:colOff>1494118</xdr:colOff>
      <xdr:row>164</xdr:row>
      <xdr:rowOff>110378</xdr:rowOff>
    </xdr:to>
    <xdr:cxnSp macro="">
      <xdr:nvCxnSpPr>
        <xdr:cNvPr id="95" name="Conector recto de flecha 94"/>
        <xdr:cNvCxnSpPr/>
      </xdr:nvCxnSpPr>
      <xdr:spPr>
        <a:xfrm flipV="1">
          <a:off x="70987985" y="30239874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165</xdr:row>
      <xdr:rowOff>155864</xdr:rowOff>
    </xdr:from>
    <xdr:to>
      <xdr:col>76</xdr:col>
      <xdr:colOff>1333500</xdr:colOff>
      <xdr:row>166</xdr:row>
      <xdr:rowOff>138545</xdr:rowOff>
    </xdr:to>
    <xdr:cxnSp macro="">
      <xdr:nvCxnSpPr>
        <xdr:cNvPr id="96" name="Conector recto de flecha 95"/>
        <xdr:cNvCxnSpPr/>
      </xdr:nvCxnSpPr>
      <xdr:spPr>
        <a:xfrm>
          <a:off x="65278888" y="18473172"/>
          <a:ext cx="1264227" cy="165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155</xdr:row>
      <xdr:rowOff>111724</xdr:rowOff>
    </xdr:from>
    <xdr:to>
      <xdr:col>76</xdr:col>
      <xdr:colOff>1335189</xdr:colOff>
      <xdr:row>156</xdr:row>
      <xdr:rowOff>94405</xdr:rowOff>
    </xdr:to>
    <xdr:cxnSp macro="">
      <xdr:nvCxnSpPr>
        <xdr:cNvPr id="97" name="Conector recto de flecha 96"/>
        <xdr:cNvCxnSpPr/>
      </xdr:nvCxnSpPr>
      <xdr:spPr>
        <a:xfrm>
          <a:off x="65280577" y="16597301"/>
          <a:ext cx="1264227" cy="165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111125</xdr:colOff>
      <xdr:row>155</xdr:row>
      <xdr:rowOff>142875</xdr:rowOff>
    </xdr:from>
    <xdr:to>
      <xdr:col>74</xdr:col>
      <xdr:colOff>1587500</xdr:colOff>
      <xdr:row>156</xdr:row>
      <xdr:rowOff>15875</xdr:rowOff>
    </xdr:to>
    <xdr:cxnSp macro="">
      <xdr:nvCxnSpPr>
        <xdr:cNvPr id="98" name="Conector recto de flecha 97"/>
        <xdr:cNvCxnSpPr/>
      </xdr:nvCxnSpPr>
      <xdr:spPr>
        <a:xfrm flipV="1">
          <a:off x="59356625" y="28924250"/>
          <a:ext cx="32702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34848</xdr:colOff>
      <xdr:row>162</xdr:row>
      <xdr:rowOff>46464</xdr:rowOff>
    </xdr:from>
    <xdr:to>
      <xdr:col>79</xdr:col>
      <xdr:colOff>1482161</xdr:colOff>
      <xdr:row>162</xdr:row>
      <xdr:rowOff>88372</xdr:rowOff>
    </xdr:to>
    <xdr:cxnSp macro="">
      <xdr:nvCxnSpPr>
        <xdr:cNvPr id="100" name="Conector recto de flecha 99"/>
        <xdr:cNvCxnSpPr/>
      </xdr:nvCxnSpPr>
      <xdr:spPr>
        <a:xfrm>
          <a:off x="69603983" y="17814252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101023</xdr:colOff>
      <xdr:row>161</xdr:row>
      <xdr:rowOff>145304</xdr:rowOff>
    </xdr:from>
    <xdr:to>
      <xdr:col>75</xdr:col>
      <xdr:colOff>2065721</xdr:colOff>
      <xdr:row>163</xdr:row>
      <xdr:rowOff>129886</xdr:rowOff>
    </xdr:to>
    <xdr:cxnSp macro="">
      <xdr:nvCxnSpPr>
        <xdr:cNvPr id="101" name="Conector recto de flecha 100"/>
        <xdr:cNvCxnSpPr/>
      </xdr:nvCxnSpPr>
      <xdr:spPr>
        <a:xfrm flipV="1">
          <a:off x="59516818" y="29629509"/>
          <a:ext cx="5486062" cy="359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231</xdr:row>
      <xdr:rowOff>140074</xdr:rowOff>
    </xdr:from>
    <xdr:to>
      <xdr:col>86</xdr:col>
      <xdr:colOff>1106581</xdr:colOff>
      <xdr:row>232</xdr:row>
      <xdr:rowOff>95250</xdr:rowOff>
    </xdr:to>
    <xdr:cxnSp macro="">
      <xdr:nvCxnSpPr>
        <xdr:cNvPr id="109" name="Conector recto de flecha 108"/>
        <xdr:cNvCxnSpPr/>
      </xdr:nvCxnSpPr>
      <xdr:spPr>
        <a:xfrm flipV="1">
          <a:off x="81368503" y="30828433"/>
          <a:ext cx="1087531" cy="133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231</xdr:row>
      <xdr:rowOff>104775</xdr:rowOff>
    </xdr:from>
    <xdr:to>
      <xdr:col>88</xdr:col>
      <xdr:colOff>742950</xdr:colOff>
      <xdr:row>231</xdr:row>
      <xdr:rowOff>104775</xdr:rowOff>
    </xdr:to>
    <xdr:cxnSp macro="">
      <xdr:nvCxnSpPr>
        <xdr:cNvPr id="110" name="Conector recto de flecha 109"/>
        <xdr:cNvCxnSpPr/>
      </xdr:nvCxnSpPr>
      <xdr:spPr>
        <a:xfrm>
          <a:off x="83560444" y="30793134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235</xdr:row>
      <xdr:rowOff>19050</xdr:rowOff>
    </xdr:from>
    <xdr:to>
      <xdr:col>84</xdr:col>
      <xdr:colOff>19050</xdr:colOff>
      <xdr:row>238</xdr:row>
      <xdr:rowOff>168089</xdr:rowOff>
    </xdr:to>
    <xdr:cxnSp macro="">
      <xdr:nvCxnSpPr>
        <xdr:cNvPr id="111" name="Conector recto de flecha 110"/>
        <xdr:cNvCxnSpPr/>
      </xdr:nvCxnSpPr>
      <xdr:spPr>
        <a:xfrm flipV="1">
          <a:off x="74379044" y="44119800"/>
          <a:ext cx="3421156" cy="739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227</xdr:row>
      <xdr:rowOff>2802</xdr:rowOff>
    </xdr:from>
    <xdr:to>
      <xdr:col>86</xdr:col>
      <xdr:colOff>1134596</xdr:colOff>
      <xdr:row>230</xdr:row>
      <xdr:rowOff>112059</xdr:rowOff>
    </xdr:to>
    <xdr:cxnSp macro="">
      <xdr:nvCxnSpPr>
        <xdr:cNvPr id="112" name="Conector recto de flecha 111"/>
        <xdr:cNvCxnSpPr/>
      </xdr:nvCxnSpPr>
      <xdr:spPr>
        <a:xfrm>
          <a:off x="81085765" y="425605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240</xdr:row>
      <xdr:rowOff>86591</xdr:rowOff>
    </xdr:from>
    <xdr:to>
      <xdr:col>79</xdr:col>
      <xdr:colOff>1545106</xdr:colOff>
      <xdr:row>241</xdr:row>
      <xdr:rowOff>110379</xdr:rowOff>
    </xdr:to>
    <xdr:cxnSp macro="">
      <xdr:nvCxnSpPr>
        <xdr:cNvPr id="113" name="Conector recto de flecha 112"/>
        <xdr:cNvCxnSpPr/>
      </xdr:nvCxnSpPr>
      <xdr:spPr>
        <a:xfrm flipV="1">
          <a:off x="70674170" y="32412060"/>
          <a:ext cx="1474999" cy="202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240</xdr:row>
      <xdr:rowOff>84044</xdr:rowOff>
    </xdr:from>
    <xdr:to>
      <xdr:col>76</xdr:col>
      <xdr:colOff>1190624</xdr:colOff>
      <xdr:row>244</xdr:row>
      <xdr:rowOff>140074</xdr:rowOff>
    </xdr:to>
    <xdr:cxnSp macro="">
      <xdr:nvCxnSpPr>
        <xdr:cNvPr id="114" name="Conector recto de flecha 113"/>
        <xdr:cNvCxnSpPr/>
      </xdr:nvCxnSpPr>
      <xdr:spPr>
        <a:xfrm>
          <a:off x="65822302" y="32409513"/>
          <a:ext cx="1120588" cy="770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92927</xdr:colOff>
      <xdr:row>208</xdr:row>
      <xdr:rowOff>92927</xdr:rowOff>
    </xdr:from>
    <xdr:to>
      <xdr:col>83</xdr:col>
      <xdr:colOff>1336116</xdr:colOff>
      <xdr:row>224</xdr:row>
      <xdr:rowOff>161367</xdr:rowOff>
    </xdr:to>
    <xdr:cxnSp macro="">
      <xdr:nvCxnSpPr>
        <xdr:cNvPr id="115" name="Conector recto de flecha 114"/>
        <xdr:cNvCxnSpPr/>
      </xdr:nvCxnSpPr>
      <xdr:spPr>
        <a:xfrm>
          <a:off x="66187134" y="38100000"/>
          <a:ext cx="12371177" cy="3042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111125</xdr:colOff>
      <xdr:row>211</xdr:row>
      <xdr:rowOff>142875</xdr:rowOff>
    </xdr:from>
    <xdr:to>
      <xdr:col>74</xdr:col>
      <xdr:colOff>1587500</xdr:colOff>
      <xdr:row>212</xdr:row>
      <xdr:rowOff>15875</xdr:rowOff>
    </xdr:to>
    <xdr:cxnSp macro="">
      <xdr:nvCxnSpPr>
        <xdr:cNvPr id="120" name="Conector recto de flecha 119"/>
        <xdr:cNvCxnSpPr/>
      </xdr:nvCxnSpPr>
      <xdr:spPr>
        <a:xfrm flipV="1">
          <a:off x="60148391" y="27229594"/>
          <a:ext cx="3262312" cy="51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74705</xdr:colOff>
      <xdr:row>150</xdr:row>
      <xdr:rowOff>37353</xdr:rowOff>
    </xdr:from>
    <xdr:to>
      <xdr:col>75</xdr:col>
      <xdr:colOff>45357</xdr:colOff>
      <xdr:row>151</xdr:row>
      <xdr:rowOff>45357</xdr:rowOff>
    </xdr:to>
    <xdr:cxnSp macro="">
      <xdr:nvCxnSpPr>
        <xdr:cNvPr id="124" name="Conector recto de flecha 123"/>
        <xdr:cNvCxnSpPr/>
      </xdr:nvCxnSpPr>
      <xdr:spPr>
        <a:xfrm flipH="1" flipV="1">
          <a:off x="52711669" y="26616639"/>
          <a:ext cx="10674938" cy="189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432546</xdr:colOff>
      <xdr:row>147</xdr:row>
      <xdr:rowOff>77693</xdr:rowOff>
    </xdr:from>
    <xdr:to>
      <xdr:col>67</xdr:col>
      <xdr:colOff>283135</xdr:colOff>
      <xdr:row>151</xdr:row>
      <xdr:rowOff>21665</xdr:rowOff>
    </xdr:to>
    <xdr:grpSp>
      <xdr:nvGrpSpPr>
        <xdr:cNvPr id="125" name="Grupo 124"/>
        <xdr:cNvGrpSpPr/>
      </xdr:nvGrpSpPr>
      <xdr:grpSpPr>
        <a:xfrm>
          <a:off x="59364643" y="27807733"/>
          <a:ext cx="710911" cy="681392"/>
          <a:chOff x="52088676" y="6928970"/>
          <a:chExt cx="616324" cy="691030"/>
        </a:xfrm>
      </xdr:grpSpPr>
      <xdr:cxnSp macro="">
        <xdr:nvCxnSpPr>
          <xdr:cNvPr id="126" name="Conector recto 125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Conector recto 126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Conector recto 127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204109</xdr:colOff>
      <xdr:row>154</xdr:row>
      <xdr:rowOff>22678</xdr:rowOff>
    </xdr:from>
    <xdr:to>
      <xdr:col>64</xdr:col>
      <xdr:colOff>247651</xdr:colOff>
      <xdr:row>189</xdr:row>
      <xdr:rowOff>57149</xdr:rowOff>
    </xdr:to>
    <xdr:cxnSp macro="">
      <xdr:nvCxnSpPr>
        <xdr:cNvPr id="129" name="Conector angular 128"/>
        <xdr:cNvCxnSpPr/>
      </xdr:nvCxnSpPr>
      <xdr:spPr>
        <a:xfrm rot="16200000" flipH="1">
          <a:off x="47395494" y="31984043"/>
          <a:ext cx="6740071" cy="435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38100</xdr:colOff>
      <xdr:row>232</xdr:row>
      <xdr:rowOff>38100</xdr:rowOff>
    </xdr:from>
    <xdr:to>
      <xdr:col>87</xdr:col>
      <xdr:colOff>57150</xdr:colOff>
      <xdr:row>236</xdr:row>
      <xdr:rowOff>38100</xdr:rowOff>
    </xdr:to>
    <xdr:cxnSp macro="">
      <xdr:nvCxnSpPr>
        <xdr:cNvPr id="133" name="Conector recto de flecha 132"/>
        <xdr:cNvCxnSpPr/>
      </xdr:nvCxnSpPr>
      <xdr:spPr>
        <a:xfrm flipV="1">
          <a:off x="81076800" y="43567350"/>
          <a:ext cx="11811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233</xdr:row>
      <xdr:rowOff>152400</xdr:rowOff>
    </xdr:from>
    <xdr:to>
      <xdr:col>87</xdr:col>
      <xdr:colOff>19050</xdr:colOff>
      <xdr:row>240</xdr:row>
      <xdr:rowOff>95250</xdr:rowOff>
    </xdr:to>
    <xdr:cxnSp macro="">
      <xdr:nvCxnSpPr>
        <xdr:cNvPr id="136" name="Conector recto de flecha 135"/>
        <xdr:cNvCxnSpPr/>
      </xdr:nvCxnSpPr>
      <xdr:spPr>
        <a:xfrm flipV="1">
          <a:off x="82219800" y="43872150"/>
          <a:ext cx="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232</xdr:row>
      <xdr:rowOff>114300</xdr:rowOff>
    </xdr:from>
    <xdr:to>
      <xdr:col>87</xdr:col>
      <xdr:colOff>590550</xdr:colOff>
      <xdr:row>245</xdr:row>
      <xdr:rowOff>114300</xdr:rowOff>
    </xdr:to>
    <xdr:cxnSp macro="">
      <xdr:nvCxnSpPr>
        <xdr:cNvPr id="137" name="Conector recto de flecha 136"/>
        <xdr:cNvCxnSpPr/>
      </xdr:nvCxnSpPr>
      <xdr:spPr>
        <a:xfrm flipV="1">
          <a:off x="82238850" y="43643550"/>
          <a:ext cx="552450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326573</xdr:colOff>
      <xdr:row>200</xdr:row>
      <xdr:rowOff>27213</xdr:rowOff>
    </xdr:from>
    <xdr:to>
      <xdr:col>85</xdr:col>
      <xdr:colOff>27215</xdr:colOff>
      <xdr:row>246</xdr:row>
      <xdr:rowOff>81646</xdr:rowOff>
    </xdr:to>
    <xdr:cxnSp macro="">
      <xdr:nvCxnSpPr>
        <xdr:cNvPr id="144" name="Conector angular 143"/>
        <xdr:cNvCxnSpPr/>
      </xdr:nvCxnSpPr>
      <xdr:spPr>
        <a:xfrm>
          <a:off x="54510216" y="37337999"/>
          <a:ext cx="24601713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136634</xdr:colOff>
      <xdr:row>201</xdr:row>
      <xdr:rowOff>108127</xdr:rowOff>
    </xdr:from>
    <xdr:to>
      <xdr:col>84</xdr:col>
      <xdr:colOff>958247</xdr:colOff>
      <xdr:row>246</xdr:row>
      <xdr:rowOff>46691</xdr:rowOff>
    </xdr:to>
    <xdr:cxnSp macro="">
      <xdr:nvCxnSpPr>
        <xdr:cNvPr id="152" name="Conector angular 151"/>
        <xdr:cNvCxnSpPr/>
      </xdr:nvCxnSpPr>
      <xdr:spPr>
        <a:xfrm>
          <a:off x="56520899" y="38058715"/>
          <a:ext cx="31170877" cy="8342976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58079</xdr:colOff>
      <xdr:row>241</xdr:row>
      <xdr:rowOff>81311</xdr:rowOff>
    </xdr:from>
    <xdr:to>
      <xdr:col>84</xdr:col>
      <xdr:colOff>1033811</xdr:colOff>
      <xdr:row>241</xdr:row>
      <xdr:rowOff>92927</xdr:rowOff>
    </xdr:to>
    <xdr:cxnSp macro="">
      <xdr:nvCxnSpPr>
        <xdr:cNvPr id="157" name="Conector recto de flecha 156"/>
        <xdr:cNvCxnSpPr/>
      </xdr:nvCxnSpPr>
      <xdr:spPr>
        <a:xfrm>
          <a:off x="78743872" y="44198323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1022195</xdr:colOff>
      <xdr:row>237</xdr:row>
      <xdr:rowOff>71088</xdr:rowOff>
    </xdr:from>
    <xdr:to>
      <xdr:col>84</xdr:col>
      <xdr:colOff>1393</xdr:colOff>
      <xdr:row>239</xdr:row>
      <xdr:rowOff>58079</xdr:rowOff>
    </xdr:to>
    <xdr:cxnSp macro="">
      <xdr:nvCxnSpPr>
        <xdr:cNvPr id="161" name="Conector recto de flecha 160"/>
        <xdr:cNvCxnSpPr/>
      </xdr:nvCxnSpPr>
      <xdr:spPr>
        <a:xfrm flipV="1">
          <a:off x="78290854" y="43444686"/>
          <a:ext cx="396332" cy="358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46463</xdr:colOff>
      <xdr:row>194</xdr:row>
      <xdr:rowOff>139390</xdr:rowOff>
    </xdr:from>
    <xdr:to>
      <xdr:col>75</xdr:col>
      <xdr:colOff>766647</xdr:colOff>
      <xdr:row>204</xdr:row>
      <xdr:rowOff>162622</xdr:rowOff>
    </xdr:to>
    <xdr:cxnSp macro="">
      <xdr:nvCxnSpPr>
        <xdr:cNvPr id="4120" name="Conector recto de flecha 4119"/>
        <xdr:cNvCxnSpPr/>
      </xdr:nvCxnSpPr>
      <xdr:spPr>
        <a:xfrm flipH="1" flipV="1">
          <a:off x="60448902" y="35544512"/>
          <a:ext cx="4228172" cy="1881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325244</xdr:colOff>
      <xdr:row>181</xdr:row>
      <xdr:rowOff>92927</xdr:rowOff>
    </xdr:from>
    <xdr:to>
      <xdr:col>70</xdr:col>
      <xdr:colOff>756425</xdr:colOff>
      <xdr:row>192</xdr:row>
      <xdr:rowOff>175633</xdr:rowOff>
    </xdr:to>
    <xdr:cxnSp macro="">
      <xdr:nvCxnSpPr>
        <xdr:cNvPr id="169" name="Conector recto de flecha 168"/>
        <xdr:cNvCxnSpPr/>
      </xdr:nvCxnSpPr>
      <xdr:spPr>
        <a:xfrm flipH="1" flipV="1">
          <a:off x="51132988" y="33081951"/>
          <a:ext cx="6610815" cy="2127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192</xdr:row>
      <xdr:rowOff>0</xdr:rowOff>
    </xdr:from>
    <xdr:to>
      <xdr:col>73</xdr:col>
      <xdr:colOff>721446</xdr:colOff>
      <xdr:row>195</xdr:row>
      <xdr:rowOff>134472</xdr:rowOff>
    </xdr:to>
    <xdr:grpSp>
      <xdr:nvGrpSpPr>
        <xdr:cNvPr id="174" name="Grupo 173"/>
        <xdr:cNvGrpSpPr/>
      </xdr:nvGrpSpPr>
      <xdr:grpSpPr>
        <a:xfrm>
          <a:off x="67658226" y="36026008"/>
          <a:ext cx="721446" cy="687537"/>
          <a:chOff x="52088676" y="6928970"/>
          <a:chExt cx="616324" cy="691030"/>
        </a:xfrm>
      </xdr:grpSpPr>
      <xdr:cxnSp macro="">
        <xdr:nvCxnSpPr>
          <xdr:cNvPr id="175" name="Conector recto 174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ector recto 175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ector recto 176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19050</xdr:colOff>
      <xdr:row>350</xdr:row>
      <xdr:rowOff>140074</xdr:rowOff>
    </xdr:from>
    <xdr:to>
      <xdr:col>88</xdr:col>
      <xdr:colOff>1106581</xdr:colOff>
      <xdr:row>351</xdr:row>
      <xdr:rowOff>95250</xdr:rowOff>
    </xdr:to>
    <xdr:cxnSp macro="">
      <xdr:nvCxnSpPr>
        <xdr:cNvPr id="198" name="Conector recto de flecha 197"/>
        <xdr:cNvCxnSpPr/>
      </xdr:nvCxnSpPr>
      <xdr:spPr>
        <a:xfrm flipV="1">
          <a:off x="80914875" y="5421349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350</xdr:row>
      <xdr:rowOff>79375</xdr:rowOff>
    </xdr:from>
    <xdr:to>
      <xdr:col>90</xdr:col>
      <xdr:colOff>1235982</xdr:colOff>
      <xdr:row>350</xdr:row>
      <xdr:rowOff>104775</xdr:rowOff>
    </xdr:to>
    <xdr:cxnSp macro="">
      <xdr:nvCxnSpPr>
        <xdr:cNvPr id="199" name="Conector recto de flecha 198"/>
        <xdr:cNvCxnSpPr/>
      </xdr:nvCxnSpPr>
      <xdr:spPr>
        <a:xfrm flipV="1">
          <a:off x="94664439" y="68035714"/>
          <a:ext cx="1197882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353</xdr:row>
      <xdr:rowOff>38100</xdr:rowOff>
    </xdr:from>
    <xdr:to>
      <xdr:col>85</xdr:col>
      <xdr:colOff>2171700</xdr:colOff>
      <xdr:row>353</xdr:row>
      <xdr:rowOff>114303</xdr:rowOff>
    </xdr:to>
    <xdr:cxnSp macro="">
      <xdr:nvCxnSpPr>
        <xdr:cNvPr id="200" name="Conector recto de flecha 199"/>
        <xdr:cNvCxnSpPr/>
      </xdr:nvCxnSpPr>
      <xdr:spPr>
        <a:xfrm>
          <a:off x="77057250" y="66560700"/>
          <a:ext cx="5600700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346</xdr:row>
      <xdr:rowOff>2802</xdr:rowOff>
    </xdr:from>
    <xdr:to>
      <xdr:col>88</xdr:col>
      <xdr:colOff>1134596</xdr:colOff>
      <xdr:row>349</xdr:row>
      <xdr:rowOff>112059</xdr:rowOff>
    </xdr:to>
    <xdr:cxnSp macro="">
      <xdr:nvCxnSpPr>
        <xdr:cNvPr id="201" name="Conector recto de flecha 200"/>
        <xdr:cNvCxnSpPr/>
      </xdr:nvCxnSpPr>
      <xdr:spPr>
        <a:xfrm>
          <a:off x="80942890" y="5331422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327</xdr:row>
      <xdr:rowOff>92927</xdr:rowOff>
    </xdr:from>
    <xdr:to>
      <xdr:col>85</xdr:col>
      <xdr:colOff>2014251</xdr:colOff>
      <xdr:row>344</xdr:row>
      <xdr:rowOff>108857</xdr:rowOff>
    </xdr:to>
    <xdr:cxnSp macro="">
      <xdr:nvCxnSpPr>
        <xdr:cNvPr id="202" name="Conector recto de flecha 201"/>
        <xdr:cNvCxnSpPr/>
      </xdr:nvCxnSpPr>
      <xdr:spPr>
        <a:xfrm>
          <a:off x="67471810" y="49784852"/>
          <a:ext cx="11104391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330</xdr:row>
      <xdr:rowOff>142875</xdr:rowOff>
    </xdr:from>
    <xdr:to>
      <xdr:col>76</xdr:col>
      <xdr:colOff>1587500</xdr:colOff>
      <xdr:row>331</xdr:row>
      <xdr:rowOff>15875</xdr:rowOff>
    </xdr:to>
    <xdr:cxnSp macro="">
      <xdr:nvCxnSpPr>
        <xdr:cNvPr id="203" name="Conector recto de flecha 202"/>
        <xdr:cNvCxnSpPr/>
      </xdr:nvCxnSpPr>
      <xdr:spPr>
        <a:xfrm flipV="1">
          <a:off x="62166500" y="5040630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351</xdr:row>
      <xdr:rowOff>38100</xdr:rowOff>
    </xdr:from>
    <xdr:to>
      <xdr:col>89</xdr:col>
      <xdr:colOff>57150</xdr:colOff>
      <xdr:row>355</xdr:row>
      <xdr:rowOff>38100</xdr:rowOff>
    </xdr:to>
    <xdr:cxnSp macro="">
      <xdr:nvCxnSpPr>
        <xdr:cNvPr id="205" name="Conector recto de flecha 204"/>
        <xdr:cNvCxnSpPr/>
      </xdr:nvCxnSpPr>
      <xdr:spPr>
        <a:xfrm flipV="1">
          <a:off x="80933925" y="5430202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352</xdr:row>
      <xdr:rowOff>152400</xdr:rowOff>
    </xdr:from>
    <xdr:to>
      <xdr:col>89</xdr:col>
      <xdr:colOff>19050</xdr:colOff>
      <xdr:row>359</xdr:row>
      <xdr:rowOff>95250</xdr:rowOff>
    </xdr:to>
    <xdr:cxnSp macro="">
      <xdr:nvCxnSpPr>
        <xdr:cNvPr id="206" name="Conector recto de flecha 205"/>
        <xdr:cNvCxnSpPr/>
      </xdr:nvCxnSpPr>
      <xdr:spPr>
        <a:xfrm flipV="1">
          <a:off x="81676875" y="5460682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351</xdr:row>
      <xdr:rowOff>114300</xdr:rowOff>
    </xdr:from>
    <xdr:to>
      <xdr:col>89</xdr:col>
      <xdr:colOff>590550</xdr:colOff>
      <xdr:row>364</xdr:row>
      <xdr:rowOff>114300</xdr:rowOff>
    </xdr:to>
    <xdr:cxnSp macro="">
      <xdr:nvCxnSpPr>
        <xdr:cNvPr id="207" name="Conector recto de flecha 206"/>
        <xdr:cNvCxnSpPr/>
      </xdr:nvCxnSpPr>
      <xdr:spPr>
        <a:xfrm flipV="1">
          <a:off x="81695925" y="5437822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495566</xdr:colOff>
      <xdr:row>319</xdr:row>
      <xdr:rowOff>11850</xdr:rowOff>
    </xdr:from>
    <xdr:to>
      <xdr:col>86</xdr:col>
      <xdr:colOff>718546</xdr:colOff>
      <xdr:row>365</xdr:row>
      <xdr:rowOff>66283</xdr:rowOff>
    </xdr:to>
    <xdr:cxnSp macro="">
      <xdr:nvCxnSpPr>
        <xdr:cNvPr id="208" name="Conector angular 207"/>
        <xdr:cNvCxnSpPr/>
      </xdr:nvCxnSpPr>
      <xdr:spPr>
        <a:xfrm>
          <a:off x="58581355" y="57947245"/>
          <a:ext cx="27527980" cy="8727196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320</xdr:row>
      <xdr:rowOff>33421</xdr:rowOff>
    </xdr:from>
    <xdr:to>
      <xdr:col>87</xdr:col>
      <xdr:colOff>24423</xdr:colOff>
      <xdr:row>364</xdr:row>
      <xdr:rowOff>158750</xdr:rowOff>
    </xdr:to>
    <xdr:cxnSp macro="">
      <xdr:nvCxnSpPr>
        <xdr:cNvPr id="209" name="Conector angular 208"/>
        <xdr:cNvCxnSpPr/>
      </xdr:nvCxnSpPr>
      <xdr:spPr>
        <a:xfrm>
          <a:off x="57859601" y="64429225"/>
          <a:ext cx="31461697" cy="9310150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360</xdr:row>
      <xdr:rowOff>81311</xdr:rowOff>
    </xdr:from>
    <xdr:to>
      <xdr:col>86</xdr:col>
      <xdr:colOff>1033811</xdr:colOff>
      <xdr:row>360</xdr:row>
      <xdr:rowOff>92927</xdr:rowOff>
    </xdr:to>
    <xdr:cxnSp macro="">
      <xdr:nvCxnSpPr>
        <xdr:cNvPr id="210" name="Conector recto de flecha 209"/>
        <xdr:cNvCxnSpPr/>
      </xdr:nvCxnSpPr>
      <xdr:spPr>
        <a:xfrm>
          <a:off x="78801254" y="5605973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355</xdr:row>
      <xdr:rowOff>186542</xdr:rowOff>
    </xdr:from>
    <xdr:to>
      <xdr:col>86</xdr:col>
      <xdr:colOff>1393</xdr:colOff>
      <xdr:row>357</xdr:row>
      <xdr:rowOff>173533</xdr:rowOff>
    </xdr:to>
    <xdr:cxnSp macro="">
      <xdr:nvCxnSpPr>
        <xdr:cNvPr id="211" name="Conector recto de flecha 210"/>
        <xdr:cNvCxnSpPr/>
      </xdr:nvCxnSpPr>
      <xdr:spPr>
        <a:xfrm flipV="1">
          <a:off x="81595036" y="66067792"/>
          <a:ext cx="1158402" cy="362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313</xdr:row>
      <xdr:rowOff>139390</xdr:rowOff>
    </xdr:from>
    <xdr:to>
      <xdr:col>77</xdr:col>
      <xdr:colOff>766647</xdr:colOff>
      <xdr:row>323</xdr:row>
      <xdr:rowOff>162622</xdr:rowOff>
    </xdr:to>
    <xdr:cxnSp macro="">
      <xdr:nvCxnSpPr>
        <xdr:cNvPr id="212" name="Conector recto de flecha 211"/>
        <xdr:cNvCxnSpPr/>
      </xdr:nvCxnSpPr>
      <xdr:spPr>
        <a:xfrm flipH="1" flipV="1">
          <a:off x="62101838" y="4716431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311</xdr:row>
      <xdr:rowOff>148442</xdr:rowOff>
    </xdr:from>
    <xdr:to>
      <xdr:col>72</xdr:col>
      <xdr:colOff>756425</xdr:colOff>
      <xdr:row>311</xdr:row>
      <xdr:rowOff>175634</xdr:rowOff>
    </xdr:to>
    <xdr:cxnSp macro="">
      <xdr:nvCxnSpPr>
        <xdr:cNvPr id="213" name="Conector recto de flecha 212"/>
        <xdr:cNvCxnSpPr/>
      </xdr:nvCxnSpPr>
      <xdr:spPr>
        <a:xfrm flipH="1" flipV="1">
          <a:off x="54391461" y="57125260"/>
          <a:ext cx="5580776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311</xdr:row>
      <xdr:rowOff>0</xdr:rowOff>
    </xdr:from>
    <xdr:to>
      <xdr:col>75</xdr:col>
      <xdr:colOff>721446</xdr:colOff>
      <xdr:row>314</xdr:row>
      <xdr:rowOff>134472</xdr:rowOff>
    </xdr:to>
    <xdr:grpSp>
      <xdr:nvGrpSpPr>
        <xdr:cNvPr id="214" name="Grupo 213"/>
        <xdr:cNvGrpSpPr/>
      </xdr:nvGrpSpPr>
      <xdr:grpSpPr>
        <a:xfrm>
          <a:off x="71176331" y="57964234"/>
          <a:ext cx="721446" cy="687536"/>
          <a:chOff x="52088676" y="6928970"/>
          <a:chExt cx="616324" cy="691030"/>
        </a:xfrm>
      </xdr:grpSpPr>
      <xdr:cxnSp macro="">
        <xdr:nvCxnSpPr>
          <xdr:cNvPr id="215" name="Conector recto 214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Conector recto 215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Conector recto 216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340</xdr:row>
      <xdr:rowOff>115455</xdr:rowOff>
    </xdr:from>
    <xdr:to>
      <xdr:col>89</xdr:col>
      <xdr:colOff>528443</xdr:colOff>
      <xdr:row>349</xdr:row>
      <xdr:rowOff>152553</xdr:rowOff>
    </xdr:to>
    <xdr:cxnSp macro="">
      <xdr:nvCxnSpPr>
        <xdr:cNvPr id="219" name="Conector recto de flecha 218"/>
        <xdr:cNvCxnSpPr/>
      </xdr:nvCxnSpPr>
      <xdr:spPr>
        <a:xfrm>
          <a:off x="85638409" y="63182500"/>
          <a:ext cx="1149011" cy="1725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334</xdr:row>
      <xdr:rowOff>101022</xdr:rowOff>
    </xdr:from>
    <xdr:to>
      <xdr:col>86</xdr:col>
      <xdr:colOff>3857</xdr:colOff>
      <xdr:row>337</xdr:row>
      <xdr:rowOff>129886</xdr:rowOff>
    </xdr:to>
    <xdr:cxnSp macro="">
      <xdr:nvCxnSpPr>
        <xdr:cNvPr id="221" name="Conector recto de flecha 220"/>
        <xdr:cNvCxnSpPr/>
      </xdr:nvCxnSpPr>
      <xdr:spPr>
        <a:xfrm>
          <a:off x="81799545" y="62042386"/>
          <a:ext cx="956357" cy="591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354</xdr:row>
      <xdr:rowOff>0</xdr:rowOff>
    </xdr:from>
    <xdr:to>
      <xdr:col>80</xdr:col>
      <xdr:colOff>2152650</xdr:colOff>
      <xdr:row>355</xdr:row>
      <xdr:rowOff>110379</xdr:rowOff>
    </xdr:to>
    <xdr:cxnSp macro="">
      <xdr:nvCxnSpPr>
        <xdr:cNvPr id="226" name="Conector recto de flecha 225"/>
        <xdr:cNvCxnSpPr/>
      </xdr:nvCxnSpPr>
      <xdr:spPr>
        <a:xfrm flipV="1">
          <a:off x="73641207" y="66713100"/>
          <a:ext cx="2082543" cy="300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526442</xdr:colOff>
      <xdr:row>353</xdr:row>
      <xdr:rowOff>24512</xdr:rowOff>
    </xdr:from>
    <xdr:to>
      <xdr:col>77</xdr:col>
      <xdr:colOff>1647030</xdr:colOff>
      <xdr:row>357</xdr:row>
      <xdr:rowOff>80543</xdr:rowOff>
    </xdr:to>
    <xdr:cxnSp macro="">
      <xdr:nvCxnSpPr>
        <xdr:cNvPr id="227" name="Conector recto de flecha 226"/>
        <xdr:cNvCxnSpPr/>
      </xdr:nvCxnSpPr>
      <xdr:spPr>
        <a:xfrm>
          <a:off x="68808786" y="69199825"/>
          <a:ext cx="1120588" cy="889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424</xdr:row>
      <xdr:rowOff>140074</xdr:rowOff>
    </xdr:from>
    <xdr:to>
      <xdr:col>89</xdr:col>
      <xdr:colOff>9619</xdr:colOff>
      <xdr:row>425</xdr:row>
      <xdr:rowOff>95250</xdr:rowOff>
    </xdr:to>
    <xdr:cxnSp macro="">
      <xdr:nvCxnSpPr>
        <xdr:cNvPr id="230" name="Conector recto de flecha 229"/>
        <xdr:cNvCxnSpPr/>
      </xdr:nvCxnSpPr>
      <xdr:spPr>
        <a:xfrm flipV="1">
          <a:off x="84989988" y="68720074"/>
          <a:ext cx="744631" cy="15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424</xdr:row>
      <xdr:rowOff>104775</xdr:rowOff>
    </xdr:from>
    <xdr:to>
      <xdr:col>90</xdr:col>
      <xdr:colOff>742950</xdr:colOff>
      <xdr:row>424</xdr:row>
      <xdr:rowOff>104775</xdr:rowOff>
    </xdr:to>
    <xdr:cxnSp macro="">
      <xdr:nvCxnSpPr>
        <xdr:cNvPr id="231" name="Conector recto de flecha 230"/>
        <xdr:cNvCxnSpPr/>
      </xdr:nvCxnSpPr>
      <xdr:spPr>
        <a:xfrm>
          <a:off x="87866538" y="686847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427</xdr:row>
      <xdr:rowOff>114303</xdr:rowOff>
    </xdr:from>
    <xdr:to>
      <xdr:col>85</xdr:col>
      <xdr:colOff>2171700</xdr:colOff>
      <xdr:row>428</xdr:row>
      <xdr:rowOff>174949</xdr:rowOff>
    </xdr:to>
    <xdr:cxnSp macro="">
      <xdr:nvCxnSpPr>
        <xdr:cNvPr id="232" name="Conector recto de flecha 231"/>
        <xdr:cNvCxnSpPr/>
      </xdr:nvCxnSpPr>
      <xdr:spPr>
        <a:xfrm flipV="1">
          <a:off x="73352219" y="82320885"/>
          <a:ext cx="8975272" cy="255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420</xdr:row>
      <xdr:rowOff>2802</xdr:rowOff>
    </xdr:from>
    <xdr:to>
      <xdr:col>89</xdr:col>
      <xdr:colOff>9059</xdr:colOff>
      <xdr:row>423</xdr:row>
      <xdr:rowOff>112059</xdr:rowOff>
    </xdr:to>
    <xdr:cxnSp macro="">
      <xdr:nvCxnSpPr>
        <xdr:cNvPr id="233" name="Conector recto de flecha 232"/>
        <xdr:cNvCxnSpPr/>
      </xdr:nvCxnSpPr>
      <xdr:spPr>
        <a:xfrm>
          <a:off x="85018003" y="67789052"/>
          <a:ext cx="716056" cy="704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401</xdr:row>
      <xdr:rowOff>92927</xdr:rowOff>
    </xdr:from>
    <xdr:to>
      <xdr:col>85</xdr:col>
      <xdr:colOff>2014251</xdr:colOff>
      <xdr:row>418</xdr:row>
      <xdr:rowOff>108857</xdr:rowOff>
    </xdr:to>
    <xdr:cxnSp macro="">
      <xdr:nvCxnSpPr>
        <xdr:cNvPr id="234" name="Conector recto de flecha 233"/>
        <xdr:cNvCxnSpPr/>
      </xdr:nvCxnSpPr>
      <xdr:spPr>
        <a:xfrm>
          <a:off x="69057723" y="64108865"/>
          <a:ext cx="12847466" cy="338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404</xdr:row>
      <xdr:rowOff>142875</xdr:rowOff>
    </xdr:from>
    <xdr:to>
      <xdr:col>76</xdr:col>
      <xdr:colOff>1368425</xdr:colOff>
      <xdr:row>405</xdr:row>
      <xdr:rowOff>15875</xdr:rowOff>
    </xdr:to>
    <xdr:cxnSp macro="">
      <xdr:nvCxnSpPr>
        <xdr:cNvPr id="235" name="Conector recto de flecha 234"/>
        <xdr:cNvCxnSpPr/>
      </xdr:nvCxnSpPr>
      <xdr:spPr>
        <a:xfrm flipV="1">
          <a:off x="63214250" y="64754125"/>
          <a:ext cx="3440113" cy="71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425</xdr:row>
      <xdr:rowOff>38100</xdr:rowOff>
    </xdr:from>
    <xdr:to>
      <xdr:col>89</xdr:col>
      <xdr:colOff>57150</xdr:colOff>
      <xdr:row>429</xdr:row>
      <xdr:rowOff>38100</xdr:rowOff>
    </xdr:to>
    <xdr:cxnSp macro="">
      <xdr:nvCxnSpPr>
        <xdr:cNvPr id="236" name="Conector recto de flecha 235"/>
        <xdr:cNvCxnSpPr/>
      </xdr:nvCxnSpPr>
      <xdr:spPr>
        <a:xfrm flipV="1">
          <a:off x="85009038" y="68816538"/>
          <a:ext cx="773112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426</xdr:row>
      <xdr:rowOff>152400</xdr:rowOff>
    </xdr:from>
    <xdr:to>
      <xdr:col>89</xdr:col>
      <xdr:colOff>19050</xdr:colOff>
      <xdr:row>433</xdr:row>
      <xdr:rowOff>95250</xdr:rowOff>
    </xdr:to>
    <xdr:cxnSp macro="">
      <xdr:nvCxnSpPr>
        <xdr:cNvPr id="237" name="Conector recto de flecha 236"/>
        <xdr:cNvCxnSpPr/>
      </xdr:nvCxnSpPr>
      <xdr:spPr>
        <a:xfrm flipV="1">
          <a:off x="85744050" y="69129275"/>
          <a:ext cx="0" cy="13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425</xdr:row>
      <xdr:rowOff>114300</xdr:rowOff>
    </xdr:from>
    <xdr:to>
      <xdr:col>89</xdr:col>
      <xdr:colOff>590550</xdr:colOff>
      <xdr:row>438</xdr:row>
      <xdr:rowOff>114300</xdr:rowOff>
    </xdr:to>
    <xdr:cxnSp macro="">
      <xdr:nvCxnSpPr>
        <xdr:cNvPr id="238" name="Conector recto de flecha 237"/>
        <xdr:cNvCxnSpPr/>
      </xdr:nvCxnSpPr>
      <xdr:spPr>
        <a:xfrm flipV="1">
          <a:off x="85763100" y="68892738"/>
          <a:ext cx="552450" cy="2579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393</xdr:row>
      <xdr:rowOff>27213</xdr:rowOff>
    </xdr:from>
    <xdr:to>
      <xdr:col>87</xdr:col>
      <xdr:colOff>27215</xdr:colOff>
      <xdr:row>439</xdr:row>
      <xdr:rowOff>81646</xdr:rowOff>
    </xdr:to>
    <xdr:cxnSp macro="">
      <xdr:nvCxnSpPr>
        <xdr:cNvPr id="239" name="Conector angular 238"/>
        <xdr:cNvCxnSpPr/>
      </xdr:nvCxnSpPr>
      <xdr:spPr>
        <a:xfrm>
          <a:off x="56524073" y="62455651"/>
          <a:ext cx="26886580" cy="9182558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394</xdr:row>
      <xdr:rowOff>33421</xdr:rowOff>
    </xdr:from>
    <xdr:to>
      <xdr:col>87</xdr:col>
      <xdr:colOff>24423</xdr:colOff>
      <xdr:row>438</xdr:row>
      <xdr:rowOff>158750</xdr:rowOff>
    </xdr:to>
    <xdr:cxnSp macro="">
      <xdr:nvCxnSpPr>
        <xdr:cNvPr id="240" name="Conector angular 239"/>
        <xdr:cNvCxnSpPr/>
      </xdr:nvCxnSpPr>
      <xdr:spPr>
        <a:xfrm>
          <a:off x="52734244" y="62660296"/>
          <a:ext cx="30673617" cy="885657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434</xdr:row>
      <xdr:rowOff>81311</xdr:rowOff>
    </xdr:from>
    <xdr:to>
      <xdr:col>86</xdr:col>
      <xdr:colOff>1033811</xdr:colOff>
      <xdr:row>434</xdr:row>
      <xdr:rowOff>92927</xdr:rowOff>
    </xdr:to>
    <xdr:cxnSp macro="">
      <xdr:nvCxnSpPr>
        <xdr:cNvPr id="241" name="Conector recto de flecha 240"/>
        <xdr:cNvCxnSpPr/>
      </xdr:nvCxnSpPr>
      <xdr:spPr>
        <a:xfrm>
          <a:off x="82131829" y="706456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387</xdr:row>
      <xdr:rowOff>139390</xdr:rowOff>
    </xdr:from>
    <xdr:to>
      <xdr:col>77</xdr:col>
      <xdr:colOff>766647</xdr:colOff>
      <xdr:row>397</xdr:row>
      <xdr:rowOff>162622</xdr:rowOff>
    </xdr:to>
    <xdr:cxnSp macro="">
      <xdr:nvCxnSpPr>
        <xdr:cNvPr id="243" name="Conector recto de flecha 242"/>
        <xdr:cNvCxnSpPr/>
      </xdr:nvCxnSpPr>
      <xdr:spPr>
        <a:xfrm flipH="1" flipV="1">
          <a:off x="63149588" y="61377203"/>
          <a:ext cx="4292059" cy="2007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385</xdr:row>
      <xdr:rowOff>148442</xdr:rowOff>
    </xdr:from>
    <xdr:to>
      <xdr:col>72</xdr:col>
      <xdr:colOff>756425</xdr:colOff>
      <xdr:row>385</xdr:row>
      <xdr:rowOff>175634</xdr:rowOff>
    </xdr:to>
    <xdr:cxnSp macro="">
      <xdr:nvCxnSpPr>
        <xdr:cNvPr id="244" name="Conector recto de flecha 243"/>
        <xdr:cNvCxnSpPr/>
      </xdr:nvCxnSpPr>
      <xdr:spPr>
        <a:xfrm flipH="1" flipV="1">
          <a:off x="53624513" y="60989380"/>
          <a:ext cx="555191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385</xdr:row>
      <xdr:rowOff>0</xdr:rowOff>
    </xdr:from>
    <xdr:to>
      <xdr:col>75</xdr:col>
      <xdr:colOff>721446</xdr:colOff>
      <xdr:row>388</xdr:row>
      <xdr:rowOff>134472</xdr:rowOff>
    </xdr:to>
    <xdr:grpSp>
      <xdr:nvGrpSpPr>
        <xdr:cNvPr id="245" name="Grupo 244"/>
        <xdr:cNvGrpSpPr/>
      </xdr:nvGrpSpPr>
      <xdr:grpSpPr>
        <a:xfrm>
          <a:off x="71176331" y="72021290"/>
          <a:ext cx="721446" cy="687537"/>
          <a:chOff x="52088676" y="6928970"/>
          <a:chExt cx="616324" cy="691030"/>
        </a:xfrm>
      </xdr:grpSpPr>
      <xdr:cxnSp macro="">
        <xdr:nvCxnSpPr>
          <xdr:cNvPr id="246" name="Conector recto 245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Conector recto 246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Conector recto 247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414</xdr:row>
      <xdr:rowOff>125605</xdr:rowOff>
    </xdr:from>
    <xdr:to>
      <xdr:col>89</xdr:col>
      <xdr:colOff>528443</xdr:colOff>
      <xdr:row>423</xdr:row>
      <xdr:rowOff>152553</xdr:rowOff>
    </xdr:to>
    <xdr:cxnSp macro="">
      <xdr:nvCxnSpPr>
        <xdr:cNvPr id="249" name="Conector recto de flecha 248"/>
        <xdr:cNvCxnSpPr/>
      </xdr:nvCxnSpPr>
      <xdr:spPr>
        <a:xfrm>
          <a:off x="85641264" y="77372308"/>
          <a:ext cx="1240201" cy="1722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408</xdr:row>
      <xdr:rowOff>101022</xdr:rowOff>
    </xdr:from>
    <xdr:to>
      <xdr:col>86</xdr:col>
      <xdr:colOff>3857</xdr:colOff>
      <xdr:row>411</xdr:row>
      <xdr:rowOff>129886</xdr:rowOff>
    </xdr:to>
    <xdr:cxnSp macro="">
      <xdr:nvCxnSpPr>
        <xdr:cNvPr id="250" name="Conector recto de flecha 249"/>
        <xdr:cNvCxnSpPr/>
      </xdr:nvCxnSpPr>
      <xdr:spPr>
        <a:xfrm>
          <a:off x="81117642" y="65506022"/>
          <a:ext cx="959965" cy="624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424</xdr:row>
      <xdr:rowOff>140074</xdr:rowOff>
    </xdr:from>
    <xdr:to>
      <xdr:col>88</xdr:col>
      <xdr:colOff>1106581</xdr:colOff>
      <xdr:row>425</xdr:row>
      <xdr:rowOff>95250</xdr:rowOff>
    </xdr:to>
    <xdr:cxnSp macro="">
      <xdr:nvCxnSpPr>
        <xdr:cNvPr id="269" name="Conector recto de flecha 268"/>
        <xdr:cNvCxnSpPr/>
      </xdr:nvCxnSpPr>
      <xdr:spPr>
        <a:xfrm flipV="1">
          <a:off x="82092800" y="45106012"/>
          <a:ext cx="1087531" cy="153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424</xdr:row>
      <xdr:rowOff>104775</xdr:rowOff>
    </xdr:from>
    <xdr:to>
      <xdr:col>90</xdr:col>
      <xdr:colOff>742950</xdr:colOff>
      <xdr:row>424</xdr:row>
      <xdr:rowOff>104775</xdr:rowOff>
    </xdr:to>
    <xdr:cxnSp macro="">
      <xdr:nvCxnSpPr>
        <xdr:cNvPr id="270" name="Conector recto de flecha 269"/>
        <xdr:cNvCxnSpPr/>
      </xdr:nvCxnSpPr>
      <xdr:spPr>
        <a:xfrm>
          <a:off x="85009038" y="45070713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420</xdr:row>
      <xdr:rowOff>2802</xdr:rowOff>
    </xdr:from>
    <xdr:to>
      <xdr:col>88</xdr:col>
      <xdr:colOff>1134596</xdr:colOff>
      <xdr:row>423</xdr:row>
      <xdr:rowOff>112059</xdr:rowOff>
    </xdr:to>
    <xdr:cxnSp macro="">
      <xdr:nvCxnSpPr>
        <xdr:cNvPr id="271" name="Conector recto de flecha 270"/>
        <xdr:cNvCxnSpPr/>
      </xdr:nvCxnSpPr>
      <xdr:spPr>
        <a:xfrm>
          <a:off x="82120815" y="44174990"/>
          <a:ext cx="1087531" cy="704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425</xdr:row>
      <xdr:rowOff>38100</xdr:rowOff>
    </xdr:from>
    <xdr:to>
      <xdr:col>89</xdr:col>
      <xdr:colOff>57150</xdr:colOff>
      <xdr:row>429</xdr:row>
      <xdr:rowOff>38100</xdr:rowOff>
    </xdr:to>
    <xdr:cxnSp macro="">
      <xdr:nvCxnSpPr>
        <xdr:cNvPr id="272" name="Conector recto de flecha 271"/>
        <xdr:cNvCxnSpPr/>
      </xdr:nvCxnSpPr>
      <xdr:spPr>
        <a:xfrm flipV="1">
          <a:off x="82111850" y="45202475"/>
          <a:ext cx="1328738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426</xdr:row>
      <xdr:rowOff>152400</xdr:rowOff>
    </xdr:from>
    <xdr:to>
      <xdr:col>89</xdr:col>
      <xdr:colOff>19050</xdr:colOff>
      <xdr:row>433</xdr:row>
      <xdr:rowOff>95250</xdr:rowOff>
    </xdr:to>
    <xdr:cxnSp macro="">
      <xdr:nvCxnSpPr>
        <xdr:cNvPr id="273" name="Conector recto de flecha 272"/>
        <xdr:cNvCxnSpPr/>
      </xdr:nvCxnSpPr>
      <xdr:spPr>
        <a:xfrm flipV="1">
          <a:off x="83402488" y="45515213"/>
          <a:ext cx="0" cy="1331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425</xdr:row>
      <xdr:rowOff>114300</xdr:rowOff>
    </xdr:from>
    <xdr:to>
      <xdr:col>89</xdr:col>
      <xdr:colOff>590550</xdr:colOff>
      <xdr:row>438</xdr:row>
      <xdr:rowOff>114300</xdr:rowOff>
    </xdr:to>
    <xdr:cxnSp macro="">
      <xdr:nvCxnSpPr>
        <xdr:cNvPr id="274" name="Conector recto de flecha 273"/>
        <xdr:cNvCxnSpPr/>
      </xdr:nvCxnSpPr>
      <xdr:spPr>
        <a:xfrm flipV="1">
          <a:off x="83421538" y="45278675"/>
          <a:ext cx="552450" cy="2579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434</xdr:row>
      <xdr:rowOff>81311</xdr:rowOff>
    </xdr:from>
    <xdr:to>
      <xdr:col>86</xdr:col>
      <xdr:colOff>1033811</xdr:colOff>
      <xdr:row>434</xdr:row>
      <xdr:rowOff>92927</xdr:rowOff>
    </xdr:to>
    <xdr:cxnSp macro="">
      <xdr:nvCxnSpPr>
        <xdr:cNvPr id="275" name="Conector recto de flecha 274"/>
        <xdr:cNvCxnSpPr/>
      </xdr:nvCxnSpPr>
      <xdr:spPr>
        <a:xfrm>
          <a:off x="78877454" y="47031624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430</xdr:row>
      <xdr:rowOff>71088</xdr:rowOff>
    </xdr:from>
    <xdr:to>
      <xdr:col>86</xdr:col>
      <xdr:colOff>1393</xdr:colOff>
      <xdr:row>432</xdr:row>
      <xdr:rowOff>58079</xdr:rowOff>
    </xdr:to>
    <xdr:cxnSp macro="">
      <xdr:nvCxnSpPr>
        <xdr:cNvPr id="276" name="Conector recto de flecha 275"/>
        <xdr:cNvCxnSpPr/>
      </xdr:nvCxnSpPr>
      <xdr:spPr>
        <a:xfrm flipV="1">
          <a:off x="78412820" y="46227651"/>
          <a:ext cx="407948" cy="383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416</xdr:row>
      <xdr:rowOff>10468</xdr:rowOff>
    </xdr:from>
    <xdr:to>
      <xdr:col>89</xdr:col>
      <xdr:colOff>1151860</xdr:colOff>
      <xdr:row>423</xdr:row>
      <xdr:rowOff>158414</xdr:rowOff>
    </xdr:to>
    <xdr:cxnSp macro="">
      <xdr:nvCxnSpPr>
        <xdr:cNvPr id="278" name="Conector recto de flecha 277"/>
        <xdr:cNvCxnSpPr/>
      </xdr:nvCxnSpPr>
      <xdr:spPr>
        <a:xfrm>
          <a:off x="87504396" y="77633984"/>
          <a:ext cx="486" cy="1466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408</xdr:row>
      <xdr:rowOff>101022</xdr:rowOff>
    </xdr:from>
    <xdr:to>
      <xdr:col>89</xdr:col>
      <xdr:colOff>3857</xdr:colOff>
      <xdr:row>411</xdr:row>
      <xdr:rowOff>129886</xdr:rowOff>
    </xdr:to>
    <xdr:cxnSp macro="">
      <xdr:nvCxnSpPr>
        <xdr:cNvPr id="282" name="Conector recto de flecha 281"/>
        <xdr:cNvCxnSpPr/>
      </xdr:nvCxnSpPr>
      <xdr:spPr>
        <a:xfrm>
          <a:off x="81799545" y="75925795"/>
          <a:ext cx="956357" cy="591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500</xdr:row>
      <xdr:rowOff>140074</xdr:rowOff>
    </xdr:from>
    <xdr:to>
      <xdr:col>89</xdr:col>
      <xdr:colOff>9619</xdr:colOff>
      <xdr:row>501</xdr:row>
      <xdr:rowOff>95250</xdr:rowOff>
    </xdr:to>
    <xdr:cxnSp macro="">
      <xdr:nvCxnSpPr>
        <xdr:cNvPr id="284" name="Conector recto de flecha 283"/>
        <xdr:cNvCxnSpPr/>
      </xdr:nvCxnSpPr>
      <xdr:spPr>
        <a:xfrm flipV="1">
          <a:off x="84553425" y="85763020"/>
          <a:ext cx="738962" cy="159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500</xdr:row>
      <xdr:rowOff>104775</xdr:rowOff>
    </xdr:from>
    <xdr:to>
      <xdr:col>90</xdr:col>
      <xdr:colOff>742950</xdr:colOff>
      <xdr:row>500</xdr:row>
      <xdr:rowOff>104775</xdr:rowOff>
    </xdr:to>
    <xdr:cxnSp macro="">
      <xdr:nvCxnSpPr>
        <xdr:cNvPr id="285" name="Conector recto de flecha 284"/>
        <xdr:cNvCxnSpPr/>
      </xdr:nvCxnSpPr>
      <xdr:spPr>
        <a:xfrm>
          <a:off x="87429975" y="85727721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503</xdr:row>
      <xdr:rowOff>114303</xdr:rowOff>
    </xdr:from>
    <xdr:to>
      <xdr:col>85</xdr:col>
      <xdr:colOff>2171700</xdr:colOff>
      <xdr:row>504</xdr:row>
      <xdr:rowOff>174949</xdr:rowOff>
    </xdr:to>
    <xdr:cxnSp macro="">
      <xdr:nvCxnSpPr>
        <xdr:cNvPr id="286" name="Conector recto de flecha 285"/>
        <xdr:cNvCxnSpPr/>
      </xdr:nvCxnSpPr>
      <xdr:spPr>
        <a:xfrm flipV="1">
          <a:off x="72701020" y="86349571"/>
          <a:ext cx="8936394" cy="264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496</xdr:row>
      <xdr:rowOff>2802</xdr:rowOff>
    </xdr:from>
    <xdr:to>
      <xdr:col>89</xdr:col>
      <xdr:colOff>9059</xdr:colOff>
      <xdr:row>499</xdr:row>
      <xdr:rowOff>112059</xdr:rowOff>
    </xdr:to>
    <xdr:cxnSp macro="">
      <xdr:nvCxnSpPr>
        <xdr:cNvPr id="287" name="Conector recto de flecha 286"/>
        <xdr:cNvCxnSpPr/>
      </xdr:nvCxnSpPr>
      <xdr:spPr>
        <a:xfrm>
          <a:off x="84581440" y="84809320"/>
          <a:ext cx="710387" cy="72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477</xdr:row>
      <xdr:rowOff>92927</xdr:rowOff>
    </xdr:from>
    <xdr:to>
      <xdr:col>85</xdr:col>
      <xdr:colOff>2014251</xdr:colOff>
      <xdr:row>494</xdr:row>
      <xdr:rowOff>108857</xdr:rowOff>
    </xdr:to>
    <xdr:cxnSp macro="">
      <xdr:nvCxnSpPr>
        <xdr:cNvPr id="288" name="Conector recto de flecha 287"/>
        <xdr:cNvCxnSpPr/>
      </xdr:nvCxnSpPr>
      <xdr:spPr>
        <a:xfrm>
          <a:off x="68666517" y="81021409"/>
          <a:ext cx="12813448" cy="348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480</xdr:row>
      <xdr:rowOff>142875</xdr:rowOff>
    </xdr:from>
    <xdr:to>
      <xdr:col>76</xdr:col>
      <xdr:colOff>1368425</xdr:colOff>
      <xdr:row>481</xdr:row>
      <xdr:rowOff>15875</xdr:rowOff>
    </xdr:to>
    <xdr:cxnSp macro="">
      <xdr:nvCxnSpPr>
        <xdr:cNvPr id="289" name="Conector recto de flecha 288"/>
        <xdr:cNvCxnSpPr/>
      </xdr:nvCxnSpPr>
      <xdr:spPr>
        <a:xfrm flipV="1">
          <a:off x="62840054" y="81683679"/>
          <a:ext cx="3434442" cy="77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501</xdr:row>
      <xdr:rowOff>38100</xdr:rowOff>
    </xdr:from>
    <xdr:to>
      <xdr:col>89</xdr:col>
      <xdr:colOff>57150</xdr:colOff>
      <xdr:row>505</xdr:row>
      <xdr:rowOff>38100</xdr:rowOff>
    </xdr:to>
    <xdr:cxnSp macro="">
      <xdr:nvCxnSpPr>
        <xdr:cNvPr id="290" name="Conector recto de flecha 289"/>
        <xdr:cNvCxnSpPr/>
      </xdr:nvCxnSpPr>
      <xdr:spPr>
        <a:xfrm flipV="1">
          <a:off x="84572475" y="85865154"/>
          <a:ext cx="767443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502</xdr:row>
      <xdr:rowOff>152400</xdr:rowOff>
    </xdr:from>
    <xdr:to>
      <xdr:col>89</xdr:col>
      <xdr:colOff>19050</xdr:colOff>
      <xdr:row>509</xdr:row>
      <xdr:rowOff>95250</xdr:rowOff>
    </xdr:to>
    <xdr:cxnSp macro="">
      <xdr:nvCxnSpPr>
        <xdr:cNvPr id="291" name="Conector recto de flecha 290"/>
        <xdr:cNvCxnSpPr/>
      </xdr:nvCxnSpPr>
      <xdr:spPr>
        <a:xfrm flipV="1">
          <a:off x="85301818" y="86183561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501</xdr:row>
      <xdr:rowOff>114300</xdr:rowOff>
    </xdr:from>
    <xdr:to>
      <xdr:col>89</xdr:col>
      <xdr:colOff>590550</xdr:colOff>
      <xdr:row>514</xdr:row>
      <xdr:rowOff>114300</xdr:rowOff>
    </xdr:to>
    <xdr:cxnSp macro="">
      <xdr:nvCxnSpPr>
        <xdr:cNvPr id="292" name="Conector recto de flecha 291"/>
        <xdr:cNvCxnSpPr/>
      </xdr:nvCxnSpPr>
      <xdr:spPr>
        <a:xfrm flipV="1">
          <a:off x="85320868" y="85941354"/>
          <a:ext cx="552450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469</xdr:row>
      <xdr:rowOff>27213</xdr:rowOff>
    </xdr:from>
    <xdr:to>
      <xdr:col>87</xdr:col>
      <xdr:colOff>27215</xdr:colOff>
      <xdr:row>515</xdr:row>
      <xdr:rowOff>81646</xdr:rowOff>
    </xdr:to>
    <xdr:cxnSp macro="">
      <xdr:nvCxnSpPr>
        <xdr:cNvPr id="293" name="Conector angular 292"/>
        <xdr:cNvCxnSpPr/>
      </xdr:nvCxnSpPr>
      <xdr:spPr>
        <a:xfrm>
          <a:off x="56115859" y="79322838"/>
          <a:ext cx="26846892" cy="9443362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470</xdr:row>
      <xdr:rowOff>33421</xdr:rowOff>
    </xdr:from>
    <xdr:to>
      <xdr:col>87</xdr:col>
      <xdr:colOff>24423</xdr:colOff>
      <xdr:row>514</xdr:row>
      <xdr:rowOff>158750</xdr:rowOff>
    </xdr:to>
    <xdr:cxnSp macro="">
      <xdr:nvCxnSpPr>
        <xdr:cNvPr id="294" name="Conector angular 293"/>
        <xdr:cNvCxnSpPr/>
      </xdr:nvCxnSpPr>
      <xdr:spPr>
        <a:xfrm>
          <a:off x="52348708" y="79533153"/>
          <a:ext cx="30611251" cy="9106043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510</xdr:row>
      <xdr:rowOff>81311</xdr:rowOff>
    </xdr:from>
    <xdr:to>
      <xdr:col>86</xdr:col>
      <xdr:colOff>1033811</xdr:colOff>
      <xdr:row>510</xdr:row>
      <xdr:rowOff>92927</xdr:rowOff>
    </xdr:to>
    <xdr:cxnSp macro="">
      <xdr:nvCxnSpPr>
        <xdr:cNvPr id="295" name="Conector recto de flecha 294"/>
        <xdr:cNvCxnSpPr/>
      </xdr:nvCxnSpPr>
      <xdr:spPr>
        <a:xfrm>
          <a:off x="81700936" y="87745329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463</xdr:row>
      <xdr:rowOff>139390</xdr:rowOff>
    </xdr:from>
    <xdr:to>
      <xdr:col>77</xdr:col>
      <xdr:colOff>766647</xdr:colOff>
      <xdr:row>473</xdr:row>
      <xdr:rowOff>162622</xdr:rowOff>
    </xdr:to>
    <xdr:cxnSp macro="">
      <xdr:nvCxnSpPr>
        <xdr:cNvPr id="296" name="Conector recto de flecha 295"/>
        <xdr:cNvCxnSpPr/>
      </xdr:nvCxnSpPr>
      <xdr:spPr>
        <a:xfrm flipH="1" flipV="1">
          <a:off x="62775392" y="78210372"/>
          <a:ext cx="4258041" cy="2064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461</xdr:row>
      <xdr:rowOff>148442</xdr:rowOff>
    </xdr:from>
    <xdr:to>
      <xdr:col>72</xdr:col>
      <xdr:colOff>756425</xdr:colOff>
      <xdr:row>461</xdr:row>
      <xdr:rowOff>175634</xdr:rowOff>
    </xdr:to>
    <xdr:cxnSp macro="">
      <xdr:nvCxnSpPr>
        <xdr:cNvPr id="297" name="Conector recto de flecha 296"/>
        <xdr:cNvCxnSpPr/>
      </xdr:nvCxnSpPr>
      <xdr:spPr>
        <a:xfrm flipH="1" flipV="1">
          <a:off x="53216299" y="77811210"/>
          <a:ext cx="554057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461</xdr:row>
      <xdr:rowOff>0</xdr:rowOff>
    </xdr:from>
    <xdr:to>
      <xdr:col>75</xdr:col>
      <xdr:colOff>721446</xdr:colOff>
      <xdr:row>464</xdr:row>
      <xdr:rowOff>134472</xdr:rowOff>
    </xdr:to>
    <xdr:grpSp>
      <xdr:nvGrpSpPr>
        <xdr:cNvPr id="298" name="Grupo 297"/>
        <xdr:cNvGrpSpPr/>
      </xdr:nvGrpSpPr>
      <xdr:grpSpPr>
        <a:xfrm>
          <a:off x="71176331" y="86032258"/>
          <a:ext cx="721446" cy="687537"/>
          <a:chOff x="52088676" y="6928970"/>
          <a:chExt cx="616324" cy="691030"/>
        </a:xfrm>
      </xdr:grpSpPr>
      <xdr:cxnSp macro="">
        <xdr:nvCxnSpPr>
          <xdr:cNvPr id="299" name="Conector recto 298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Conector recto 299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Conector recto 300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490</xdr:row>
      <xdr:rowOff>125605</xdr:rowOff>
    </xdr:from>
    <xdr:to>
      <xdr:col>89</xdr:col>
      <xdr:colOff>528443</xdr:colOff>
      <xdr:row>499</xdr:row>
      <xdr:rowOff>152553</xdr:rowOff>
    </xdr:to>
    <xdr:cxnSp macro="">
      <xdr:nvCxnSpPr>
        <xdr:cNvPr id="302" name="Conector recto de flecha 301"/>
        <xdr:cNvCxnSpPr/>
      </xdr:nvCxnSpPr>
      <xdr:spPr>
        <a:xfrm>
          <a:off x="84586710" y="83707480"/>
          <a:ext cx="1224501" cy="186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484</xdr:row>
      <xdr:rowOff>101022</xdr:rowOff>
    </xdr:from>
    <xdr:to>
      <xdr:col>86</xdr:col>
      <xdr:colOff>3857</xdr:colOff>
      <xdr:row>487</xdr:row>
      <xdr:rowOff>129886</xdr:rowOff>
    </xdr:to>
    <xdr:cxnSp macro="">
      <xdr:nvCxnSpPr>
        <xdr:cNvPr id="303" name="Conector recto de flecha 302"/>
        <xdr:cNvCxnSpPr/>
      </xdr:nvCxnSpPr>
      <xdr:spPr>
        <a:xfrm>
          <a:off x="80692418" y="82458254"/>
          <a:ext cx="954296" cy="64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500</xdr:row>
      <xdr:rowOff>140074</xdr:rowOff>
    </xdr:from>
    <xdr:to>
      <xdr:col>88</xdr:col>
      <xdr:colOff>1106581</xdr:colOff>
      <xdr:row>501</xdr:row>
      <xdr:rowOff>95250</xdr:rowOff>
    </xdr:to>
    <xdr:cxnSp macro="">
      <xdr:nvCxnSpPr>
        <xdr:cNvPr id="304" name="Conector recto de flecha 303"/>
        <xdr:cNvCxnSpPr/>
      </xdr:nvCxnSpPr>
      <xdr:spPr>
        <a:xfrm flipV="1">
          <a:off x="84553425" y="85763020"/>
          <a:ext cx="744631" cy="159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500</xdr:row>
      <xdr:rowOff>104775</xdr:rowOff>
    </xdr:from>
    <xdr:to>
      <xdr:col>90</xdr:col>
      <xdr:colOff>742950</xdr:colOff>
      <xdr:row>500</xdr:row>
      <xdr:rowOff>104775</xdr:rowOff>
    </xdr:to>
    <xdr:cxnSp macro="">
      <xdr:nvCxnSpPr>
        <xdr:cNvPr id="305" name="Conector recto de flecha 304"/>
        <xdr:cNvCxnSpPr/>
      </xdr:nvCxnSpPr>
      <xdr:spPr>
        <a:xfrm>
          <a:off x="87429975" y="85727721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496</xdr:row>
      <xdr:rowOff>2802</xdr:rowOff>
    </xdr:from>
    <xdr:to>
      <xdr:col>88</xdr:col>
      <xdr:colOff>1134596</xdr:colOff>
      <xdr:row>499</xdr:row>
      <xdr:rowOff>112059</xdr:rowOff>
    </xdr:to>
    <xdr:cxnSp macro="">
      <xdr:nvCxnSpPr>
        <xdr:cNvPr id="306" name="Conector recto de flecha 305"/>
        <xdr:cNvCxnSpPr/>
      </xdr:nvCxnSpPr>
      <xdr:spPr>
        <a:xfrm>
          <a:off x="84581440" y="84809320"/>
          <a:ext cx="716056" cy="72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501</xdr:row>
      <xdr:rowOff>38100</xdr:rowOff>
    </xdr:from>
    <xdr:to>
      <xdr:col>89</xdr:col>
      <xdr:colOff>57150</xdr:colOff>
      <xdr:row>505</xdr:row>
      <xdr:rowOff>38100</xdr:rowOff>
    </xdr:to>
    <xdr:cxnSp macro="">
      <xdr:nvCxnSpPr>
        <xdr:cNvPr id="307" name="Conector recto de flecha 306"/>
        <xdr:cNvCxnSpPr/>
      </xdr:nvCxnSpPr>
      <xdr:spPr>
        <a:xfrm flipV="1">
          <a:off x="84572475" y="85865154"/>
          <a:ext cx="767443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502</xdr:row>
      <xdr:rowOff>152400</xdr:rowOff>
    </xdr:from>
    <xdr:to>
      <xdr:col>89</xdr:col>
      <xdr:colOff>19050</xdr:colOff>
      <xdr:row>509</xdr:row>
      <xdr:rowOff>95250</xdr:rowOff>
    </xdr:to>
    <xdr:cxnSp macro="">
      <xdr:nvCxnSpPr>
        <xdr:cNvPr id="308" name="Conector recto de flecha 307"/>
        <xdr:cNvCxnSpPr/>
      </xdr:nvCxnSpPr>
      <xdr:spPr>
        <a:xfrm flipV="1">
          <a:off x="85301818" y="86183561"/>
          <a:ext cx="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501</xdr:row>
      <xdr:rowOff>114300</xdr:rowOff>
    </xdr:from>
    <xdr:to>
      <xdr:col>89</xdr:col>
      <xdr:colOff>590550</xdr:colOff>
      <xdr:row>514</xdr:row>
      <xdr:rowOff>114300</xdr:rowOff>
    </xdr:to>
    <xdr:cxnSp macro="">
      <xdr:nvCxnSpPr>
        <xdr:cNvPr id="309" name="Conector recto de flecha 308"/>
        <xdr:cNvCxnSpPr/>
      </xdr:nvCxnSpPr>
      <xdr:spPr>
        <a:xfrm flipV="1">
          <a:off x="85320868" y="85941354"/>
          <a:ext cx="552450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510</xdr:row>
      <xdr:rowOff>81311</xdr:rowOff>
    </xdr:from>
    <xdr:to>
      <xdr:col>86</xdr:col>
      <xdr:colOff>1033811</xdr:colOff>
      <xdr:row>510</xdr:row>
      <xdr:rowOff>92927</xdr:rowOff>
    </xdr:to>
    <xdr:cxnSp macro="">
      <xdr:nvCxnSpPr>
        <xdr:cNvPr id="310" name="Conector recto de flecha 309"/>
        <xdr:cNvCxnSpPr/>
      </xdr:nvCxnSpPr>
      <xdr:spPr>
        <a:xfrm>
          <a:off x="81700936" y="87745329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506</xdr:row>
      <xdr:rowOff>71088</xdr:rowOff>
    </xdr:from>
    <xdr:to>
      <xdr:col>86</xdr:col>
      <xdr:colOff>1393</xdr:colOff>
      <xdr:row>508</xdr:row>
      <xdr:rowOff>58079</xdr:rowOff>
    </xdr:to>
    <xdr:cxnSp macro="">
      <xdr:nvCxnSpPr>
        <xdr:cNvPr id="311" name="Conector recto de flecha 310"/>
        <xdr:cNvCxnSpPr/>
      </xdr:nvCxnSpPr>
      <xdr:spPr>
        <a:xfrm flipV="1">
          <a:off x="80487909" y="86918677"/>
          <a:ext cx="1156341" cy="39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492</xdr:row>
      <xdr:rowOff>10468</xdr:rowOff>
    </xdr:from>
    <xdr:to>
      <xdr:col>89</xdr:col>
      <xdr:colOff>1151860</xdr:colOff>
      <xdr:row>499</xdr:row>
      <xdr:rowOff>158414</xdr:rowOff>
    </xdr:to>
    <xdr:cxnSp macro="">
      <xdr:nvCxnSpPr>
        <xdr:cNvPr id="312" name="Conector recto de flecha 311"/>
        <xdr:cNvCxnSpPr/>
      </xdr:nvCxnSpPr>
      <xdr:spPr>
        <a:xfrm>
          <a:off x="86434142" y="84000557"/>
          <a:ext cx="486" cy="1576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484</xdr:row>
      <xdr:rowOff>101022</xdr:rowOff>
    </xdr:from>
    <xdr:to>
      <xdr:col>89</xdr:col>
      <xdr:colOff>3857</xdr:colOff>
      <xdr:row>487</xdr:row>
      <xdr:rowOff>129886</xdr:rowOff>
    </xdr:to>
    <xdr:cxnSp macro="">
      <xdr:nvCxnSpPr>
        <xdr:cNvPr id="313" name="Conector recto de flecha 312"/>
        <xdr:cNvCxnSpPr/>
      </xdr:nvCxnSpPr>
      <xdr:spPr>
        <a:xfrm>
          <a:off x="85294354" y="82458254"/>
          <a:ext cx="0" cy="64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578</xdr:row>
      <xdr:rowOff>140074</xdr:rowOff>
    </xdr:from>
    <xdr:to>
      <xdr:col>88</xdr:col>
      <xdr:colOff>1106581</xdr:colOff>
      <xdr:row>579</xdr:row>
      <xdr:rowOff>95250</xdr:rowOff>
    </xdr:to>
    <xdr:cxnSp macro="">
      <xdr:nvCxnSpPr>
        <xdr:cNvPr id="337" name="Conector recto de flecha 336"/>
        <xdr:cNvCxnSpPr/>
      </xdr:nvCxnSpPr>
      <xdr:spPr>
        <a:xfrm flipV="1">
          <a:off x="86752579" y="58522721"/>
          <a:ext cx="744631" cy="123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578</xdr:row>
      <xdr:rowOff>104775</xdr:rowOff>
    </xdr:from>
    <xdr:to>
      <xdr:col>90</xdr:col>
      <xdr:colOff>742950</xdr:colOff>
      <xdr:row>578</xdr:row>
      <xdr:rowOff>104775</xdr:rowOff>
    </xdr:to>
    <xdr:cxnSp macro="">
      <xdr:nvCxnSpPr>
        <xdr:cNvPr id="338" name="Conector recto de flecha 337"/>
        <xdr:cNvCxnSpPr/>
      </xdr:nvCxnSpPr>
      <xdr:spPr>
        <a:xfrm>
          <a:off x="89685159" y="5848742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581</xdr:row>
      <xdr:rowOff>38100</xdr:rowOff>
    </xdr:from>
    <xdr:to>
      <xdr:col>85</xdr:col>
      <xdr:colOff>2171700</xdr:colOff>
      <xdr:row>581</xdr:row>
      <xdr:rowOff>114303</xdr:rowOff>
    </xdr:to>
    <xdr:cxnSp macro="">
      <xdr:nvCxnSpPr>
        <xdr:cNvPr id="339" name="Conector recto de flecha 338"/>
        <xdr:cNvCxnSpPr/>
      </xdr:nvCxnSpPr>
      <xdr:spPr>
        <a:xfrm>
          <a:off x="78312309" y="58925012"/>
          <a:ext cx="5550273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574</xdr:row>
      <xdr:rowOff>2802</xdr:rowOff>
    </xdr:from>
    <xdr:to>
      <xdr:col>88</xdr:col>
      <xdr:colOff>1134596</xdr:colOff>
      <xdr:row>577</xdr:row>
      <xdr:rowOff>112059</xdr:rowOff>
    </xdr:to>
    <xdr:cxnSp macro="">
      <xdr:nvCxnSpPr>
        <xdr:cNvPr id="340" name="Conector recto de flecha 339"/>
        <xdr:cNvCxnSpPr/>
      </xdr:nvCxnSpPr>
      <xdr:spPr>
        <a:xfrm>
          <a:off x="86780594" y="57713096"/>
          <a:ext cx="716056" cy="613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555</xdr:row>
      <xdr:rowOff>92927</xdr:rowOff>
    </xdr:from>
    <xdr:to>
      <xdr:col>85</xdr:col>
      <xdr:colOff>2014251</xdr:colOff>
      <xdr:row>572</xdr:row>
      <xdr:rowOff>108857</xdr:rowOff>
    </xdr:to>
    <xdr:cxnSp macro="">
      <xdr:nvCxnSpPr>
        <xdr:cNvPr id="341" name="Conector recto de flecha 340"/>
        <xdr:cNvCxnSpPr/>
      </xdr:nvCxnSpPr>
      <xdr:spPr>
        <a:xfrm>
          <a:off x="70941711" y="54609545"/>
          <a:ext cx="12763422" cy="287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558</xdr:row>
      <xdr:rowOff>142875</xdr:rowOff>
    </xdr:from>
    <xdr:to>
      <xdr:col>76</xdr:col>
      <xdr:colOff>1587500</xdr:colOff>
      <xdr:row>559</xdr:row>
      <xdr:rowOff>15875</xdr:rowOff>
    </xdr:to>
    <xdr:cxnSp macro="">
      <xdr:nvCxnSpPr>
        <xdr:cNvPr id="342" name="Conector recto de flecha 341"/>
        <xdr:cNvCxnSpPr/>
      </xdr:nvCxnSpPr>
      <xdr:spPr>
        <a:xfrm flipV="1">
          <a:off x="65105243" y="55163757"/>
          <a:ext cx="3442447" cy="41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579</xdr:row>
      <xdr:rowOff>38100</xdr:rowOff>
    </xdr:from>
    <xdr:to>
      <xdr:col>89</xdr:col>
      <xdr:colOff>57150</xdr:colOff>
      <xdr:row>583</xdr:row>
      <xdr:rowOff>38100</xdr:rowOff>
    </xdr:to>
    <xdr:cxnSp macro="">
      <xdr:nvCxnSpPr>
        <xdr:cNvPr id="343" name="Conector recto de flecha 342"/>
        <xdr:cNvCxnSpPr/>
      </xdr:nvCxnSpPr>
      <xdr:spPr>
        <a:xfrm flipV="1">
          <a:off x="86771629" y="58588835"/>
          <a:ext cx="803462" cy="672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580</xdr:row>
      <xdr:rowOff>152400</xdr:rowOff>
    </xdr:from>
    <xdr:to>
      <xdr:col>89</xdr:col>
      <xdr:colOff>19050</xdr:colOff>
      <xdr:row>587</xdr:row>
      <xdr:rowOff>95250</xdr:rowOff>
    </xdr:to>
    <xdr:cxnSp macro="">
      <xdr:nvCxnSpPr>
        <xdr:cNvPr id="344" name="Conector recto de flecha 343"/>
        <xdr:cNvCxnSpPr/>
      </xdr:nvCxnSpPr>
      <xdr:spPr>
        <a:xfrm flipV="1">
          <a:off x="87536991" y="58871224"/>
          <a:ext cx="0" cy="1119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579</xdr:row>
      <xdr:rowOff>114300</xdr:rowOff>
    </xdr:from>
    <xdr:to>
      <xdr:col>89</xdr:col>
      <xdr:colOff>590550</xdr:colOff>
      <xdr:row>592</xdr:row>
      <xdr:rowOff>114300</xdr:rowOff>
    </xdr:to>
    <xdr:cxnSp macro="">
      <xdr:nvCxnSpPr>
        <xdr:cNvPr id="345" name="Conector recto de flecha 344"/>
        <xdr:cNvCxnSpPr/>
      </xdr:nvCxnSpPr>
      <xdr:spPr>
        <a:xfrm flipV="1">
          <a:off x="87556041" y="58665035"/>
          <a:ext cx="55245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547</xdr:row>
      <xdr:rowOff>27213</xdr:rowOff>
    </xdr:from>
    <xdr:to>
      <xdr:col>87</xdr:col>
      <xdr:colOff>27215</xdr:colOff>
      <xdr:row>593</xdr:row>
      <xdr:rowOff>81646</xdr:rowOff>
    </xdr:to>
    <xdr:cxnSp macro="">
      <xdr:nvCxnSpPr>
        <xdr:cNvPr id="346" name="Conector angular 345"/>
        <xdr:cNvCxnSpPr/>
      </xdr:nvCxnSpPr>
      <xdr:spPr>
        <a:xfrm>
          <a:off x="58373044" y="53199125"/>
          <a:ext cx="26818877" cy="7786492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548</xdr:row>
      <xdr:rowOff>33421</xdr:rowOff>
    </xdr:from>
    <xdr:to>
      <xdr:col>87</xdr:col>
      <xdr:colOff>24423</xdr:colOff>
      <xdr:row>592</xdr:row>
      <xdr:rowOff>158750</xdr:rowOff>
    </xdr:to>
    <xdr:cxnSp macro="">
      <xdr:nvCxnSpPr>
        <xdr:cNvPr id="347" name="Conector angular 346"/>
        <xdr:cNvCxnSpPr/>
      </xdr:nvCxnSpPr>
      <xdr:spPr>
        <a:xfrm>
          <a:off x="54559869" y="53373421"/>
          <a:ext cx="30629260" cy="7521211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588</xdr:row>
      <xdr:rowOff>81311</xdr:rowOff>
    </xdr:from>
    <xdr:to>
      <xdr:col>86</xdr:col>
      <xdr:colOff>1033811</xdr:colOff>
      <xdr:row>588</xdr:row>
      <xdr:rowOff>92927</xdr:rowOff>
    </xdr:to>
    <xdr:cxnSp macro="">
      <xdr:nvCxnSpPr>
        <xdr:cNvPr id="348" name="Conector recto de flecha 347"/>
        <xdr:cNvCxnSpPr/>
      </xdr:nvCxnSpPr>
      <xdr:spPr>
        <a:xfrm>
          <a:off x="83934108" y="60144840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583</xdr:row>
      <xdr:rowOff>186542</xdr:rowOff>
    </xdr:from>
    <xdr:to>
      <xdr:col>86</xdr:col>
      <xdr:colOff>1393</xdr:colOff>
      <xdr:row>585</xdr:row>
      <xdr:rowOff>173533</xdr:rowOff>
    </xdr:to>
    <xdr:cxnSp macro="">
      <xdr:nvCxnSpPr>
        <xdr:cNvPr id="349" name="Conector recto de flecha 348"/>
        <xdr:cNvCxnSpPr/>
      </xdr:nvCxnSpPr>
      <xdr:spPr>
        <a:xfrm flipV="1">
          <a:off x="82713077" y="59409630"/>
          <a:ext cx="1164345" cy="323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541</xdr:row>
      <xdr:rowOff>139390</xdr:rowOff>
    </xdr:from>
    <xdr:to>
      <xdr:col>77</xdr:col>
      <xdr:colOff>766647</xdr:colOff>
      <xdr:row>551</xdr:row>
      <xdr:rowOff>162622</xdr:rowOff>
    </xdr:to>
    <xdr:cxnSp macro="">
      <xdr:nvCxnSpPr>
        <xdr:cNvPr id="350" name="Conector recto de flecha 349"/>
        <xdr:cNvCxnSpPr/>
      </xdr:nvCxnSpPr>
      <xdr:spPr>
        <a:xfrm flipH="1" flipV="1">
          <a:off x="65040581" y="52302772"/>
          <a:ext cx="4250037" cy="170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539</xdr:row>
      <xdr:rowOff>148442</xdr:rowOff>
    </xdr:from>
    <xdr:to>
      <xdr:col>72</xdr:col>
      <xdr:colOff>756425</xdr:colOff>
      <xdr:row>539</xdr:row>
      <xdr:rowOff>175634</xdr:rowOff>
    </xdr:to>
    <xdr:cxnSp macro="">
      <xdr:nvCxnSpPr>
        <xdr:cNvPr id="351" name="Conector recto de flecha 350"/>
        <xdr:cNvCxnSpPr/>
      </xdr:nvCxnSpPr>
      <xdr:spPr>
        <a:xfrm flipH="1" flipV="1">
          <a:off x="55417454" y="51975648"/>
          <a:ext cx="5626618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539</xdr:row>
      <xdr:rowOff>0</xdr:rowOff>
    </xdr:from>
    <xdr:to>
      <xdr:col>75</xdr:col>
      <xdr:colOff>721446</xdr:colOff>
      <xdr:row>542</xdr:row>
      <xdr:rowOff>134472</xdr:rowOff>
    </xdr:to>
    <xdr:grpSp>
      <xdr:nvGrpSpPr>
        <xdr:cNvPr id="352" name="Grupo 351"/>
        <xdr:cNvGrpSpPr/>
      </xdr:nvGrpSpPr>
      <xdr:grpSpPr>
        <a:xfrm>
          <a:off x="71176331" y="100411935"/>
          <a:ext cx="721446" cy="687537"/>
          <a:chOff x="52088676" y="6928970"/>
          <a:chExt cx="616324" cy="691030"/>
        </a:xfrm>
      </xdr:grpSpPr>
      <xdr:cxnSp macro="">
        <xdr:nvCxnSpPr>
          <xdr:cNvPr id="353" name="Conector recto 352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Conector recto 353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5" name="Conector recto 354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568</xdr:row>
      <xdr:rowOff>115455</xdr:rowOff>
    </xdr:from>
    <xdr:to>
      <xdr:col>89</xdr:col>
      <xdr:colOff>528443</xdr:colOff>
      <xdr:row>577</xdr:row>
      <xdr:rowOff>152553</xdr:rowOff>
    </xdr:to>
    <xdr:cxnSp macro="">
      <xdr:nvCxnSpPr>
        <xdr:cNvPr id="356" name="Conector recto de flecha 355"/>
        <xdr:cNvCxnSpPr/>
      </xdr:nvCxnSpPr>
      <xdr:spPr>
        <a:xfrm>
          <a:off x="86877847" y="56817220"/>
          <a:ext cx="1168537" cy="1549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562</xdr:row>
      <xdr:rowOff>101022</xdr:rowOff>
    </xdr:from>
    <xdr:to>
      <xdr:col>86</xdr:col>
      <xdr:colOff>3857</xdr:colOff>
      <xdr:row>565</xdr:row>
      <xdr:rowOff>129886</xdr:rowOff>
    </xdr:to>
    <xdr:cxnSp macro="">
      <xdr:nvCxnSpPr>
        <xdr:cNvPr id="357" name="Conector recto de flecha 356"/>
        <xdr:cNvCxnSpPr/>
      </xdr:nvCxnSpPr>
      <xdr:spPr>
        <a:xfrm>
          <a:off x="82917586" y="55794257"/>
          <a:ext cx="962300" cy="533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1755412</xdr:colOff>
      <xdr:row>351</xdr:row>
      <xdr:rowOff>151608</xdr:rowOff>
    </xdr:from>
    <xdr:to>
      <xdr:col>74</xdr:col>
      <xdr:colOff>1635424</xdr:colOff>
      <xdr:row>356</xdr:row>
      <xdr:rowOff>222003</xdr:rowOff>
    </xdr:to>
    <xdr:cxnSp macro="">
      <xdr:nvCxnSpPr>
        <xdr:cNvPr id="360" name="Conector recto de flecha 359"/>
        <xdr:cNvCxnSpPr/>
      </xdr:nvCxnSpPr>
      <xdr:spPr>
        <a:xfrm flipV="1">
          <a:off x="55544704" y="69827882"/>
          <a:ext cx="14041711" cy="1112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40342</xdr:colOff>
      <xdr:row>358</xdr:row>
      <xdr:rowOff>86591</xdr:rowOff>
    </xdr:from>
    <xdr:to>
      <xdr:col>62</xdr:col>
      <xdr:colOff>1515341</xdr:colOff>
      <xdr:row>359</xdr:row>
      <xdr:rowOff>110379</xdr:rowOff>
    </xdr:to>
    <xdr:cxnSp macro="">
      <xdr:nvCxnSpPr>
        <xdr:cNvPr id="361" name="Conector recto de flecha 360"/>
        <xdr:cNvCxnSpPr/>
      </xdr:nvCxnSpPr>
      <xdr:spPr>
        <a:xfrm flipV="1">
          <a:off x="71580815" y="21607942"/>
          <a:ext cx="1474999" cy="203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70036</xdr:colOff>
      <xdr:row>358</xdr:row>
      <xdr:rowOff>84044</xdr:rowOff>
    </xdr:from>
    <xdr:to>
      <xdr:col>59</xdr:col>
      <xdr:colOff>1190624</xdr:colOff>
      <xdr:row>362</xdr:row>
      <xdr:rowOff>140074</xdr:rowOff>
    </xdr:to>
    <xdr:cxnSp macro="">
      <xdr:nvCxnSpPr>
        <xdr:cNvPr id="362" name="Conector recto de flecha 361"/>
        <xdr:cNvCxnSpPr/>
      </xdr:nvCxnSpPr>
      <xdr:spPr>
        <a:xfrm>
          <a:off x="66539090" y="21605395"/>
          <a:ext cx="1120588" cy="776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40342</xdr:colOff>
      <xdr:row>353</xdr:row>
      <xdr:rowOff>28015</xdr:rowOff>
    </xdr:from>
    <xdr:to>
      <xdr:col>50</xdr:col>
      <xdr:colOff>994522</xdr:colOff>
      <xdr:row>354</xdr:row>
      <xdr:rowOff>110378</xdr:rowOff>
    </xdr:to>
    <xdr:cxnSp macro="">
      <xdr:nvCxnSpPr>
        <xdr:cNvPr id="363" name="Conector recto de flecha 362"/>
        <xdr:cNvCxnSpPr/>
      </xdr:nvCxnSpPr>
      <xdr:spPr>
        <a:xfrm flipV="1">
          <a:off x="54461558" y="20622610"/>
          <a:ext cx="725580" cy="26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136045</xdr:colOff>
      <xdr:row>358</xdr:row>
      <xdr:rowOff>26096</xdr:rowOff>
    </xdr:from>
    <xdr:to>
      <xdr:col>57</xdr:col>
      <xdr:colOff>1239555</xdr:colOff>
      <xdr:row>360</xdr:row>
      <xdr:rowOff>18421</xdr:rowOff>
    </xdr:to>
    <xdr:cxnSp macro="">
      <xdr:nvCxnSpPr>
        <xdr:cNvPr id="364" name="Conector recto de flecha 363"/>
        <xdr:cNvCxnSpPr/>
      </xdr:nvCxnSpPr>
      <xdr:spPr>
        <a:xfrm flipV="1">
          <a:off x="62692126" y="21547447"/>
          <a:ext cx="1103510" cy="352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116158</xdr:colOff>
      <xdr:row>352</xdr:row>
      <xdr:rowOff>162622</xdr:rowOff>
    </xdr:from>
    <xdr:to>
      <xdr:col>54</xdr:col>
      <xdr:colOff>1208969</xdr:colOff>
      <xdr:row>359</xdr:row>
      <xdr:rowOff>143657</xdr:rowOff>
    </xdr:to>
    <xdr:cxnSp macro="">
      <xdr:nvCxnSpPr>
        <xdr:cNvPr id="365" name="Conector recto de flecha 364"/>
        <xdr:cNvCxnSpPr/>
      </xdr:nvCxnSpPr>
      <xdr:spPr>
        <a:xfrm>
          <a:off x="56674063" y="20577014"/>
          <a:ext cx="2637406" cy="1268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34847</xdr:colOff>
      <xdr:row>353</xdr:row>
      <xdr:rowOff>34847</xdr:rowOff>
    </xdr:from>
    <xdr:to>
      <xdr:col>63</xdr:col>
      <xdr:colOff>1</xdr:colOff>
      <xdr:row>353</xdr:row>
      <xdr:rowOff>35406</xdr:rowOff>
    </xdr:to>
    <xdr:cxnSp macro="">
      <xdr:nvCxnSpPr>
        <xdr:cNvPr id="366" name="Conector recto de flecha 365"/>
        <xdr:cNvCxnSpPr/>
      </xdr:nvCxnSpPr>
      <xdr:spPr>
        <a:xfrm flipH="1" flipV="1">
          <a:off x="71575320" y="20629442"/>
          <a:ext cx="2539478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97692</xdr:colOff>
      <xdr:row>353</xdr:row>
      <xdr:rowOff>170961</xdr:rowOff>
    </xdr:from>
    <xdr:to>
      <xdr:col>66</xdr:col>
      <xdr:colOff>515738</xdr:colOff>
      <xdr:row>355</xdr:row>
      <xdr:rowOff>146538</xdr:rowOff>
    </xdr:to>
    <xdr:sp macro="" textlink="">
      <xdr:nvSpPr>
        <xdr:cNvPr id="149" name="Forma libre 148"/>
        <xdr:cNvSpPr/>
      </xdr:nvSpPr>
      <xdr:spPr>
        <a:xfrm>
          <a:off x="52753846" y="68311346"/>
          <a:ext cx="418046" cy="366346"/>
        </a:xfrm>
        <a:custGeom>
          <a:avLst/>
          <a:gdLst>
            <a:gd name="connsiteX0" fmla="*/ 0 w 418046"/>
            <a:gd name="connsiteY0" fmla="*/ 366346 h 366346"/>
            <a:gd name="connsiteX1" fmla="*/ 48846 w 418046"/>
            <a:gd name="connsiteY1" fmla="*/ 170962 h 366346"/>
            <a:gd name="connsiteX2" fmla="*/ 97692 w 418046"/>
            <a:gd name="connsiteY2" fmla="*/ 97692 h 366346"/>
            <a:gd name="connsiteX3" fmla="*/ 244231 w 418046"/>
            <a:gd name="connsiteY3" fmla="*/ 0 h 366346"/>
            <a:gd name="connsiteX4" fmla="*/ 366346 w 418046"/>
            <a:gd name="connsiteY4" fmla="*/ 24423 h 366346"/>
            <a:gd name="connsiteX5" fmla="*/ 415192 w 418046"/>
            <a:gd name="connsiteY5" fmla="*/ 366346 h 3663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8046" h="366346">
              <a:moveTo>
                <a:pt x="0" y="366346"/>
              </a:moveTo>
              <a:cubicBezTo>
                <a:pt x="9290" y="319898"/>
                <a:pt x="23813" y="221029"/>
                <a:pt x="48846" y="170962"/>
              </a:cubicBezTo>
              <a:cubicBezTo>
                <a:pt x="61973" y="144708"/>
                <a:pt x="75602" y="117021"/>
                <a:pt x="97692" y="97692"/>
              </a:cubicBezTo>
              <a:cubicBezTo>
                <a:pt x="141873" y="59034"/>
                <a:pt x="244231" y="0"/>
                <a:pt x="244231" y="0"/>
              </a:cubicBezTo>
              <a:cubicBezTo>
                <a:pt x="284936" y="8141"/>
                <a:pt x="336993" y="-4930"/>
                <a:pt x="366346" y="24423"/>
              </a:cubicBezTo>
              <a:cubicBezTo>
                <a:pt x="435787" y="93865"/>
                <a:pt x="415192" y="295147"/>
                <a:pt x="415192" y="3663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69</xdr:col>
      <xdr:colOff>143151</xdr:colOff>
      <xdr:row>353</xdr:row>
      <xdr:rowOff>7028</xdr:rowOff>
    </xdr:from>
    <xdr:to>
      <xdr:col>69</xdr:col>
      <xdr:colOff>561197</xdr:colOff>
      <xdr:row>354</xdr:row>
      <xdr:rowOff>166960</xdr:rowOff>
    </xdr:to>
    <xdr:sp macro="" textlink="">
      <xdr:nvSpPr>
        <xdr:cNvPr id="370" name="Forma libre 369"/>
        <xdr:cNvSpPr/>
      </xdr:nvSpPr>
      <xdr:spPr>
        <a:xfrm>
          <a:off x="58015207" y="64439044"/>
          <a:ext cx="418046" cy="344287"/>
        </a:xfrm>
        <a:custGeom>
          <a:avLst/>
          <a:gdLst>
            <a:gd name="connsiteX0" fmla="*/ 0 w 418046"/>
            <a:gd name="connsiteY0" fmla="*/ 366346 h 366346"/>
            <a:gd name="connsiteX1" fmla="*/ 48846 w 418046"/>
            <a:gd name="connsiteY1" fmla="*/ 170962 h 366346"/>
            <a:gd name="connsiteX2" fmla="*/ 97692 w 418046"/>
            <a:gd name="connsiteY2" fmla="*/ 97692 h 366346"/>
            <a:gd name="connsiteX3" fmla="*/ 244231 w 418046"/>
            <a:gd name="connsiteY3" fmla="*/ 0 h 366346"/>
            <a:gd name="connsiteX4" fmla="*/ 366346 w 418046"/>
            <a:gd name="connsiteY4" fmla="*/ 24423 h 366346"/>
            <a:gd name="connsiteX5" fmla="*/ 415192 w 418046"/>
            <a:gd name="connsiteY5" fmla="*/ 366346 h 3663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8046" h="366346">
              <a:moveTo>
                <a:pt x="0" y="366346"/>
              </a:moveTo>
              <a:cubicBezTo>
                <a:pt x="9290" y="319898"/>
                <a:pt x="23813" y="221029"/>
                <a:pt x="48846" y="170962"/>
              </a:cubicBezTo>
              <a:cubicBezTo>
                <a:pt x="61973" y="144708"/>
                <a:pt x="75602" y="117021"/>
                <a:pt x="97692" y="97692"/>
              </a:cubicBezTo>
              <a:cubicBezTo>
                <a:pt x="141873" y="59034"/>
                <a:pt x="244231" y="0"/>
                <a:pt x="244231" y="0"/>
              </a:cubicBezTo>
              <a:cubicBezTo>
                <a:pt x="284936" y="8141"/>
                <a:pt x="336993" y="-4930"/>
                <a:pt x="366346" y="24423"/>
              </a:cubicBezTo>
              <a:cubicBezTo>
                <a:pt x="435787" y="93865"/>
                <a:pt x="415192" y="295147"/>
                <a:pt x="415192" y="3663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64</xdr:col>
      <xdr:colOff>0</xdr:colOff>
      <xdr:row>334</xdr:row>
      <xdr:rowOff>152400</xdr:rowOff>
    </xdr:from>
    <xdr:to>
      <xdr:col>69</xdr:col>
      <xdr:colOff>723900</xdr:colOff>
      <xdr:row>335</xdr:row>
      <xdr:rowOff>86592</xdr:rowOff>
    </xdr:to>
    <xdr:cxnSp macro="">
      <xdr:nvCxnSpPr>
        <xdr:cNvPr id="371" name="Conector recto de flecha 370"/>
        <xdr:cNvCxnSpPr/>
      </xdr:nvCxnSpPr>
      <xdr:spPr>
        <a:xfrm flipV="1">
          <a:off x="53682900" y="63265050"/>
          <a:ext cx="6324600" cy="124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1338810</xdr:colOff>
      <xdr:row>333</xdr:row>
      <xdr:rowOff>234283</xdr:rowOff>
    </xdr:from>
    <xdr:to>
      <xdr:col>66</xdr:col>
      <xdr:colOff>302756</xdr:colOff>
      <xdr:row>336</xdr:row>
      <xdr:rowOff>20337</xdr:rowOff>
    </xdr:to>
    <xdr:sp macro="" textlink="">
      <xdr:nvSpPr>
        <xdr:cNvPr id="378" name="Forma libre 377"/>
        <xdr:cNvSpPr/>
      </xdr:nvSpPr>
      <xdr:spPr>
        <a:xfrm rot="16200000">
          <a:off x="56048931" y="63138862"/>
          <a:ext cx="414704" cy="335546"/>
        </a:xfrm>
        <a:custGeom>
          <a:avLst/>
          <a:gdLst>
            <a:gd name="connsiteX0" fmla="*/ 0 w 418046"/>
            <a:gd name="connsiteY0" fmla="*/ 366346 h 366346"/>
            <a:gd name="connsiteX1" fmla="*/ 48846 w 418046"/>
            <a:gd name="connsiteY1" fmla="*/ 170962 h 366346"/>
            <a:gd name="connsiteX2" fmla="*/ 97692 w 418046"/>
            <a:gd name="connsiteY2" fmla="*/ 97692 h 366346"/>
            <a:gd name="connsiteX3" fmla="*/ 244231 w 418046"/>
            <a:gd name="connsiteY3" fmla="*/ 0 h 366346"/>
            <a:gd name="connsiteX4" fmla="*/ 366346 w 418046"/>
            <a:gd name="connsiteY4" fmla="*/ 24423 h 366346"/>
            <a:gd name="connsiteX5" fmla="*/ 415192 w 418046"/>
            <a:gd name="connsiteY5" fmla="*/ 366346 h 3663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8046" h="366346">
              <a:moveTo>
                <a:pt x="0" y="366346"/>
              </a:moveTo>
              <a:cubicBezTo>
                <a:pt x="9290" y="319898"/>
                <a:pt x="23813" y="221029"/>
                <a:pt x="48846" y="170962"/>
              </a:cubicBezTo>
              <a:cubicBezTo>
                <a:pt x="61973" y="144708"/>
                <a:pt x="75602" y="117021"/>
                <a:pt x="97692" y="97692"/>
              </a:cubicBezTo>
              <a:cubicBezTo>
                <a:pt x="141873" y="59034"/>
                <a:pt x="244231" y="0"/>
                <a:pt x="244231" y="0"/>
              </a:cubicBezTo>
              <a:cubicBezTo>
                <a:pt x="284936" y="8141"/>
                <a:pt x="336993" y="-4930"/>
                <a:pt x="366346" y="24423"/>
              </a:cubicBezTo>
              <a:cubicBezTo>
                <a:pt x="435787" y="93865"/>
                <a:pt x="415192" y="295147"/>
                <a:pt x="415192" y="3663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41</xdr:col>
      <xdr:colOff>40342</xdr:colOff>
      <xdr:row>335</xdr:row>
      <xdr:rowOff>86591</xdr:rowOff>
    </xdr:from>
    <xdr:to>
      <xdr:col>41</xdr:col>
      <xdr:colOff>1515341</xdr:colOff>
      <xdr:row>336</xdr:row>
      <xdr:rowOff>110379</xdr:rowOff>
    </xdr:to>
    <xdr:cxnSp macro="">
      <xdr:nvCxnSpPr>
        <xdr:cNvPr id="470" name="Conector recto de flecha 469"/>
        <xdr:cNvCxnSpPr/>
      </xdr:nvCxnSpPr>
      <xdr:spPr>
        <a:xfrm flipV="1">
          <a:off x="48022530" y="59379716"/>
          <a:ext cx="722524" cy="202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70036</xdr:colOff>
      <xdr:row>335</xdr:row>
      <xdr:rowOff>84044</xdr:rowOff>
    </xdr:from>
    <xdr:to>
      <xdr:col>38</xdr:col>
      <xdr:colOff>1190624</xdr:colOff>
      <xdr:row>339</xdr:row>
      <xdr:rowOff>140074</xdr:rowOff>
    </xdr:to>
    <xdr:cxnSp macro="">
      <xdr:nvCxnSpPr>
        <xdr:cNvPr id="471" name="Conector recto de flecha 470"/>
        <xdr:cNvCxnSpPr/>
      </xdr:nvCxnSpPr>
      <xdr:spPr>
        <a:xfrm>
          <a:off x="44510114" y="59377169"/>
          <a:ext cx="958663" cy="770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40342</xdr:colOff>
      <xdr:row>330</xdr:row>
      <xdr:rowOff>28015</xdr:rowOff>
    </xdr:from>
    <xdr:to>
      <xdr:col>29</xdr:col>
      <xdr:colOff>994522</xdr:colOff>
      <xdr:row>331</xdr:row>
      <xdr:rowOff>110378</xdr:rowOff>
    </xdr:to>
    <xdr:cxnSp macro="">
      <xdr:nvCxnSpPr>
        <xdr:cNvPr id="472" name="Conector recto de flecha 471"/>
        <xdr:cNvCxnSpPr/>
      </xdr:nvCxnSpPr>
      <xdr:spPr>
        <a:xfrm flipV="1">
          <a:off x="37187842" y="58398406"/>
          <a:ext cx="725580" cy="2609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136045</xdr:colOff>
      <xdr:row>335</xdr:row>
      <xdr:rowOff>26096</xdr:rowOff>
    </xdr:from>
    <xdr:to>
      <xdr:col>36</xdr:col>
      <xdr:colOff>1239555</xdr:colOff>
      <xdr:row>337</xdr:row>
      <xdr:rowOff>18421</xdr:rowOff>
    </xdr:to>
    <xdr:cxnSp macro="">
      <xdr:nvCxnSpPr>
        <xdr:cNvPr id="473" name="Conector recto de flecha 472"/>
        <xdr:cNvCxnSpPr/>
      </xdr:nvCxnSpPr>
      <xdr:spPr>
        <a:xfrm flipV="1">
          <a:off x="43028311" y="59319221"/>
          <a:ext cx="627260" cy="34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116158</xdr:colOff>
      <xdr:row>329</xdr:row>
      <xdr:rowOff>162622</xdr:rowOff>
    </xdr:from>
    <xdr:to>
      <xdr:col>33</xdr:col>
      <xdr:colOff>1208969</xdr:colOff>
      <xdr:row>336</xdr:row>
      <xdr:rowOff>143657</xdr:rowOff>
    </xdr:to>
    <xdr:cxnSp macro="">
      <xdr:nvCxnSpPr>
        <xdr:cNvPr id="474" name="Conector recto de flecha 473"/>
        <xdr:cNvCxnSpPr/>
      </xdr:nvCxnSpPr>
      <xdr:spPr>
        <a:xfrm>
          <a:off x="38811471" y="58354419"/>
          <a:ext cx="2520370" cy="126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34847</xdr:colOff>
      <xdr:row>330</xdr:row>
      <xdr:rowOff>34847</xdr:rowOff>
    </xdr:from>
    <xdr:to>
      <xdr:col>42</xdr:col>
      <xdr:colOff>1</xdr:colOff>
      <xdr:row>330</xdr:row>
      <xdr:rowOff>35406</xdr:rowOff>
    </xdr:to>
    <xdr:cxnSp macro="">
      <xdr:nvCxnSpPr>
        <xdr:cNvPr id="475" name="Conector recto de flecha 474"/>
        <xdr:cNvCxnSpPr/>
      </xdr:nvCxnSpPr>
      <xdr:spPr>
        <a:xfrm flipH="1" flipV="1">
          <a:off x="48017035" y="58405238"/>
          <a:ext cx="739060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48846</xdr:colOff>
      <xdr:row>329</xdr:row>
      <xdr:rowOff>122116</xdr:rowOff>
    </xdr:from>
    <xdr:to>
      <xdr:col>61</xdr:col>
      <xdr:colOff>4090</xdr:colOff>
      <xdr:row>333</xdr:row>
      <xdr:rowOff>80543</xdr:rowOff>
    </xdr:to>
    <xdr:cxnSp macro="">
      <xdr:nvCxnSpPr>
        <xdr:cNvPr id="481" name="Conector recto de flecha 480"/>
        <xdr:cNvCxnSpPr/>
      </xdr:nvCxnSpPr>
      <xdr:spPr>
        <a:xfrm>
          <a:off x="47051058" y="63561058"/>
          <a:ext cx="712359" cy="837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138660</xdr:colOff>
      <xdr:row>333</xdr:row>
      <xdr:rowOff>119983</xdr:rowOff>
    </xdr:from>
    <xdr:to>
      <xdr:col>69</xdr:col>
      <xdr:colOff>474206</xdr:colOff>
      <xdr:row>335</xdr:row>
      <xdr:rowOff>96537</xdr:rowOff>
    </xdr:to>
    <xdr:sp macro="" textlink="">
      <xdr:nvSpPr>
        <xdr:cNvPr id="487" name="Forma libre 486"/>
        <xdr:cNvSpPr/>
      </xdr:nvSpPr>
      <xdr:spPr>
        <a:xfrm rot="16200000">
          <a:off x="59382681" y="63024562"/>
          <a:ext cx="414704" cy="335546"/>
        </a:xfrm>
        <a:custGeom>
          <a:avLst/>
          <a:gdLst>
            <a:gd name="connsiteX0" fmla="*/ 0 w 418046"/>
            <a:gd name="connsiteY0" fmla="*/ 366346 h 366346"/>
            <a:gd name="connsiteX1" fmla="*/ 48846 w 418046"/>
            <a:gd name="connsiteY1" fmla="*/ 170962 h 366346"/>
            <a:gd name="connsiteX2" fmla="*/ 97692 w 418046"/>
            <a:gd name="connsiteY2" fmla="*/ 97692 h 366346"/>
            <a:gd name="connsiteX3" fmla="*/ 244231 w 418046"/>
            <a:gd name="connsiteY3" fmla="*/ 0 h 366346"/>
            <a:gd name="connsiteX4" fmla="*/ 366346 w 418046"/>
            <a:gd name="connsiteY4" fmla="*/ 24423 h 366346"/>
            <a:gd name="connsiteX5" fmla="*/ 415192 w 418046"/>
            <a:gd name="connsiteY5" fmla="*/ 366346 h 3663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8046" h="366346">
              <a:moveTo>
                <a:pt x="0" y="366346"/>
              </a:moveTo>
              <a:cubicBezTo>
                <a:pt x="9290" y="319898"/>
                <a:pt x="23813" y="221029"/>
                <a:pt x="48846" y="170962"/>
              </a:cubicBezTo>
              <a:cubicBezTo>
                <a:pt x="61973" y="144708"/>
                <a:pt x="75602" y="117021"/>
                <a:pt x="97692" y="97692"/>
              </a:cubicBezTo>
              <a:cubicBezTo>
                <a:pt x="141873" y="59034"/>
                <a:pt x="244231" y="0"/>
                <a:pt x="244231" y="0"/>
              </a:cubicBezTo>
              <a:cubicBezTo>
                <a:pt x="284936" y="8141"/>
                <a:pt x="336993" y="-4930"/>
                <a:pt x="366346" y="24423"/>
              </a:cubicBezTo>
              <a:cubicBezTo>
                <a:pt x="435787" y="93865"/>
                <a:pt x="415192" y="295147"/>
                <a:pt x="415192" y="3663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52</xdr:col>
      <xdr:colOff>266700</xdr:colOff>
      <xdr:row>328</xdr:row>
      <xdr:rowOff>114300</xdr:rowOff>
    </xdr:from>
    <xdr:to>
      <xdr:col>55</xdr:col>
      <xdr:colOff>42190</xdr:colOff>
      <xdr:row>330</xdr:row>
      <xdr:rowOff>175793</xdr:rowOff>
    </xdr:to>
    <xdr:cxnSp macro="">
      <xdr:nvCxnSpPr>
        <xdr:cNvPr id="488" name="Conector recto de flecha 487"/>
        <xdr:cNvCxnSpPr/>
      </xdr:nvCxnSpPr>
      <xdr:spPr>
        <a:xfrm>
          <a:off x="40443150" y="61893450"/>
          <a:ext cx="2061490" cy="442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329</xdr:row>
      <xdr:rowOff>26097</xdr:rowOff>
    </xdr:from>
    <xdr:to>
      <xdr:col>58</xdr:col>
      <xdr:colOff>1001430</xdr:colOff>
      <xdr:row>330</xdr:row>
      <xdr:rowOff>209550</xdr:rowOff>
    </xdr:to>
    <xdr:cxnSp macro="">
      <xdr:nvCxnSpPr>
        <xdr:cNvPr id="490" name="Conector recto de flecha 489"/>
        <xdr:cNvCxnSpPr/>
      </xdr:nvCxnSpPr>
      <xdr:spPr>
        <a:xfrm flipV="1">
          <a:off x="44843700" y="61995747"/>
          <a:ext cx="963330" cy="373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723900</xdr:colOff>
      <xdr:row>327</xdr:row>
      <xdr:rowOff>76200</xdr:rowOff>
    </xdr:from>
    <xdr:to>
      <xdr:col>50</xdr:col>
      <xdr:colOff>431601</xdr:colOff>
      <xdr:row>328</xdr:row>
      <xdr:rowOff>74414</xdr:rowOff>
    </xdr:to>
    <xdr:cxnSp macro="">
      <xdr:nvCxnSpPr>
        <xdr:cNvPr id="493" name="Conector recto de flecha 492"/>
        <xdr:cNvCxnSpPr/>
      </xdr:nvCxnSpPr>
      <xdr:spPr>
        <a:xfrm>
          <a:off x="36398002" y="62509598"/>
          <a:ext cx="1984771" cy="191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730250</xdr:colOff>
      <xdr:row>317</xdr:row>
      <xdr:rowOff>5603</xdr:rowOff>
    </xdr:from>
    <xdr:to>
      <xdr:col>51</xdr:col>
      <xdr:colOff>741455</xdr:colOff>
      <xdr:row>319</xdr:row>
      <xdr:rowOff>127000</xdr:rowOff>
    </xdr:to>
    <xdr:cxnSp macro="">
      <xdr:nvCxnSpPr>
        <xdr:cNvPr id="502" name="Conector recto de flecha 501"/>
        <xdr:cNvCxnSpPr/>
      </xdr:nvCxnSpPr>
      <xdr:spPr>
        <a:xfrm flipV="1">
          <a:off x="39592250" y="59647978"/>
          <a:ext cx="11205" cy="502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400796</xdr:colOff>
      <xdr:row>318</xdr:row>
      <xdr:rowOff>14193</xdr:rowOff>
    </xdr:from>
    <xdr:to>
      <xdr:col>51</xdr:col>
      <xdr:colOff>1013385</xdr:colOff>
      <xdr:row>321</xdr:row>
      <xdr:rowOff>148665</xdr:rowOff>
    </xdr:to>
    <xdr:grpSp>
      <xdr:nvGrpSpPr>
        <xdr:cNvPr id="503" name="Grupo 502"/>
        <xdr:cNvGrpSpPr/>
      </xdr:nvGrpSpPr>
      <xdr:grpSpPr>
        <a:xfrm>
          <a:off x="41634828" y="59268911"/>
          <a:ext cx="612589" cy="687536"/>
          <a:chOff x="52088676" y="6928970"/>
          <a:chExt cx="616324" cy="691030"/>
        </a:xfrm>
      </xdr:grpSpPr>
      <xdr:cxnSp macro="">
        <xdr:nvCxnSpPr>
          <xdr:cNvPr id="504" name="Conector recto 503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5" name="Conector recto 504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6" name="Conector recto 505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786848</xdr:colOff>
      <xdr:row>76</xdr:row>
      <xdr:rowOff>165652</xdr:rowOff>
    </xdr:from>
    <xdr:to>
      <xdr:col>70</xdr:col>
      <xdr:colOff>745435</xdr:colOff>
      <xdr:row>312</xdr:row>
      <xdr:rowOff>124243</xdr:rowOff>
    </xdr:to>
    <xdr:cxnSp macro="">
      <xdr:nvCxnSpPr>
        <xdr:cNvPr id="382" name="Conector angular 381"/>
        <xdr:cNvCxnSpPr/>
      </xdr:nvCxnSpPr>
      <xdr:spPr>
        <a:xfrm rot="5400000" flipH="1" flipV="1">
          <a:off x="28528409" y="27153154"/>
          <a:ext cx="46789841" cy="21231087"/>
        </a:xfrm>
        <a:prstGeom prst="bentConnector3">
          <a:avLst>
            <a:gd name="adj1" fmla="val 960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1247640</xdr:colOff>
      <xdr:row>328</xdr:row>
      <xdr:rowOff>178594</xdr:rowOff>
    </xdr:from>
    <xdr:to>
      <xdr:col>45</xdr:col>
      <xdr:colOff>625078</xdr:colOff>
      <xdr:row>333</xdr:row>
      <xdr:rowOff>228064</xdr:rowOff>
    </xdr:to>
    <xdr:cxnSp macro="">
      <xdr:nvCxnSpPr>
        <xdr:cNvPr id="525" name="Conector recto de flecha 524"/>
        <xdr:cNvCxnSpPr/>
      </xdr:nvCxnSpPr>
      <xdr:spPr>
        <a:xfrm flipV="1">
          <a:off x="34464401" y="62158171"/>
          <a:ext cx="2623987" cy="110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1251323</xdr:colOff>
      <xdr:row>30</xdr:row>
      <xdr:rowOff>130735</xdr:rowOff>
    </xdr:from>
    <xdr:to>
      <xdr:col>80</xdr:col>
      <xdr:colOff>1270000</xdr:colOff>
      <xdr:row>35</xdr:row>
      <xdr:rowOff>130736</xdr:rowOff>
    </xdr:to>
    <xdr:cxnSp macro="">
      <xdr:nvCxnSpPr>
        <xdr:cNvPr id="527" name="Conector recto de flecha 526"/>
        <xdr:cNvCxnSpPr/>
      </xdr:nvCxnSpPr>
      <xdr:spPr>
        <a:xfrm flipH="1" flipV="1">
          <a:off x="81373382" y="4874559"/>
          <a:ext cx="18677" cy="933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20</xdr:row>
      <xdr:rowOff>171450</xdr:rowOff>
    </xdr:from>
    <xdr:to>
      <xdr:col>80</xdr:col>
      <xdr:colOff>19050</xdr:colOff>
      <xdr:row>25</xdr:row>
      <xdr:rowOff>95250</xdr:rowOff>
    </xdr:to>
    <xdr:cxnSp macro="">
      <xdr:nvCxnSpPr>
        <xdr:cNvPr id="433" name="Conector recto de flecha 432"/>
        <xdr:cNvCxnSpPr/>
      </xdr:nvCxnSpPr>
      <xdr:spPr>
        <a:xfrm flipV="1">
          <a:off x="80048100" y="3105150"/>
          <a:ext cx="190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1251323</xdr:colOff>
      <xdr:row>23</xdr:row>
      <xdr:rowOff>130735</xdr:rowOff>
    </xdr:from>
    <xdr:to>
      <xdr:col>75</xdr:col>
      <xdr:colOff>1270000</xdr:colOff>
      <xdr:row>28</xdr:row>
      <xdr:rowOff>130736</xdr:rowOff>
    </xdr:to>
    <xdr:cxnSp macro="">
      <xdr:nvCxnSpPr>
        <xdr:cNvPr id="541" name="Conector recto de flecha 540"/>
        <xdr:cNvCxnSpPr/>
      </xdr:nvCxnSpPr>
      <xdr:spPr>
        <a:xfrm flipH="1" flipV="1">
          <a:off x="81528691" y="4859814"/>
          <a:ext cx="18677" cy="91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13</xdr:row>
      <xdr:rowOff>171450</xdr:rowOff>
    </xdr:from>
    <xdr:to>
      <xdr:col>75</xdr:col>
      <xdr:colOff>19050</xdr:colOff>
      <xdr:row>18</xdr:row>
      <xdr:rowOff>95250</xdr:rowOff>
    </xdr:to>
    <xdr:cxnSp macro="">
      <xdr:nvCxnSpPr>
        <xdr:cNvPr id="542" name="Conector recto de flecha 541"/>
        <xdr:cNvCxnSpPr/>
      </xdr:nvCxnSpPr>
      <xdr:spPr>
        <a:xfrm flipV="1">
          <a:off x="80277368" y="3045661"/>
          <a:ext cx="19050" cy="859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84</xdr:row>
      <xdr:rowOff>171450</xdr:rowOff>
    </xdr:from>
    <xdr:to>
      <xdr:col>81</xdr:col>
      <xdr:colOff>19050</xdr:colOff>
      <xdr:row>89</xdr:row>
      <xdr:rowOff>95250</xdr:rowOff>
    </xdr:to>
    <xdr:cxnSp macro="">
      <xdr:nvCxnSpPr>
        <xdr:cNvPr id="550" name="Conector recto de flecha 549"/>
        <xdr:cNvCxnSpPr/>
      </xdr:nvCxnSpPr>
      <xdr:spPr>
        <a:xfrm flipV="1">
          <a:off x="91634830" y="18485427"/>
          <a:ext cx="19050" cy="897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1210541</xdr:colOff>
      <xdr:row>94</xdr:row>
      <xdr:rowOff>20782</xdr:rowOff>
    </xdr:from>
    <xdr:to>
      <xdr:col>80</xdr:col>
      <xdr:colOff>1212272</xdr:colOff>
      <xdr:row>95</xdr:row>
      <xdr:rowOff>129887</xdr:rowOff>
    </xdr:to>
    <xdr:cxnSp macro="">
      <xdr:nvCxnSpPr>
        <xdr:cNvPr id="551" name="Conector recto de flecha 550"/>
        <xdr:cNvCxnSpPr/>
      </xdr:nvCxnSpPr>
      <xdr:spPr>
        <a:xfrm flipH="1" flipV="1">
          <a:off x="80852530" y="17750271"/>
          <a:ext cx="1731" cy="303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1027206</xdr:colOff>
      <xdr:row>324</xdr:row>
      <xdr:rowOff>37353</xdr:rowOff>
    </xdr:from>
    <xdr:to>
      <xdr:col>71</xdr:col>
      <xdr:colOff>1064559</xdr:colOff>
      <xdr:row>330</xdr:row>
      <xdr:rowOff>186764</xdr:rowOff>
    </xdr:to>
    <xdr:cxnSp macro="">
      <xdr:nvCxnSpPr>
        <xdr:cNvPr id="34" name="Conector recto de flecha 33"/>
        <xdr:cNvCxnSpPr/>
      </xdr:nvCxnSpPr>
      <xdr:spPr>
        <a:xfrm flipH="1" flipV="1">
          <a:off x="65199559" y="60960000"/>
          <a:ext cx="37353" cy="128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700</xdr:row>
      <xdr:rowOff>140074</xdr:rowOff>
    </xdr:from>
    <xdr:to>
      <xdr:col>87</xdr:col>
      <xdr:colOff>1106581</xdr:colOff>
      <xdr:row>701</xdr:row>
      <xdr:rowOff>95250</xdr:rowOff>
    </xdr:to>
    <xdr:cxnSp macro="">
      <xdr:nvCxnSpPr>
        <xdr:cNvPr id="325" name="Conector recto de flecha 324"/>
        <xdr:cNvCxnSpPr/>
      </xdr:nvCxnSpPr>
      <xdr:spPr>
        <a:xfrm flipV="1">
          <a:off x="89871550" y="44780574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700</xdr:row>
      <xdr:rowOff>114300</xdr:rowOff>
    </xdr:from>
    <xdr:to>
      <xdr:col>89</xdr:col>
      <xdr:colOff>2095500</xdr:colOff>
      <xdr:row>700</xdr:row>
      <xdr:rowOff>123825</xdr:rowOff>
    </xdr:to>
    <xdr:cxnSp macro="">
      <xdr:nvCxnSpPr>
        <xdr:cNvPr id="326" name="Conector recto de flecha 325"/>
        <xdr:cNvCxnSpPr/>
      </xdr:nvCxnSpPr>
      <xdr:spPr>
        <a:xfrm flipV="1">
          <a:off x="93859350" y="134664450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704</xdr:row>
      <xdr:rowOff>19050</xdr:rowOff>
    </xdr:from>
    <xdr:to>
      <xdr:col>85</xdr:col>
      <xdr:colOff>19050</xdr:colOff>
      <xdr:row>707</xdr:row>
      <xdr:rowOff>168089</xdr:rowOff>
    </xdr:to>
    <xdr:cxnSp macro="">
      <xdr:nvCxnSpPr>
        <xdr:cNvPr id="327" name="Conector recto de flecha 326"/>
        <xdr:cNvCxnSpPr/>
      </xdr:nvCxnSpPr>
      <xdr:spPr>
        <a:xfrm flipV="1">
          <a:off x="83269044" y="45421550"/>
          <a:ext cx="3364006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47065</xdr:colOff>
      <xdr:row>696</xdr:row>
      <xdr:rowOff>2802</xdr:rowOff>
    </xdr:from>
    <xdr:to>
      <xdr:col>87</xdr:col>
      <xdr:colOff>1134596</xdr:colOff>
      <xdr:row>699</xdr:row>
      <xdr:rowOff>112059</xdr:rowOff>
    </xdr:to>
    <xdr:cxnSp macro="">
      <xdr:nvCxnSpPr>
        <xdr:cNvPr id="328" name="Conector recto de flecha 327"/>
        <xdr:cNvCxnSpPr/>
      </xdr:nvCxnSpPr>
      <xdr:spPr>
        <a:xfrm>
          <a:off x="89899565" y="438813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709</xdr:row>
      <xdr:rowOff>86591</xdr:rowOff>
    </xdr:from>
    <xdr:to>
      <xdr:col>80</xdr:col>
      <xdr:colOff>1545106</xdr:colOff>
      <xdr:row>710</xdr:row>
      <xdr:rowOff>110379</xdr:rowOff>
    </xdr:to>
    <xdr:cxnSp macro="">
      <xdr:nvCxnSpPr>
        <xdr:cNvPr id="329" name="Conector recto de flecha 328"/>
        <xdr:cNvCxnSpPr/>
      </xdr:nvCxnSpPr>
      <xdr:spPr>
        <a:xfrm flipV="1">
          <a:off x="78302107" y="46441591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709</xdr:row>
      <xdr:rowOff>84044</xdr:rowOff>
    </xdr:from>
    <xdr:to>
      <xdr:col>77</xdr:col>
      <xdr:colOff>1190624</xdr:colOff>
      <xdr:row>713</xdr:row>
      <xdr:rowOff>140074</xdr:rowOff>
    </xdr:to>
    <xdr:cxnSp macro="">
      <xdr:nvCxnSpPr>
        <xdr:cNvPr id="330" name="Conector recto de flecha 329"/>
        <xdr:cNvCxnSpPr/>
      </xdr:nvCxnSpPr>
      <xdr:spPr>
        <a:xfrm>
          <a:off x="73158536" y="46439044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92927</xdr:colOff>
      <xdr:row>677</xdr:row>
      <xdr:rowOff>92927</xdr:rowOff>
    </xdr:from>
    <xdr:to>
      <xdr:col>84</xdr:col>
      <xdr:colOff>1336116</xdr:colOff>
      <xdr:row>693</xdr:row>
      <xdr:rowOff>161367</xdr:rowOff>
    </xdr:to>
    <xdr:cxnSp macro="">
      <xdr:nvCxnSpPr>
        <xdr:cNvPr id="331" name="Conector recto de flecha 330"/>
        <xdr:cNvCxnSpPr/>
      </xdr:nvCxnSpPr>
      <xdr:spPr>
        <a:xfrm>
          <a:off x="73181427" y="40351927"/>
          <a:ext cx="13371689" cy="3116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111125</xdr:colOff>
      <xdr:row>680</xdr:row>
      <xdr:rowOff>142875</xdr:rowOff>
    </xdr:from>
    <xdr:to>
      <xdr:col>75</xdr:col>
      <xdr:colOff>1587500</xdr:colOff>
      <xdr:row>681</xdr:row>
      <xdr:rowOff>15875</xdr:rowOff>
    </xdr:to>
    <xdr:cxnSp macro="">
      <xdr:nvCxnSpPr>
        <xdr:cNvPr id="332" name="Conector recto de flecha 331"/>
        <xdr:cNvCxnSpPr/>
      </xdr:nvCxnSpPr>
      <xdr:spPr>
        <a:xfrm flipV="1">
          <a:off x="67484625" y="40973375"/>
          <a:ext cx="3254375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701</xdr:row>
      <xdr:rowOff>38100</xdr:rowOff>
    </xdr:from>
    <xdr:to>
      <xdr:col>88</xdr:col>
      <xdr:colOff>57150</xdr:colOff>
      <xdr:row>705</xdr:row>
      <xdr:rowOff>38100</xdr:rowOff>
    </xdr:to>
    <xdr:cxnSp macro="">
      <xdr:nvCxnSpPr>
        <xdr:cNvPr id="335" name="Conector recto de flecha 334"/>
        <xdr:cNvCxnSpPr/>
      </xdr:nvCxnSpPr>
      <xdr:spPr>
        <a:xfrm flipV="1">
          <a:off x="89890600" y="44869100"/>
          <a:ext cx="1289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702</xdr:row>
      <xdr:rowOff>152400</xdr:rowOff>
    </xdr:from>
    <xdr:to>
      <xdr:col>88</xdr:col>
      <xdr:colOff>19050</xdr:colOff>
      <xdr:row>709</xdr:row>
      <xdr:rowOff>95250</xdr:rowOff>
    </xdr:to>
    <xdr:cxnSp macro="">
      <xdr:nvCxnSpPr>
        <xdr:cNvPr id="336" name="Conector recto de flecha 335"/>
        <xdr:cNvCxnSpPr/>
      </xdr:nvCxnSpPr>
      <xdr:spPr>
        <a:xfrm flipV="1">
          <a:off x="91141550" y="45173900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701</xdr:row>
      <xdr:rowOff>114300</xdr:rowOff>
    </xdr:from>
    <xdr:to>
      <xdr:col>88</xdr:col>
      <xdr:colOff>590550</xdr:colOff>
      <xdr:row>714</xdr:row>
      <xdr:rowOff>114300</xdr:rowOff>
    </xdr:to>
    <xdr:cxnSp macro="">
      <xdr:nvCxnSpPr>
        <xdr:cNvPr id="358" name="Conector recto de flecha 357"/>
        <xdr:cNvCxnSpPr/>
      </xdr:nvCxnSpPr>
      <xdr:spPr>
        <a:xfrm flipV="1">
          <a:off x="91160600" y="44945300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326573</xdr:colOff>
      <xdr:row>669</xdr:row>
      <xdr:rowOff>27213</xdr:rowOff>
    </xdr:from>
    <xdr:to>
      <xdr:col>86</xdr:col>
      <xdr:colOff>27215</xdr:colOff>
      <xdr:row>715</xdr:row>
      <xdr:rowOff>81646</xdr:rowOff>
    </xdr:to>
    <xdr:cxnSp macro="">
      <xdr:nvCxnSpPr>
        <xdr:cNvPr id="359" name="Conector angular 358"/>
        <xdr:cNvCxnSpPr/>
      </xdr:nvCxnSpPr>
      <xdr:spPr>
        <a:xfrm>
          <a:off x="60778573" y="38762213"/>
          <a:ext cx="2694214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136634</xdr:colOff>
      <xdr:row>670</xdr:row>
      <xdr:rowOff>108127</xdr:rowOff>
    </xdr:from>
    <xdr:to>
      <xdr:col>85</xdr:col>
      <xdr:colOff>958247</xdr:colOff>
      <xdr:row>715</xdr:row>
      <xdr:rowOff>46691</xdr:rowOff>
    </xdr:to>
    <xdr:cxnSp macro="">
      <xdr:nvCxnSpPr>
        <xdr:cNvPr id="367" name="Conector angular 366"/>
        <xdr:cNvCxnSpPr/>
      </xdr:nvCxnSpPr>
      <xdr:spPr>
        <a:xfrm>
          <a:off x="56334134" y="39033627"/>
          <a:ext cx="31238113" cy="8511064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710</xdr:row>
      <xdr:rowOff>81311</xdr:rowOff>
    </xdr:from>
    <xdr:to>
      <xdr:col>85</xdr:col>
      <xdr:colOff>1033811</xdr:colOff>
      <xdr:row>710</xdr:row>
      <xdr:rowOff>92927</xdr:rowOff>
    </xdr:to>
    <xdr:cxnSp macro="">
      <xdr:nvCxnSpPr>
        <xdr:cNvPr id="368" name="Conector recto de flecha 367"/>
        <xdr:cNvCxnSpPr/>
      </xdr:nvCxnSpPr>
      <xdr:spPr>
        <a:xfrm>
          <a:off x="86672079" y="46626811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1022195</xdr:colOff>
      <xdr:row>706</xdr:row>
      <xdr:rowOff>71088</xdr:rowOff>
    </xdr:from>
    <xdr:to>
      <xdr:col>85</xdr:col>
      <xdr:colOff>1393</xdr:colOff>
      <xdr:row>708</xdr:row>
      <xdr:rowOff>58079</xdr:rowOff>
    </xdr:to>
    <xdr:cxnSp macro="">
      <xdr:nvCxnSpPr>
        <xdr:cNvPr id="369" name="Conector recto de flecha 368"/>
        <xdr:cNvCxnSpPr/>
      </xdr:nvCxnSpPr>
      <xdr:spPr>
        <a:xfrm flipV="1">
          <a:off x="86239195" y="45854588"/>
          <a:ext cx="376198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46463</xdr:colOff>
      <xdr:row>663</xdr:row>
      <xdr:rowOff>139390</xdr:rowOff>
    </xdr:from>
    <xdr:to>
      <xdr:col>76</xdr:col>
      <xdr:colOff>766647</xdr:colOff>
      <xdr:row>673</xdr:row>
      <xdr:rowOff>162622</xdr:rowOff>
    </xdr:to>
    <xdr:cxnSp macro="">
      <xdr:nvCxnSpPr>
        <xdr:cNvPr id="372" name="Conector recto de flecha 371"/>
        <xdr:cNvCxnSpPr/>
      </xdr:nvCxnSpPr>
      <xdr:spPr>
        <a:xfrm flipH="1" flipV="1">
          <a:off x="67419963" y="37731390"/>
          <a:ext cx="421268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136074</xdr:colOff>
      <xdr:row>659</xdr:row>
      <xdr:rowOff>136073</xdr:rowOff>
    </xdr:from>
    <xdr:to>
      <xdr:col>71</xdr:col>
      <xdr:colOff>1814286</xdr:colOff>
      <xdr:row>662</xdr:row>
      <xdr:rowOff>90714</xdr:rowOff>
    </xdr:to>
    <xdr:cxnSp macro="">
      <xdr:nvCxnSpPr>
        <xdr:cNvPr id="373" name="Conector recto de flecha 372"/>
        <xdr:cNvCxnSpPr/>
      </xdr:nvCxnSpPr>
      <xdr:spPr>
        <a:xfrm flipH="1" flipV="1">
          <a:off x="59236431" y="120559287"/>
          <a:ext cx="7075712" cy="498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661</xdr:row>
      <xdr:rowOff>0</xdr:rowOff>
    </xdr:from>
    <xdr:to>
      <xdr:col>74</xdr:col>
      <xdr:colOff>721446</xdr:colOff>
      <xdr:row>664</xdr:row>
      <xdr:rowOff>134472</xdr:rowOff>
    </xdr:to>
    <xdr:grpSp>
      <xdr:nvGrpSpPr>
        <xdr:cNvPr id="374" name="Grupo 373"/>
        <xdr:cNvGrpSpPr/>
      </xdr:nvGrpSpPr>
      <xdr:grpSpPr>
        <a:xfrm>
          <a:off x="69455685" y="122903226"/>
          <a:ext cx="721446" cy="687536"/>
          <a:chOff x="52088676" y="6928970"/>
          <a:chExt cx="616324" cy="691030"/>
        </a:xfrm>
      </xdr:grpSpPr>
      <xdr:cxnSp macro="">
        <xdr:nvCxnSpPr>
          <xdr:cNvPr id="375" name="Conector recto 374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Conector recto 375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" name="Conector recto 376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87</xdr:col>
      <xdr:colOff>1226704</xdr:colOff>
      <xdr:row>683</xdr:row>
      <xdr:rowOff>101022</xdr:rowOff>
    </xdr:from>
    <xdr:to>
      <xdr:col>88</xdr:col>
      <xdr:colOff>3857</xdr:colOff>
      <xdr:row>686</xdr:row>
      <xdr:rowOff>129886</xdr:rowOff>
    </xdr:to>
    <xdr:cxnSp macro="">
      <xdr:nvCxnSpPr>
        <xdr:cNvPr id="379" name="Conector recto de flecha 378"/>
        <xdr:cNvCxnSpPr/>
      </xdr:nvCxnSpPr>
      <xdr:spPr>
        <a:xfrm>
          <a:off x="93438229" y="93414272"/>
          <a:ext cx="58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607579</xdr:colOff>
      <xdr:row>484</xdr:row>
      <xdr:rowOff>12122</xdr:rowOff>
    </xdr:from>
    <xdr:to>
      <xdr:col>89</xdr:col>
      <xdr:colOff>222932</xdr:colOff>
      <xdr:row>487</xdr:row>
      <xdr:rowOff>40986</xdr:rowOff>
    </xdr:to>
    <xdr:cxnSp macro="">
      <xdr:nvCxnSpPr>
        <xdr:cNvPr id="380" name="Conector recto de flecha 379"/>
        <xdr:cNvCxnSpPr/>
      </xdr:nvCxnSpPr>
      <xdr:spPr>
        <a:xfrm>
          <a:off x="93438229" y="93414272"/>
          <a:ext cx="3773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438150</xdr:colOff>
      <xdr:row>691</xdr:row>
      <xdr:rowOff>114300</xdr:rowOff>
    </xdr:from>
    <xdr:to>
      <xdr:col>88</xdr:col>
      <xdr:colOff>476250</xdr:colOff>
      <xdr:row>698</xdr:row>
      <xdr:rowOff>0</xdr:rowOff>
    </xdr:to>
    <xdr:cxnSp macro="">
      <xdr:nvCxnSpPr>
        <xdr:cNvPr id="381" name="Conector recto de flecha 380"/>
        <xdr:cNvCxnSpPr/>
      </xdr:nvCxnSpPr>
      <xdr:spPr>
        <a:xfrm flipH="1">
          <a:off x="93268800" y="132949950"/>
          <a:ext cx="381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775</xdr:row>
      <xdr:rowOff>114300</xdr:rowOff>
    </xdr:from>
    <xdr:to>
      <xdr:col>87</xdr:col>
      <xdr:colOff>1466850</xdr:colOff>
      <xdr:row>776</xdr:row>
      <xdr:rowOff>95250</xdr:rowOff>
    </xdr:to>
    <xdr:cxnSp macro="">
      <xdr:nvCxnSpPr>
        <xdr:cNvPr id="383" name="Conector recto de flecha 382"/>
        <xdr:cNvCxnSpPr/>
      </xdr:nvCxnSpPr>
      <xdr:spPr>
        <a:xfrm flipV="1">
          <a:off x="91249500" y="148951950"/>
          <a:ext cx="14478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775</xdr:row>
      <xdr:rowOff>114300</xdr:rowOff>
    </xdr:from>
    <xdr:to>
      <xdr:col>89</xdr:col>
      <xdr:colOff>2095500</xdr:colOff>
      <xdr:row>775</xdr:row>
      <xdr:rowOff>123825</xdr:rowOff>
    </xdr:to>
    <xdr:cxnSp macro="">
      <xdr:nvCxnSpPr>
        <xdr:cNvPr id="384" name="Conector recto de flecha 383"/>
        <xdr:cNvCxnSpPr/>
      </xdr:nvCxnSpPr>
      <xdr:spPr>
        <a:xfrm flipV="1">
          <a:off x="92907678" y="145888213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779</xdr:row>
      <xdr:rowOff>19050</xdr:rowOff>
    </xdr:from>
    <xdr:to>
      <xdr:col>85</xdr:col>
      <xdr:colOff>19050</xdr:colOff>
      <xdr:row>782</xdr:row>
      <xdr:rowOff>168089</xdr:rowOff>
    </xdr:to>
    <xdr:cxnSp macro="">
      <xdr:nvCxnSpPr>
        <xdr:cNvPr id="385" name="Conector recto de flecha 384"/>
        <xdr:cNvCxnSpPr/>
      </xdr:nvCxnSpPr>
      <xdr:spPr>
        <a:xfrm flipV="1">
          <a:off x="83407087" y="146621224"/>
          <a:ext cx="3455115" cy="770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784</xdr:row>
      <xdr:rowOff>86591</xdr:rowOff>
    </xdr:from>
    <xdr:to>
      <xdr:col>80</xdr:col>
      <xdr:colOff>1545106</xdr:colOff>
      <xdr:row>785</xdr:row>
      <xdr:rowOff>110379</xdr:rowOff>
    </xdr:to>
    <xdr:cxnSp macro="">
      <xdr:nvCxnSpPr>
        <xdr:cNvPr id="387" name="Conector recto de flecha 386"/>
        <xdr:cNvCxnSpPr/>
      </xdr:nvCxnSpPr>
      <xdr:spPr>
        <a:xfrm flipV="1">
          <a:off x="79997281" y="147724091"/>
          <a:ext cx="1474999" cy="230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784</xdr:row>
      <xdr:rowOff>84044</xdr:rowOff>
    </xdr:from>
    <xdr:to>
      <xdr:col>77</xdr:col>
      <xdr:colOff>1190624</xdr:colOff>
      <xdr:row>788</xdr:row>
      <xdr:rowOff>140074</xdr:rowOff>
    </xdr:to>
    <xdr:cxnSp macro="">
      <xdr:nvCxnSpPr>
        <xdr:cNvPr id="388" name="Conector recto de flecha 387"/>
        <xdr:cNvCxnSpPr/>
      </xdr:nvCxnSpPr>
      <xdr:spPr>
        <a:xfrm>
          <a:off x="73702427" y="147721544"/>
          <a:ext cx="1120588" cy="88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777</xdr:row>
      <xdr:rowOff>152400</xdr:rowOff>
    </xdr:from>
    <xdr:to>
      <xdr:col>88</xdr:col>
      <xdr:colOff>19050</xdr:colOff>
      <xdr:row>784</xdr:row>
      <xdr:rowOff>95250</xdr:rowOff>
    </xdr:to>
    <xdr:cxnSp macro="">
      <xdr:nvCxnSpPr>
        <xdr:cNvPr id="392" name="Conector recto de flecha 391"/>
        <xdr:cNvCxnSpPr/>
      </xdr:nvCxnSpPr>
      <xdr:spPr>
        <a:xfrm flipV="1">
          <a:off x="91914593" y="146340443"/>
          <a:ext cx="0" cy="1392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781</xdr:row>
      <xdr:rowOff>95250</xdr:rowOff>
    </xdr:from>
    <xdr:to>
      <xdr:col>88</xdr:col>
      <xdr:colOff>762000</xdr:colOff>
      <xdr:row>789</xdr:row>
      <xdr:rowOff>114300</xdr:rowOff>
    </xdr:to>
    <xdr:cxnSp macro="">
      <xdr:nvCxnSpPr>
        <xdr:cNvPr id="393" name="Conector recto de flecha 392"/>
        <xdr:cNvCxnSpPr/>
      </xdr:nvCxnSpPr>
      <xdr:spPr>
        <a:xfrm flipV="1">
          <a:off x="92868750" y="150075900"/>
          <a:ext cx="72390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785</xdr:row>
      <xdr:rowOff>76200</xdr:rowOff>
    </xdr:from>
    <xdr:to>
      <xdr:col>85</xdr:col>
      <xdr:colOff>2076450</xdr:colOff>
      <xdr:row>785</xdr:row>
      <xdr:rowOff>81311</xdr:rowOff>
    </xdr:to>
    <xdr:cxnSp macro="">
      <xdr:nvCxnSpPr>
        <xdr:cNvPr id="396" name="Conector recto de flecha 395"/>
        <xdr:cNvCxnSpPr/>
      </xdr:nvCxnSpPr>
      <xdr:spPr>
        <a:xfrm flipV="1">
          <a:off x="87802379" y="150818850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790</xdr:row>
      <xdr:rowOff>81311</xdr:rowOff>
    </xdr:from>
    <xdr:to>
      <xdr:col>85</xdr:col>
      <xdr:colOff>1962150</xdr:colOff>
      <xdr:row>790</xdr:row>
      <xdr:rowOff>133350</xdr:rowOff>
    </xdr:to>
    <xdr:cxnSp macro="">
      <xdr:nvCxnSpPr>
        <xdr:cNvPr id="406" name="Conector recto de flecha 405"/>
        <xdr:cNvCxnSpPr/>
      </xdr:nvCxnSpPr>
      <xdr:spPr>
        <a:xfrm>
          <a:off x="87802379" y="151776461"/>
          <a:ext cx="1904071" cy="52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823</xdr:row>
      <xdr:rowOff>19050</xdr:rowOff>
    </xdr:from>
    <xdr:to>
      <xdr:col>85</xdr:col>
      <xdr:colOff>19050</xdr:colOff>
      <xdr:row>826</xdr:row>
      <xdr:rowOff>168089</xdr:rowOff>
    </xdr:to>
    <xdr:cxnSp macro="">
      <xdr:nvCxnSpPr>
        <xdr:cNvPr id="409" name="Conector recto de flecha 408"/>
        <xdr:cNvCxnSpPr/>
      </xdr:nvCxnSpPr>
      <xdr:spPr>
        <a:xfrm flipV="1">
          <a:off x="83586544" y="158191777"/>
          <a:ext cx="3456370" cy="755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828</xdr:row>
      <xdr:rowOff>86591</xdr:rowOff>
    </xdr:from>
    <xdr:to>
      <xdr:col>80</xdr:col>
      <xdr:colOff>1545106</xdr:colOff>
      <xdr:row>829</xdr:row>
      <xdr:rowOff>110379</xdr:rowOff>
    </xdr:to>
    <xdr:cxnSp macro="">
      <xdr:nvCxnSpPr>
        <xdr:cNvPr id="410" name="Conector recto de flecha 409"/>
        <xdr:cNvCxnSpPr/>
      </xdr:nvCxnSpPr>
      <xdr:spPr>
        <a:xfrm flipV="1">
          <a:off x="80166698" y="159269546"/>
          <a:ext cx="1474999" cy="225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828</xdr:row>
      <xdr:rowOff>84044</xdr:rowOff>
    </xdr:from>
    <xdr:to>
      <xdr:col>77</xdr:col>
      <xdr:colOff>1190624</xdr:colOff>
      <xdr:row>832</xdr:row>
      <xdr:rowOff>140074</xdr:rowOff>
    </xdr:to>
    <xdr:cxnSp macro="">
      <xdr:nvCxnSpPr>
        <xdr:cNvPr id="411" name="Conector recto de flecha 410"/>
        <xdr:cNvCxnSpPr/>
      </xdr:nvCxnSpPr>
      <xdr:spPr>
        <a:xfrm>
          <a:off x="73874354" y="159266999"/>
          <a:ext cx="1120588" cy="864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829</xdr:row>
      <xdr:rowOff>76200</xdr:rowOff>
    </xdr:from>
    <xdr:to>
      <xdr:col>85</xdr:col>
      <xdr:colOff>2076450</xdr:colOff>
      <xdr:row>829</xdr:row>
      <xdr:rowOff>81311</xdr:rowOff>
    </xdr:to>
    <xdr:cxnSp macro="">
      <xdr:nvCxnSpPr>
        <xdr:cNvPr id="414" name="Conector recto de flecha 413"/>
        <xdr:cNvCxnSpPr/>
      </xdr:nvCxnSpPr>
      <xdr:spPr>
        <a:xfrm flipV="1">
          <a:off x="87081943" y="159461200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398258</xdr:colOff>
      <xdr:row>832</xdr:row>
      <xdr:rowOff>149347</xdr:rowOff>
    </xdr:from>
    <xdr:to>
      <xdr:col>85</xdr:col>
      <xdr:colOff>1247775</xdr:colOff>
      <xdr:row>832</xdr:row>
      <xdr:rowOff>201386</xdr:rowOff>
    </xdr:to>
    <xdr:cxnSp macro="">
      <xdr:nvCxnSpPr>
        <xdr:cNvPr id="415" name="Conector recto de flecha 414"/>
        <xdr:cNvCxnSpPr/>
      </xdr:nvCxnSpPr>
      <xdr:spPr>
        <a:xfrm>
          <a:off x="86361383" y="170714883"/>
          <a:ext cx="1904071" cy="52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54</xdr:row>
      <xdr:rowOff>140074</xdr:rowOff>
    </xdr:from>
    <xdr:to>
      <xdr:col>86</xdr:col>
      <xdr:colOff>1106581</xdr:colOff>
      <xdr:row>55</xdr:row>
      <xdr:rowOff>95250</xdr:rowOff>
    </xdr:to>
    <xdr:cxnSp macro="">
      <xdr:nvCxnSpPr>
        <xdr:cNvPr id="2" name="Conector recto de flecha 1"/>
        <xdr:cNvCxnSpPr/>
      </xdr:nvCxnSpPr>
      <xdr:spPr>
        <a:xfrm flipV="1">
          <a:off x="89811225" y="10779499"/>
          <a:ext cx="1087531" cy="240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54</xdr:row>
      <xdr:rowOff>104775</xdr:rowOff>
    </xdr:from>
    <xdr:to>
      <xdr:col>88</xdr:col>
      <xdr:colOff>742950</xdr:colOff>
      <xdr:row>54</xdr:row>
      <xdr:rowOff>104775</xdr:rowOff>
    </xdr:to>
    <xdr:cxnSp macro="">
      <xdr:nvCxnSpPr>
        <xdr:cNvPr id="3" name="Conector recto de flecha 2"/>
        <xdr:cNvCxnSpPr/>
      </xdr:nvCxnSpPr>
      <xdr:spPr>
        <a:xfrm>
          <a:off x="92716350" y="10744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58</xdr:row>
      <xdr:rowOff>133351</xdr:rowOff>
    </xdr:from>
    <xdr:to>
      <xdr:col>84</xdr:col>
      <xdr:colOff>276225</xdr:colOff>
      <xdr:row>61</xdr:row>
      <xdr:rowOff>168088</xdr:rowOff>
    </xdr:to>
    <xdr:cxnSp macro="">
      <xdr:nvCxnSpPr>
        <xdr:cNvPr id="4" name="Conector recto de flecha 3"/>
        <xdr:cNvCxnSpPr/>
      </xdr:nvCxnSpPr>
      <xdr:spPr>
        <a:xfrm flipV="1">
          <a:off x="83151569" y="1163002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49</xdr:row>
      <xdr:rowOff>193302</xdr:rowOff>
    </xdr:from>
    <xdr:to>
      <xdr:col>86</xdr:col>
      <xdr:colOff>1134596</xdr:colOff>
      <xdr:row>53</xdr:row>
      <xdr:rowOff>112059</xdr:rowOff>
    </xdr:to>
    <xdr:cxnSp macro="">
      <xdr:nvCxnSpPr>
        <xdr:cNvPr id="5" name="Conector recto de flecha 4"/>
        <xdr:cNvCxnSpPr/>
      </xdr:nvCxnSpPr>
      <xdr:spPr>
        <a:xfrm>
          <a:off x="89839240" y="98326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59</xdr:row>
      <xdr:rowOff>0</xdr:rowOff>
    </xdr:from>
    <xdr:to>
      <xdr:col>79</xdr:col>
      <xdr:colOff>1472045</xdr:colOff>
      <xdr:row>62</xdr:row>
      <xdr:rowOff>0</xdr:rowOff>
    </xdr:to>
    <xdr:cxnSp macro="">
      <xdr:nvCxnSpPr>
        <xdr:cNvPr id="6" name="Conector recto de flecha 5"/>
        <xdr:cNvCxnSpPr/>
      </xdr:nvCxnSpPr>
      <xdr:spPr>
        <a:xfrm>
          <a:off x="78194087" y="11687175"/>
          <a:ext cx="140200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63</xdr:row>
      <xdr:rowOff>86591</xdr:rowOff>
    </xdr:from>
    <xdr:to>
      <xdr:col>79</xdr:col>
      <xdr:colOff>1515341</xdr:colOff>
      <xdr:row>64</xdr:row>
      <xdr:rowOff>110379</xdr:rowOff>
    </xdr:to>
    <xdr:cxnSp macro="">
      <xdr:nvCxnSpPr>
        <xdr:cNvPr id="7" name="Conector recto de flecha 6"/>
        <xdr:cNvCxnSpPr/>
      </xdr:nvCxnSpPr>
      <xdr:spPr>
        <a:xfrm flipV="1">
          <a:off x="78164392" y="12535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63</xdr:row>
      <xdr:rowOff>84044</xdr:rowOff>
    </xdr:from>
    <xdr:to>
      <xdr:col>76</xdr:col>
      <xdr:colOff>1190624</xdr:colOff>
      <xdr:row>67</xdr:row>
      <xdr:rowOff>140074</xdr:rowOff>
    </xdr:to>
    <xdr:cxnSp macro="">
      <xdr:nvCxnSpPr>
        <xdr:cNvPr id="8" name="Conector recto de flecha 7"/>
        <xdr:cNvCxnSpPr/>
      </xdr:nvCxnSpPr>
      <xdr:spPr>
        <a:xfrm>
          <a:off x="73098211" y="12533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59</xdr:row>
      <xdr:rowOff>0</xdr:rowOff>
    </xdr:from>
    <xdr:to>
      <xdr:col>74</xdr:col>
      <xdr:colOff>1200411</xdr:colOff>
      <xdr:row>62</xdr:row>
      <xdr:rowOff>39144</xdr:rowOff>
    </xdr:to>
    <xdr:cxnSp macro="">
      <xdr:nvCxnSpPr>
        <xdr:cNvPr id="9" name="Conector recto de flecha 8"/>
        <xdr:cNvCxnSpPr/>
      </xdr:nvCxnSpPr>
      <xdr:spPr>
        <a:xfrm>
          <a:off x="69183437" y="11687175"/>
          <a:ext cx="1130374" cy="610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64</xdr:row>
      <xdr:rowOff>95092</xdr:rowOff>
    </xdr:from>
    <xdr:to>
      <xdr:col>65</xdr:col>
      <xdr:colOff>296916</xdr:colOff>
      <xdr:row>67</xdr:row>
      <xdr:rowOff>80493</xdr:rowOff>
    </xdr:to>
    <xdr:cxnSp macro="">
      <xdr:nvCxnSpPr>
        <xdr:cNvPr id="10" name="Conector recto de flecha 9"/>
        <xdr:cNvCxnSpPr/>
      </xdr:nvCxnSpPr>
      <xdr:spPr>
        <a:xfrm flipV="1">
          <a:off x="56222587" y="12734767"/>
          <a:ext cx="1310054" cy="55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57</xdr:row>
      <xdr:rowOff>14008</xdr:rowOff>
    </xdr:from>
    <xdr:to>
      <xdr:col>71</xdr:col>
      <xdr:colOff>602316</xdr:colOff>
      <xdr:row>57</xdr:row>
      <xdr:rowOff>70038</xdr:rowOff>
    </xdr:to>
    <xdr:cxnSp macro="">
      <xdr:nvCxnSpPr>
        <xdr:cNvPr id="11" name="Conector recto de flecha 10"/>
        <xdr:cNvCxnSpPr/>
      </xdr:nvCxnSpPr>
      <xdr:spPr>
        <a:xfrm>
          <a:off x="61942196" y="11320183"/>
          <a:ext cx="2610970" cy="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54</xdr:row>
      <xdr:rowOff>0</xdr:rowOff>
    </xdr:from>
    <xdr:to>
      <xdr:col>67</xdr:col>
      <xdr:colOff>994523</xdr:colOff>
      <xdr:row>56</xdr:row>
      <xdr:rowOff>168089</xdr:rowOff>
    </xdr:to>
    <xdr:cxnSp macro="">
      <xdr:nvCxnSpPr>
        <xdr:cNvPr id="12" name="Conector recto de flecha 11"/>
        <xdr:cNvCxnSpPr/>
      </xdr:nvCxnSpPr>
      <xdr:spPr>
        <a:xfrm>
          <a:off x="59525087" y="10639425"/>
          <a:ext cx="886386" cy="644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58</xdr:row>
      <xdr:rowOff>28015</xdr:rowOff>
    </xdr:from>
    <xdr:to>
      <xdr:col>67</xdr:col>
      <xdr:colOff>994522</xdr:colOff>
      <xdr:row>59</xdr:row>
      <xdr:rowOff>110378</xdr:rowOff>
    </xdr:to>
    <xdr:cxnSp macro="">
      <xdr:nvCxnSpPr>
        <xdr:cNvPr id="13" name="Conector recto de flecha 12"/>
        <xdr:cNvCxnSpPr/>
      </xdr:nvCxnSpPr>
      <xdr:spPr>
        <a:xfrm flipV="1">
          <a:off x="59495392" y="11524690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51</xdr:row>
      <xdr:rowOff>94361</xdr:rowOff>
    </xdr:from>
    <xdr:to>
      <xdr:col>64</xdr:col>
      <xdr:colOff>575956</xdr:colOff>
      <xdr:row>51</xdr:row>
      <xdr:rowOff>110011</xdr:rowOff>
    </xdr:to>
    <xdr:cxnSp macro="">
      <xdr:nvCxnSpPr>
        <xdr:cNvPr id="14" name="Conector recto de flecha 13"/>
        <xdr:cNvCxnSpPr/>
      </xdr:nvCxnSpPr>
      <xdr:spPr>
        <a:xfrm flipV="1">
          <a:off x="54511439" y="10114661"/>
          <a:ext cx="2233442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51</xdr:row>
      <xdr:rowOff>89802</xdr:rowOff>
    </xdr:from>
    <xdr:to>
      <xdr:col>61</xdr:col>
      <xdr:colOff>596300</xdr:colOff>
      <xdr:row>51</xdr:row>
      <xdr:rowOff>104384</xdr:rowOff>
    </xdr:to>
    <xdr:cxnSp macro="">
      <xdr:nvCxnSpPr>
        <xdr:cNvPr id="15" name="Conector recto de flecha 14"/>
        <xdr:cNvCxnSpPr/>
      </xdr:nvCxnSpPr>
      <xdr:spPr>
        <a:xfrm flipV="1">
          <a:off x="49874988" y="10110102"/>
          <a:ext cx="2118212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63</xdr:row>
      <xdr:rowOff>26096</xdr:rowOff>
    </xdr:from>
    <xdr:to>
      <xdr:col>74</xdr:col>
      <xdr:colOff>1239555</xdr:colOff>
      <xdr:row>65</xdr:row>
      <xdr:rowOff>18421</xdr:rowOff>
    </xdr:to>
    <xdr:cxnSp macro="">
      <xdr:nvCxnSpPr>
        <xdr:cNvPr id="16" name="Conector recto de flecha 15"/>
        <xdr:cNvCxnSpPr/>
      </xdr:nvCxnSpPr>
      <xdr:spPr>
        <a:xfrm flipV="1">
          <a:off x="69249445" y="124752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53</xdr:row>
      <xdr:rowOff>39144</xdr:rowOff>
    </xdr:from>
    <xdr:to>
      <xdr:col>76</xdr:col>
      <xdr:colOff>1343939</xdr:colOff>
      <xdr:row>54</xdr:row>
      <xdr:rowOff>182672</xdr:rowOff>
    </xdr:to>
    <xdr:cxnSp macro="">
      <xdr:nvCxnSpPr>
        <xdr:cNvPr id="17" name="Conector recto de flecha 16"/>
        <xdr:cNvCxnSpPr/>
      </xdr:nvCxnSpPr>
      <xdr:spPr>
        <a:xfrm>
          <a:off x="73145607" y="10440444"/>
          <a:ext cx="1226507" cy="38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69</xdr:row>
      <xdr:rowOff>119062</xdr:rowOff>
    </xdr:from>
    <xdr:to>
      <xdr:col>73</xdr:col>
      <xdr:colOff>1607344</xdr:colOff>
      <xdr:row>76</xdr:row>
      <xdr:rowOff>166687</xdr:rowOff>
    </xdr:to>
    <xdr:cxnSp macro="">
      <xdr:nvCxnSpPr>
        <xdr:cNvPr id="18" name="Conector recto de flecha 17"/>
        <xdr:cNvCxnSpPr/>
      </xdr:nvCxnSpPr>
      <xdr:spPr>
        <a:xfrm flipH="1" flipV="1">
          <a:off x="67908489" y="137112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69</xdr:row>
      <xdr:rowOff>155272</xdr:rowOff>
    </xdr:from>
    <xdr:to>
      <xdr:col>73</xdr:col>
      <xdr:colOff>337779</xdr:colOff>
      <xdr:row>76</xdr:row>
      <xdr:rowOff>59531</xdr:rowOff>
    </xdr:to>
    <xdr:cxnSp macro="">
      <xdr:nvCxnSpPr>
        <xdr:cNvPr id="19" name="Conector recto de flecha 18"/>
        <xdr:cNvCxnSpPr/>
      </xdr:nvCxnSpPr>
      <xdr:spPr>
        <a:xfrm flipV="1">
          <a:off x="65998725" y="13747447"/>
          <a:ext cx="1652229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56</xdr:row>
      <xdr:rowOff>0</xdr:rowOff>
    </xdr:from>
    <xdr:to>
      <xdr:col>61</xdr:col>
      <xdr:colOff>728383</xdr:colOff>
      <xdr:row>59</xdr:row>
      <xdr:rowOff>37353</xdr:rowOff>
    </xdr:to>
    <xdr:cxnSp macro="">
      <xdr:nvCxnSpPr>
        <xdr:cNvPr id="20" name="Conector recto de flecha 19"/>
        <xdr:cNvCxnSpPr/>
      </xdr:nvCxnSpPr>
      <xdr:spPr>
        <a:xfrm flipH="1">
          <a:off x="49871405" y="11115675"/>
          <a:ext cx="2253878" cy="608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56</xdr:row>
      <xdr:rowOff>77693</xdr:rowOff>
    </xdr:from>
    <xdr:to>
      <xdr:col>61</xdr:col>
      <xdr:colOff>283135</xdr:colOff>
      <xdr:row>60</xdr:row>
      <xdr:rowOff>21665</xdr:rowOff>
    </xdr:to>
    <xdr:grpSp>
      <xdr:nvGrpSpPr>
        <xdr:cNvPr id="21" name="Grupo 20"/>
        <xdr:cNvGrpSpPr/>
      </xdr:nvGrpSpPr>
      <xdr:grpSpPr>
        <a:xfrm>
          <a:off x="50429458" y="10947399"/>
          <a:ext cx="1456765" cy="691031"/>
          <a:chOff x="52088676" y="6928970"/>
          <a:chExt cx="616324" cy="691030"/>
        </a:xfrm>
      </xdr:grpSpPr>
      <xdr:cxnSp macro="">
        <xdr:nvCxnSpPr>
          <xdr:cNvPr id="22" name="Conector recto 2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63</xdr:row>
      <xdr:rowOff>112058</xdr:rowOff>
    </xdr:from>
    <xdr:to>
      <xdr:col>70</xdr:col>
      <xdr:colOff>635000</xdr:colOff>
      <xdr:row>76</xdr:row>
      <xdr:rowOff>130735</xdr:rowOff>
    </xdr:to>
    <xdr:cxnSp macro="">
      <xdr:nvCxnSpPr>
        <xdr:cNvPr id="25" name="Conector angular 24"/>
        <xdr:cNvCxnSpPr/>
      </xdr:nvCxnSpPr>
      <xdr:spPr>
        <a:xfrm>
          <a:off x="48413708" y="12561233"/>
          <a:ext cx="14743392" cy="2495177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41</xdr:row>
      <xdr:rowOff>112059</xdr:rowOff>
    </xdr:from>
    <xdr:to>
      <xdr:col>83</xdr:col>
      <xdr:colOff>1336116</xdr:colOff>
      <xdr:row>47</xdr:row>
      <xdr:rowOff>161367</xdr:rowOff>
    </xdr:to>
    <xdr:cxnSp macro="">
      <xdr:nvCxnSpPr>
        <xdr:cNvPr id="26" name="Conector recto de flecha 25"/>
        <xdr:cNvCxnSpPr/>
      </xdr:nvCxnSpPr>
      <xdr:spPr>
        <a:xfrm>
          <a:off x="83216937" y="8227359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38</xdr:row>
      <xdr:rowOff>0</xdr:rowOff>
    </xdr:from>
    <xdr:to>
      <xdr:col>79</xdr:col>
      <xdr:colOff>1494118</xdr:colOff>
      <xdr:row>41</xdr:row>
      <xdr:rowOff>18676</xdr:rowOff>
    </xdr:to>
    <xdr:cxnSp macro="">
      <xdr:nvCxnSpPr>
        <xdr:cNvPr id="27" name="Conector recto de flecha 26"/>
        <xdr:cNvCxnSpPr/>
      </xdr:nvCxnSpPr>
      <xdr:spPr>
        <a:xfrm>
          <a:off x="78194087" y="75438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41</xdr:row>
      <xdr:rowOff>168088</xdr:rowOff>
    </xdr:from>
    <xdr:to>
      <xdr:col>79</xdr:col>
      <xdr:colOff>1494118</xdr:colOff>
      <xdr:row>43</xdr:row>
      <xdr:rowOff>110378</xdr:rowOff>
    </xdr:to>
    <xdr:cxnSp macro="">
      <xdr:nvCxnSpPr>
        <xdr:cNvPr id="28" name="Conector recto de flecha 27"/>
        <xdr:cNvCxnSpPr/>
      </xdr:nvCxnSpPr>
      <xdr:spPr>
        <a:xfrm flipV="1">
          <a:off x="78164392" y="8283388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44</xdr:row>
      <xdr:rowOff>155864</xdr:rowOff>
    </xdr:from>
    <xdr:to>
      <xdr:col>76</xdr:col>
      <xdr:colOff>1333500</xdr:colOff>
      <xdr:row>45</xdr:row>
      <xdr:rowOff>138545</xdr:rowOff>
    </xdr:to>
    <xdr:cxnSp macro="">
      <xdr:nvCxnSpPr>
        <xdr:cNvPr id="29" name="Conector recto de flecha 28"/>
        <xdr:cNvCxnSpPr/>
      </xdr:nvCxnSpPr>
      <xdr:spPr>
        <a:xfrm>
          <a:off x="73097448" y="88426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34</xdr:row>
      <xdr:rowOff>111724</xdr:rowOff>
    </xdr:from>
    <xdr:to>
      <xdr:col>76</xdr:col>
      <xdr:colOff>1335189</xdr:colOff>
      <xdr:row>35</xdr:row>
      <xdr:rowOff>94405</xdr:rowOff>
    </xdr:to>
    <xdr:cxnSp macro="">
      <xdr:nvCxnSpPr>
        <xdr:cNvPr id="30" name="Conector recto de flecha 29"/>
        <xdr:cNvCxnSpPr/>
      </xdr:nvCxnSpPr>
      <xdr:spPr>
        <a:xfrm>
          <a:off x="73099137" y="68935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34</xdr:row>
      <xdr:rowOff>82789</xdr:rowOff>
    </xdr:from>
    <xdr:to>
      <xdr:col>74</xdr:col>
      <xdr:colOff>1265493</xdr:colOff>
      <xdr:row>35</xdr:row>
      <xdr:rowOff>69695</xdr:rowOff>
    </xdr:to>
    <xdr:cxnSp macro="">
      <xdr:nvCxnSpPr>
        <xdr:cNvPr id="31" name="Conector recto de flecha 30"/>
        <xdr:cNvCxnSpPr/>
      </xdr:nvCxnSpPr>
      <xdr:spPr>
        <a:xfrm flipV="1">
          <a:off x="69171479" y="68645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33</xdr:row>
      <xdr:rowOff>177209</xdr:rowOff>
    </xdr:from>
    <xdr:to>
      <xdr:col>70</xdr:col>
      <xdr:colOff>1370671</xdr:colOff>
      <xdr:row>34</xdr:row>
      <xdr:rowOff>23231</xdr:rowOff>
    </xdr:to>
    <xdr:cxnSp macro="">
      <xdr:nvCxnSpPr>
        <xdr:cNvPr id="32" name="Conector recto de flecha 31"/>
        <xdr:cNvCxnSpPr/>
      </xdr:nvCxnSpPr>
      <xdr:spPr>
        <a:xfrm>
          <a:off x="62555327" y="6768509"/>
          <a:ext cx="1337444" cy="36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115</xdr:row>
      <xdr:rowOff>12212</xdr:rowOff>
    </xdr:from>
    <xdr:to>
      <xdr:col>88</xdr:col>
      <xdr:colOff>1941635</xdr:colOff>
      <xdr:row>116</xdr:row>
      <xdr:rowOff>95251</xdr:rowOff>
    </xdr:to>
    <xdr:cxnSp macro="">
      <xdr:nvCxnSpPr>
        <xdr:cNvPr id="33" name="Conector recto de flecha 32"/>
        <xdr:cNvCxnSpPr/>
      </xdr:nvCxnSpPr>
      <xdr:spPr>
        <a:xfrm flipV="1">
          <a:off x="89529627" y="22872212"/>
          <a:ext cx="4804508" cy="278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119</xdr:row>
      <xdr:rowOff>133351</xdr:rowOff>
    </xdr:from>
    <xdr:to>
      <xdr:col>84</xdr:col>
      <xdr:colOff>276225</xdr:colOff>
      <xdr:row>122</xdr:row>
      <xdr:rowOff>168088</xdr:rowOff>
    </xdr:to>
    <xdr:cxnSp macro="">
      <xdr:nvCxnSpPr>
        <xdr:cNvPr id="35" name="Conector recto de flecha 34"/>
        <xdr:cNvCxnSpPr/>
      </xdr:nvCxnSpPr>
      <xdr:spPr>
        <a:xfrm flipV="1">
          <a:off x="83151569" y="2329815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123</xdr:row>
      <xdr:rowOff>150394</xdr:rowOff>
    </xdr:from>
    <xdr:to>
      <xdr:col>79</xdr:col>
      <xdr:colOff>2306053</xdr:colOff>
      <xdr:row>125</xdr:row>
      <xdr:rowOff>110380</xdr:rowOff>
    </xdr:to>
    <xdr:cxnSp macro="">
      <xdr:nvCxnSpPr>
        <xdr:cNvPr id="37" name="Conector recto de flecha 36"/>
        <xdr:cNvCxnSpPr/>
      </xdr:nvCxnSpPr>
      <xdr:spPr>
        <a:xfrm flipV="1">
          <a:off x="78164392" y="24086719"/>
          <a:ext cx="2265711" cy="340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124</xdr:row>
      <xdr:rowOff>84044</xdr:rowOff>
    </xdr:from>
    <xdr:to>
      <xdr:col>76</xdr:col>
      <xdr:colOff>1190624</xdr:colOff>
      <xdr:row>128</xdr:row>
      <xdr:rowOff>140074</xdr:rowOff>
    </xdr:to>
    <xdr:cxnSp macro="">
      <xdr:nvCxnSpPr>
        <xdr:cNvPr id="38" name="Conector recto de flecha 37"/>
        <xdr:cNvCxnSpPr/>
      </xdr:nvCxnSpPr>
      <xdr:spPr>
        <a:xfrm>
          <a:off x="73098211" y="242108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119</xdr:row>
      <xdr:rowOff>28015</xdr:rowOff>
    </xdr:from>
    <xdr:to>
      <xdr:col>67</xdr:col>
      <xdr:colOff>994522</xdr:colOff>
      <xdr:row>120</xdr:row>
      <xdr:rowOff>110378</xdr:rowOff>
    </xdr:to>
    <xdr:cxnSp macro="">
      <xdr:nvCxnSpPr>
        <xdr:cNvPr id="39" name="Conector recto de flecha 38"/>
        <xdr:cNvCxnSpPr/>
      </xdr:nvCxnSpPr>
      <xdr:spPr>
        <a:xfrm flipV="1">
          <a:off x="59495392" y="23192815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124</xdr:row>
      <xdr:rowOff>26096</xdr:rowOff>
    </xdr:from>
    <xdr:to>
      <xdr:col>74</xdr:col>
      <xdr:colOff>1239555</xdr:colOff>
      <xdr:row>126</xdr:row>
      <xdr:rowOff>18421</xdr:rowOff>
    </xdr:to>
    <xdr:cxnSp macro="">
      <xdr:nvCxnSpPr>
        <xdr:cNvPr id="40" name="Conector recto de flecha 39"/>
        <xdr:cNvCxnSpPr/>
      </xdr:nvCxnSpPr>
      <xdr:spPr>
        <a:xfrm flipV="1">
          <a:off x="69249445" y="2415292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116158</xdr:colOff>
      <xdr:row>118</xdr:row>
      <xdr:rowOff>162622</xdr:rowOff>
    </xdr:from>
    <xdr:to>
      <xdr:col>71</xdr:col>
      <xdr:colOff>1208969</xdr:colOff>
      <xdr:row>125</xdr:row>
      <xdr:rowOff>143657</xdr:rowOff>
    </xdr:to>
    <xdr:cxnSp macro="">
      <xdr:nvCxnSpPr>
        <xdr:cNvPr id="41" name="Conector recto de flecha 40"/>
        <xdr:cNvCxnSpPr/>
      </xdr:nvCxnSpPr>
      <xdr:spPr>
        <a:xfrm>
          <a:off x="61876258" y="23136922"/>
          <a:ext cx="3283561" cy="1324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99</xdr:row>
      <xdr:rowOff>0</xdr:rowOff>
    </xdr:from>
    <xdr:to>
      <xdr:col>79</xdr:col>
      <xdr:colOff>1494118</xdr:colOff>
      <xdr:row>102</xdr:row>
      <xdr:rowOff>18676</xdr:rowOff>
    </xdr:to>
    <xdr:cxnSp macro="">
      <xdr:nvCxnSpPr>
        <xdr:cNvPr id="43" name="Conector recto de flecha 42"/>
        <xdr:cNvCxnSpPr/>
      </xdr:nvCxnSpPr>
      <xdr:spPr>
        <a:xfrm>
          <a:off x="78194087" y="1933575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102</xdr:row>
      <xdr:rowOff>168088</xdr:rowOff>
    </xdr:from>
    <xdr:to>
      <xdr:col>79</xdr:col>
      <xdr:colOff>1494118</xdr:colOff>
      <xdr:row>104</xdr:row>
      <xdr:rowOff>110378</xdr:rowOff>
    </xdr:to>
    <xdr:cxnSp macro="">
      <xdr:nvCxnSpPr>
        <xdr:cNvPr id="44" name="Conector recto de flecha 43"/>
        <xdr:cNvCxnSpPr/>
      </xdr:nvCxnSpPr>
      <xdr:spPr>
        <a:xfrm flipV="1">
          <a:off x="78164392" y="20075338"/>
          <a:ext cx="1453776" cy="332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105</xdr:row>
      <xdr:rowOff>155864</xdr:rowOff>
    </xdr:from>
    <xdr:to>
      <xdr:col>76</xdr:col>
      <xdr:colOff>1333500</xdr:colOff>
      <xdr:row>106</xdr:row>
      <xdr:rowOff>138545</xdr:rowOff>
    </xdr:to>
    <xdr:cxnSp macro="">
      <xdr:nvCxnSpPr>
        <xdr:cNvPr id="45" name="Conector recto de flecha 44"/>
        <xdr:cNvCxnSpPr/>
      </xdr:nvCxnSpPr>
      <xdr:spPr>
        <a:xfrm>
          <a:off x="73097448" y="2064413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95</xdr:row>
      <xdr:rowOff>111724</xdr:rowOff>
    </xdr:from>
    <xdr:to>
      <xdr:col>76</xdr:col>
      <xdr:colOff>1335189</xdr:colOff>
      <xdr:row>96</xdr:row>
      <xdr:rowOff>94405</xdr:rowOff>
    </xdr:to>
    <xdr:cxnSp macro="">
      <xdr:nvCxnSpPr>
        <xdr:cNvPr id="46" name="Conector recto de flecha 45"/>
        <xdr:cNvCxnSpPr/>
      </xdr:nvCxnSpPr>
      <xdr:spPr>
        <a:xfrm>
          <a:off x="73099137" y="1868547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95</xdr:row>
      <xdr:rowOff>82789</xdr:rowOff>
    </xdr:from>
    <xdr:to>
      <xdr:col>74</xdr:col>
      <xdr:colOff>1265493</xdr:colOff>
      <xdr:row>96</xdr:row>
      <xdr:rowOff>69695</xdr:rowOff>
    </xdr:to>
    <xdr:cxnSp macro="">
      <xdr:nvCxnSpPr>
        <xdr:cNvPr id="47" name="Conector recto de flecha 46"/>
        <xdr:cNvCxnSpPr/>
      </xdr:nvCxnSpPr>
      <xdr:spPr>
        <a:xfrm flipV="1">
          <a:off x="69171479" y="1865653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94</xdr:row>
      <xdr:rowOff>177209</xdr:rowOff>
    </xdr:from>
    <xdr:to>
      <xdr:col>70</xdr:col>
      <xdr:colOff>728773</xdr:colOff>
      <xdr:row>95</xdr:row>
      <xdr:rowOff>5638</xdr:rowOff>
    </xdr:to>
    <xdr:cxnSp macro="">
      <xdr:nvCxnSpPr>
        <xdr:cNvPr id="48" name="Conector recto de flecha 47"/>
        <xdr:cNvCxnSpPr/>
      </xdr:nvCxnSpPr>
      <xdr:spPr>
        <a:xfrm>
          <a:off x="62555327" y="18560459"/>
          <a:ext cx="695546" cy="18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34848</xdr:colOff>
      <xdr:row>102</xdr:row>
      <xdr:rowOff>46464</xdr:rowOff>
    </xdr:from>
    <xdr:to>
      <xdr:col>79</xdr:col>
      <xdr:colOff>1482161</xdr:colOff>
      <xdr:row>102</xdr:row>
      <xdr:rowOff>88372</xdr:rowOff>
    </xdr:to>
    <xdr:cxnSp macro="">
      <xdr:nvCxnSpPr>
        <xdr:cNvPr id="49" name="Conector recto de flecha 48"/>
        <xdr:cNvCxnSpPr/>
      </xdr:nvCxnSpPr>
      <xdr:spPr>
        <a:xfrm>
          <a:off x="78158898" y="19953714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801494</xdr:colOff>
      <xdr:row>101</xdr:row>
      <xdr:rowOff>145303</xdr:rowOff>
    </xdr:from>
    <xdr:to>
      <xdr:col>75</xdr:col>
      <xdr:colOff>2065721</xdr:colOff>
      <xdr:row>103</xdr:row>
      <xdr:rowOff>81311</xdr:rowOff>
    </xdr:to>
    <xdr:cxnSp macro="">
      <xdr:nvCxnSpPr>
        <xdr:cNvPr id="50" name="Conector recto de flecha 49"/>
        <xdr:cNvCxnSpPr/>
      </xdr:nvCxnSpPr>
      <xdr:spPr>
        <a:xfrm flipV="1">
          <a:off x="66752594" y="19862053"/>
          <a:ext cx="6150552" cy="317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74705</xdr:colOff>
      <xdr:row>86</xdr:row>
      <xdr:rowOff>37353</xdr:rowOff>
    </xdr:from>
    <xdr:to>
      <xdr:col>75</xdr:col>
      <xdr:colOff>1695914</xdr:colOff>
      <xdr:row>89</xdr:row>
      <xdr:rowOff>162622</xdr:rowOff>
    </xdr:to>
    <xdr:cxnSp macro="">
      <xdr:nvCxnSpPr>
        <xdr:cNvPr id="51" name="Conector recto de flecha 50"/>
        <xdr:cNvCxnSpPr/>
      </xdr:nvCxnSpPr>
      <xdr:spPr>
        <a:xfrm flipH="1" flipV="1">
          <a:off x="70912130" y="16896603"/>
          <a:ext cx="1621209" cy="696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25991</xdr:colOff>
      <xdr:row>87</xdr:row>
      <xdr:rowOff>77694</xdr:rowOff>
    </xdr:from>
    <xdr:to>
      <xdr:col>75</xdr:col>
      <xdr:colOff>2071976</xdr:colOff>
      <xdr:row>91</xdr:row>
      <xdr:rowOff>21665</xdr:rowOff>
    </xdr:to>
    <xdr:grpSp>
      <xdr:nvGrpSpPr>
        <xdr:cNvPr id="52" name="Grupo 51"/>
        <xdr:cNvGrpSpPr/>
      </xdr:nvGrpSpPr>
      <xdr:grpSpPr>
        <a:xfrm>
          <a:off x="71071285" y="16737106"/>
          <a:ext cx="2045985" cy="691030"/>
          <a:chOff x="52088676" y="6928970"/>
          <a:chExt cx="616324" cy="691030"/>
        </a:xfrm>
      </xdr:grpSpPr>
      <xdr:cxnSp macro="">
        <xdr:nvCxnSpPr>
          <xdr:cNvPr id="53" name="Conector recto 52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cto 53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198864</xdr:colOff>
      <xdr:row>90</xdr:row>
      <xdr:rowOff>94322</xdr:rowOff>
    </xdr:from>
    <xdr:to>
      <xdr:col>74</xdr:col>
      <xdr:colOff>1266128</xdr:colOff>
      <xdr:row>92</xdr:row>
      <xdr:rowOff>69695</xdr:rowOff>
    </xdr:to>
    <xdr:cxnSp macro="">
      <xdr:nvCxnSpPr>
        <xdr:cNvPr id="56" name="Conector recto de flecha 55"/>
        <xdr:cNvCxnSpPr/>
      </xdr:nvCxnSpPr>
      <xdr:spPr>
        <a:xfrm>
          <a:off x="69312264" y="17715572"/>
          <a:ext cx="1067264" cy="3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34847</xdr:colOff>
      <xdr:row>119</xdr:row>
      <xdr:rowOff>34847</xdr:rowOff>
    </xdr:from>
    <xdr:to>
      <xdr:col>80</xdr:col>
      <xdr:colOff>1</xdr:colOff>
      <xdr:row>119</xdr:row>
      <xdr:rowOff>35406</xdr:rowOff>
    </xdr:to>
    <xdr:cxnSp macro="">
      <xdr:nvCxnSpPr>
        <xdr:cNvPr id="57" name="Conector recto de flecha 56"/>
        <xdr:cNvCxnSpPr/>
      </xdr:nvCxnSpPr>
      <xdr:spPr>
        <a:xfrm flipH="1" flipV="1">
          <a:off x="78158897" y="23199647"/>
          <a:ext cx="2546429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38894</xdr:colOff>
      <xdr:row>175</xdr:row>
      <xdr:rowOff>173182</xdr:rowOff>
    </xdr:from>
    <xdr:to>
      <xdr:col>88</xdr:col>
      <xdr:colOff>1895980</xdr:colOff>
      <xdr:row>177</xdr:row>
      <xdr:rowOff>95250</xdr:rowOff>
    </xdr:to>
    <xdr:cxnSp macro="">
      <xdr:nvCxnSpPr>
        <xdr:cNvPr id="58" name="Conector recto de flecha 57"/>
        <xdr:cNvCxnSpPr/>
      </xdr:nvCxnSpPr>
      <xdr:spPr>
        <a:xfrm flipV="1">
          <a:off x="89454832" y="35276776"/>
          <a:ext cx="4734429" cy="318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180</xdr:row>
      <xdr:rowOff>133351</xdr:rowOff>
    </xdr:from>
    <xdr:to>
      <xdr:col>84</xdr:col>
      <xdr:colOff>276225</xdr:colOff>
      <xdr:row>183</xdr:row>
      <xdr:rowOff>168088</xdr:rowOff>
    </xdr:to>
    <xdr:cxnSp macro="">
      <xdr:nvCxnSpPr>
        <xdr:cNvPr id="60" name="Conector recto de flecha 59"/>
        <xdr:cNvCxnSpPr/>
      </xdr:nvCxnSpPr>
      <xdr:spPr>
        <a:xfrm flipV="1">
          <a:off x="83151569" y="3492817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185</xdr:row>
      <xdr:rowOff>86591</xdr:rowOff>
    </xdr:from>
    <xdr:to>
      <xdr:col>79</xdr:col>
      <xdr:colOff>1545106</xdr:colOff>
      <xdr:row>186</xdr:row>
      <xdr:rowOff>110379</xdr:rowOff>
    </xdr:to>
    <xdr:cxnSp macro="">
      <xdr:nvCxnSpPr>
        <xdr:cNvPr id="62" name="Conector recto de flecha 61"/>
        <xdr:cNvCxnSpPr/>
      </xdr:nvCxnSpPr>
      <xdr:spPr>
        <a:xfrm flipV="1">
          <a:off x="78194157" y="358339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185</xdr:row>
      <xdr:rowOff>84044</xdr:rowOff>
    </xdr:from>
    <xdr:to>
      <xdr:col>76</xdr:col>
      <xdr:colOff>1190624</xdr:colOff>
      <xdr:row>189</xdr:row>
      <xdr:rowOff>140074</xdr:rowOff>
    </xdr:to>
    <xdr:cxnSp macro="">
      <xdr:nvCxnSpPr>
        <xdr:cNvPr id="63" name="Conector recto de flecha 62"/>
        <xdr:cNvCxnSpPr/>
      </xdr:nvCxnSpPr>
      <xdr:spPr>
        <a:xfrm>
          <a:off x="73098211" y="358313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232</xdr:row>
      <xdr:rowOff>0</xdr:rowOff>
    </xdr:from>
    <xdr:to>
      <xdr:col>88</xdr:col>
      <xdr:colOff>1978269</xdr:colOff>
      <xdr:row>233</xdr:row>
      <xdr:rowOff>95251</xdr:rowOff>
    </xdr:to>
    <xdr:cxnSp macro="">
      <xdr:nvCxnSpPr>
        <xdr:cNvPr id="72" name="Conector recto de flecha 71"/>
        <xdr:cNvCxnSpPr/>
      </xdr:nvCxnSpPr>
      <xdr:spPr>
        <a:xfrm flipV="1">
          <a:off x="89602896" y="45744423"/>
          <a:ext cx="4841142" cy="290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236</xdr:row>
      <xdr:rowOff>19050</xdr:rowOff>
    </xdr:from>
    <xdr:to>
      <xdr:col>84</xdr:col>
      <xdr:colOff>19050</xdr:colOff>
      <xdr:row>239</xdr:row>
      <xdr:rowOff>168089</xdr:rowOff>
    </xdr:to>
    <xdr:cxnSp macro="">
      <xdr:nvCxnSpPr>
        <xdr:cNvPr id="74" name="Conector recto de flecha 73"/>
        <xdr:cNvCxnSpPr/>
      </xdr:nvCxnSpPr>
      <xdr:spPr>
        <a:xfrm flipV="1">
          <a:off x="83151569" y="45481875"/>
          <a:ext cx="34116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241</xdr:row>
      <xdr:rowOff>86591</xdr:rowOff>
    </xdr:from>
    <xdr:to>
      <xdr:col>79</xdr:col>
      <xdr:colOff>1545106</xdr:colOff>
      <xdr:row>242</xdr:row>
      <xdr:rowOff>110379</xdr:rowOff>
    </xdr:to>
    <xdr:cxnSp macro="">
      <xdr:nvCxnSpPr>
        <xdr:cNvPr id="76" name="Conector recto de flecha 75"/>
        <xdr:cNvCxnSpPr/>
      </xdr:nvCxnSpPr>
      <xdr:spPr>
        <a:xfrm flipV="1">
          <a:off x="78194157" y="465019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241</xdr:row>
      <xdr:rowOff>84044</xdr:rowOff>
    </xdr:from>
    <xdr:to>
      <xdr:col>76</xdr:col>
      <xdr:colOff>1190624</xdr:colOff>
      <xdr:row>245</xdr:row>
      <xdr:rowOff>140074</xdr:rowOff>
    </xdr:to>
    <xdr:cxnSp macro="">
      <xdr:nvCxnSpPr>
        <xdr:cNvPr id="77" name="Conector recto de flecha 76"/>
        <xdr:cNvCxnSpPr/>
      </xdr:nvCxnSpPr>
      <xdr:spPr>
        <a:xfrm>
          <a:off x="73098211" y="464993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193</xdr:row>
      <xdr:rowOff>0</xdr:rowOff>
    </xdr:from>
    <xdr:to>
      <xdr:col>73</xdr:col>
      <xdr:colOff>721446</xdr:colOff>
      <xdr:row>196</xdr:row>
      <xdr:rowOff>134472</xdr:rowOff>
    </xdr:to>
    <xdr:grpSp>
      <xdr:nvGrpSpPr>
        <xdr:cNvPr id="95" name="Grupo 94"/>
        <xdr:cNvGrpSpPr/>
      </xdr:nvGrpSpPr>
      <xdr:grpSpPr>
        <a:xfrm>
          <a:off x="67534118" y="36493824"/>
          <a:ext cx="721446" cy="694766"/>
          <a:chOff x="52088676" y="6928970"/>
          <a:chExt cx="616324" cy="691030"/>
        </a:xfrm>
      </xdr:grpSpPr>
      <xdr:cxnSp macro="">
        <xdr:nvCxnSpPr>
          <xdr:cNvPr id="96" name="Conector recto 95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96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ector recto 97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19050</xdr:colOff>
      <xdr:row>350</xdr:row>
      <xdr:rowOff>114300</xdr:rowOff>
    </xdr:from>
    <xdr:to>
      <xdr:col>90</xdr:col>
      <xdr:colOff>1200150</xdr:colOff>
      <xdr:row>352</xdr:row>
      <xdr:rowOff>95251</xdr:rowOff>
    </xdr:to>
    <xdr:cxnSp macro="">
      <xdr:nvCxnSpPr>
        <xdr:cNvPr id="99" name="Conector recto de flecha 98"/>
        <xdr:cNvCxnSpPr/>
      </xdr:nvCxnSpPr>
      <xdr:spPr>
        <a:xfrm flipV="1">
          <a:off x="92849700" y="67475100"/>
          <a:ext cx="539115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434473</xdr:colOff>
      <xdr:row>354</xdr:row>
      <xdr:rowOff>114303</xdr:rowOff>
    </xdr:from>
    <xdr:to>
      <xdr:col>85</xdr:col>
      <xdr:colOff>2171700</xdr:colOff>
      <xdr:row>358</xdr:row>
      <xdr:rowOff>0</xdr:rowOff>
    </xdr:to>
    <xdr:cxnSp macro="">
      <xdr:nvCxnSpPr>
        <xdr:cNvPr id="101" name="Conector recto de flecha 100"/>
        <xdr:cNvCxnSpPr/>
      </xdr:nvCxnSpPr>
      <xdr:spPr>
        <a:xfrm flipV="1">
          <a:off x="81513947" y="65836803"/>
          <a:ext cx="8655385" cy="737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526442</xdr:colOff>
      <xdr:row>354</xdr:row>
      <xdr:rowOff>24512</xdr:rowOff>
    </xdr:from>
    <xdr:to>
      <xdr:col>77</xdr:col>
      <xdr:colOff>1647030</xdr:colOff>
      <xdr:row>358</xdr:row>
      <xdr:rowOff>80543</xdr:rowOff>
    </xdr:to>
    <xdr:cxnSp macro="">
      <xdr:nvCxnSpPr>
        <xdr:cNvPr id="121" name="Conector recto de flecha 120"/>
        <xdr:cNvCxnSpPr/>
      </xdr:nvCxnSpPr>
      <xdr:spPr>
        <a:xfrm>
          <a:off x="74926217" y="68137787"/>
          <a:ext cx="1120588" cy="92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89</xdr:col>
      <xdr:colOff>9619</xdr:colOff>
      <xdr:row>426</xdr:row>
      <xdr:rowOff>95250</xdr:rowOff>
    </xdr:to>
    <xdr:cxnSp macro="">
      <xdr:nvCxnSpPr>
        <xdr:cNvPr id="122" name="Conector recto de flecha 121"/>
        <xdr:cNvCxnSpPr/>
      </xdr:nvCxnSpPr>
      <xdr:spPr>
        <a:xfrm flipV="1">
          <a:off x="92697300" y="81931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23" name="Conector recto de flecha 12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428</xdr:row>
      <xdr:rowOff>114303</xdr:rowOff>
    </xdr:from>
    <xdr:to>
      <xdr:col>85</xdr:col>
      <xdr:colOff>2171700</xdr:colOff>
      <xdr:row>429</xdr:row>
      <xdr:rowOff>174949</xdr:rowOff>
    </xdr:to>
    <xdr:cxnSp macro="">
      <xdr:nvCxnSpPr>
        <xdr:cNvPr id="124" name="Conector recto de flecha 123"/>
        <xdr:cNvCxnSpPr/>
      </xdr:nvCxnSpPr>
      <xdr:spPr>
        <a:xfrm flipV="1">
          <a:off x="80812238" y="82476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89</xdr:col>
      <xdr:colOff>9059</xdr:colOff>
      <xdr:row>424</xdr:row>
      <xdr:rowOff>112059</xdr:rowOff>
    </xdr:to>
    <xdr:cxnSp macro="">
      <xdr:nvCxnSpPr>
        <xdr:cNvPr id="125" name="Conector recto de flecha 124"/>
        <xdr:cNvCxnSpPr/>
      </xdr:nvCxnSpPr>
      <xdr:spPr>
        <a:xfrm>
          <a:off x="92725315" y="81031977"/>
          <a:ext cx="20574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402</xdr:row>
      <xdr:rowOff>92927</xdr:rowOff>
    </xdr:from>
    <xdr:to>
      <xdr:col>85</xdr:col>
      <xdr:colOff>2014251</xdr:colOff>
      <xdr:row>419</xdr:row>
      <xdr:rowOff>108857</xdr:rowOff>
    </xdr:to>
    <xdr:cxnSp macro="">
      <xdr:nvCxnSpPr>
        <xdr:cNvPr id="126" name="Conector recto de flecha 125"/>
        <xdr:cNvCxnSpPr/>
      </xdr:nvCxnSpPr>
      <xdr:spPr>
        <a:xfrm>
          <a:off x="76796785" y="77502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405</xdr:row>
      <xdr:rowOff>142875</xdr:rowOff>
    </xdr:from>
    <xdr:to>
      <xdr:col>76</xdr:col>
      <xdr:colOff>1368425</xdr:colOff>
      <xdr:row>406</xdr:row>
      <xdr:rowOff>15875</xdr:rowOff>
    </xdr:to>
    <xdr:cxnSp macro="">
      <xdr:nvCxnSpPr>
        <xdr:cNvPr id="127" name="Conector recto de flecha 126"/>
        <xdr:cNvCxnSpPr/>
      </xdr:nvCxnSpPr>
      <xdr:spPr>
        <a:xfrm flipV="1">
          <a:off x="70948550" y="78124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28" name="Conector recto de flecha 127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29" name="Conector recto de flecha 128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30" name="Conector recto de flecha 129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394</xdr:row>
      <xdr:rowOff>27213</xdr:rowOff>
    </xdr:from>
    <xdr:to>
      <xdr:col>87</xdr:col>
      <xdr:colOff>27215</xdr:colOff>
      <xdr:row>440</xdr:row>
      <xdr:rowOff>81646</xdr:rowOff>
    </xdr:to>
    <xdr:cxnSp macro="">
      <xdr:nvCxnSpPr>
        <xdr:cNvPr id="131" name="Conector angular 130"/>
        <xdr:cNvCxnSpPr/>
      </xdr:nvCxnSpPr>
      <xdr:spPr>
        <a:xfrm>
          <a:off x="62848673" y="75912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395</xdr:row>
      <xdr:rowOff>33421</xdr:rowOff>
    </xdr:from>
    <xdr:to>
      <xdr:col>87</xdr:col>
      <xdr:colOff>24423</xdr:colOff>
      <xdr:row>439</xdr:row>
      <xdr:rowOff>158750</xdr:rowOff>
    </xdr:to>
    <xdr:cxnSp macro="">
      <xdr:nvCxnSpPr>
        <xdr:cNvPr id="132" name="Conector angular 131"/>
        <xdr:cNvCxnSpPr/>
      </xdr:nvCxnSpPr>
      <xdr:spPr>
        <a:xfrm>
          <a:off x="58865169" y="76109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33" name="Conector recto de flecha 132"/>
        <xdr:cNvCxnSpPr/>
      </xdr:nvCxnSpPr>
      <xdr:spPr>
        <a:xfrm>
          <a:off x="89850254" y="83777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388</xdr:row>
      <xdr:rowOff>139390</xdr:rowOff>
    </xdr:from>
    <xdr:to>
      <xdr:col>77</xdr:col>
      <xdr:colOff>766647</xdr:colOff>
      <xdr:row>398</xdr:row>
      <xdr:rowOff>162622</xdr:rowOff>
    </xdr:to>
    <xdr:cxnSp macro="">
      <xdr:nvCxnSpPr>
        <xdr:cNvPr id="134" name="Conector recto de flecha 133"/>
        <xdr:cNvCxnSpPr/>
      </xdr:nvCxnSpPr>
      <xdr:spPr>
        <a:xfrm flipH="1" flipV="1">
          <a:off x="70883888" y="74882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386</xdr:row>
      <xdr:rowOff>148442</xdr:rowOff>
    </xdr:from>
    <xdr:to>
      <xdr:col>72</xdr:col>
      <xdr:colOff>756425</xdr:colOff>
      <xdr:row>386</xdr:row>
      <xdr:rowOff>175634</xdr:rowOff>
    </xdr:to>
    <xdr:cxnSp macro="">
      <xdr:nvCxnSpPr>
        <xdr:cNvPr id="135" name="Conector recto de flecha 134"/>
        <xdr:cNvCxnSpPr/>
      </xdr:nvCxnSpPr>
      <xdr:spPr>
        <a:xfrm flipH="1" flipV="1">
          <a:off x="59739563" y="74510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386</xdr:row>
      <xdr:rowOff>0</xdr:rowOff>
    </xdr:from>
    <xdr:to>
      <xdr:col>75</xdr:col>
      <xdr:colOff>721446</xdr:colOff>
      <xdr:row>389</xdr:row>
      <xdr:rowOff>134472</xdr:rowOff>
    </xdr:to>
    <xdr:grpSp>
      <xdr:nvGrpSpPr>
        <xdr:cNvPr id="136" name="Grupo 135"/>
        <xdr:cNvGrpSpPr/>
      </xdr:nvGrpSpPr>
      <xdr:grpSpPr>
        <a:xfrm>
          <a:off x="71045294" y="72931618"/>
          <a:ext cx="721446" cy="694766"/>
          <a:chOff x="52088676" y="6928970"/>
          <a:chExt cx="616324" cy="691030"/>
        </a:xfrm>
      </xdr:grpSpPr>
      <xdr:cxnSp macro="">
        <xdr:nvCxnSpPr>
          <xdr:cNvPr id="137" name="Conector recto 13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ector recto 13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Conector recto 13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415</xdr:row>
      <xdr:rowOff>125605</xdr:rowOff>
    </xdr:from>
    <xdr:to>
      <xdr:col>89</xdr:col>
      <xdr:colOff>528443</xdr:colOff>
      <xdr:row>424</xdr:row>
      <xdr:rowOff>152553</xdr:rowOff>
    </xdr:to>
    <xdr:cxnSp macro="">
      <xdr:nvCxnSpPr>
        <xdr:cNvPr id="140" name="Conector recto de flecha 139"/>
        <xdr:cNvCxnSpPr/>
      </xdr:nvCxnSpPr>
      <xdr:spPr>
        <a:xfrm>
          <a:off x="92730585" y="80011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409</xdr:row>
      <xdr:rowOff>101022</xdr:rowOff>
    </xdr:from>
    <xdr:to>
      <xdr:col>86</xdr:col>
      <xdr:colOff>3857</xdr:colOff>
      <xdr:row>412</xdr:row>
      <xdr:rowOff>129886</xdr:rowOff>
    </xdr:to>
    <xdr:cxnSp macro="">
      <xdr:nvCxnSpPr>
        <xdr:cNvPr id="141" name="Conector recto de flecha 140"/>
        <xdr:cNvCxnSpPr/>
      </xdr:nvCxnSpPr>
      <xdr:spPr>
        <a:xfrm>
          <a:off x="88837654" y="78844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88</xdr:col>
      <xdr:colOff>1106581</xdr:colOff>
      <xdr:row>426</xdr:row>
      <xdr:rowOff>95250</xdr:rowOff>
    </xdr:to>
    <xdr:cxnSp macro="">
      <xdr:nvCxnSpPr>
        <xdr:cNvPr id="142" name="Conector recto de flecha 141"/>
        <xdr:cNvCxnSpPr/>
      </xdr:nvCxnSpPr>
      <xdr:spPr>
        <a:xfrm flipV="1">
          <a:off x="92697300" y="81931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43" name="Conector recto de flecha 14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88</xdr:col>
      <xdr:colOff>1134596</xdr:colOff>
      <xdr:row>424</xdr:row>
      <xdr:rowOff>112059</xdr:rowOff>
    </xdr:to>
    <xdr:cxnSp macro="">
      <xdr:nvCxnSpPr>
        <xdr:cNvPr id="144" name="Conector recto de flecha 143"/>
        <xdr:cNvCxnSpPr/>
      </xdr:nvCxnSpPr>
      <xdr:spPr>
        <a:xfrm>
          <a:off x="92725315" y="81031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45" name="Conector recto de flecha 144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46" name="Conector recto de flecha 145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47" name="Conector recto de flecha 146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48" name="Conector recto de flecha 147"/>
        <xdr:cNvCxnSpPr/>
      </xdr:nvCxnSpPr>
      <xdr:spPr>
        <a:xfrm>
          <a:off x="89850254" y="83777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431</xdr:row>
      <xdr:rowOff>71088</xdr:rowOff>
    </xdr:from>
    <xdr:to>
      <xdr:col>86</xdr:col>
      <xdr:colOff>1393</xdr:colOff>
      <xdr:row>433</xdr:row>
      <xdr:rowOff>58079</xdr:rowOff>
    </xdr:to>
    <xdr:cxnSp macro="">
      <xdr:nvCxnSpPr>
        <xdr:cNvPr id="149" name="Conector recto de flecha 148"/>
        <xdr:cNvCxnSpPr/>
      </xdr:nvCxnSpPr>
      <xdr:spPr>
        <a:xfrm flipV="1">
          <a:off x="88633145" y="83005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417</xdr:row>
      <xdr:rowOff>10468</xdr:rowOff>
    </xdr:from>
    <xdr:to>
      <xdr:col>89</xdr:col>
      <xdr:colOff>1151860</xdr:colOff>
      <xdr:row>424</xdr:row>
      <xdr:rowOff>158414</xdr:rowOff>
    </xdr:to>
    <xdr:cxnSp macro="">
      <xdr:nvCxnSpPr>
        <xdr:cNvPr id="150" name="Conector recto de flecha 149"/>
        <xdr:cNvCxnSpPr/>
      </xdr:nvCxnSpPr>
      <xdr:spPr>
        <a:xfrm>
          <a:off x="95925124" y="802776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409</xdr:row>
      <xdr:rowOff>101022</xdr:rowOff>
    </xdr:from>
    <xdr:to>
      <xdr:col>89</xdr:col>
      <xdr:colOff>3857</xdr:colOff>
      <xdr:row>412</xdr:row>
      <xdr:rowOff>129886</xdr:rowOff>
    </xdr:to>
    <xdr:cxnSp macro="">
      <xdr:nvCxnSpPr>
        <xdr:cNvPr id="151" name="Conector recto de flecha 150"/>
        <xdr:cNvCxnSpPr/>
      </xdr:nvCxnSpPr>
      <xdr:spPr>
        <a:xfrm>
          <a:off x="93904954" y="78844197"/>
          <a:ext cx="8726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89</xdr:col>
      <xdr:colOff>9619</xdr:colOff>
      <xdr:row>502</xdr:row>
      <xdr:rowOff>95250</xdr:rowOff>
    </xdr:to>
    <xdr:cxnSp macro="">
      <xdr:nvCxnSpPr>
        <xdr:cNvPr id="152" name="Conector recto de flecha 151"/>
        <xdr:cNvCxnSpPr/>
      </xdr:nvCxnSpPr>
      <xdr:spPr>
        <a:xfrm flipV="1">
          <a:off x="92697300" y="96409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53" name="Conector recto de flecha 15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504</xdr:row>
      <xdr:rowOff>114303</xdr:rowOff>
    </xdr:from>
    <xdr:to>
      <xdr:col>85</xdr:col>
      <xdr:colOff>2171700</xdr:colOff>
      <xdr:row>505</xdr:row>
      <xdr:rowOff>174949</xdr:rowOff>
    </xdr:to>
    <xdr:cxnSp macro="">
      <xdr:nvCxnSpPr>
        <xdr:cNvPr id="154" name="Conector recto de flecha 153"/>
        <xdr:cNvCxnSpPr/>
      </xdr:nvCxnSpPr>
      <xdr:spPr>
        <a:xfrm flipV="1">
          <a:off x="80812238" y="96954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89</xdr:col>
      <xdr:colOff>9059</xdr:colOff>
      <xdr:row>500</xdr:row>
      <xdr:rowOff>112059</xdr:rowOff>
    </xdr:to>
    <xdr:cxnSp macro="">
      <xdr:nvCxnSpPr>
        <xdr:cNvPr id="155" name="Conector recto de flecha 154"/>
        <xdr:cNvCxnSpPr/>
      </xdr:nvCxnSpPr>
      <xdr:spPr>
        <a:xfrm>
          <a:off x="92725315" y="95509977"/>
          <a:ext cx="20574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478</xdr:row>
      <xdr:rowOff>92927</xdr:rowOff>
    </xdr:from>
    <xdr:to>
      <xdr:col>85</xdr:col>
      <xdr:colOff>2014251</xdr:colOff>
      <xdr:row>495</xdr:row>
      <xdr:rowOff>108857</xdr:rowOff>
    </xdr:to>
    <xdr:cxnSp macro="">
      <xdr:nvCxnSpPr>
        <xdr:cNvPr id="156" name="Conector recto de flecha 155"/>
        <xdr:cNvCxnSpPr/>
      </xdr:nvCxnSpPr>
      <xdr:spPr>
        <a:xfrm>
          <a:off x="76796785" y="91980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481</xdr:row>
      <xdr:rowOff>142875</xdr:rowOff>
    </xdr:from>
    <xdr:to>
      <xdr:col>76</xdr:col>
      <xdr:colOff>1368425</xdr:colOff>
      <xdr:row>482</xdr:row>
      <xdr:rowOff>15875</xdr:rowOff>
    </xdr:to>
    <xdr:cxnSp macro="">
      <xdr:nvCxnSpPr>
        <xdr:cNvPr id="157" name="Conector recto de flecha 156"/>
        <xdr:cNvCxnSpPr/>
      </xdr:nvCxnSpPr>
      <xdr:spPr>
        <a:xfrm flipV="1">
          <a:off x="70948550" y="92602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58" name="Conector recto de flecha 157"/>
        <xdr:cNvCxnSpPr/>
      </xdr:nvCxnSpPr>
      <xdr:spPr>
        <a:xfrm flipV="1">
          <a:off x="92716350" y="96497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59" name="Conector recto de flecha 158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60" name="Conector recto de flecha 159"/>
        <xdr:cNvCxnSpPr/>
      </xdr:nvCxnSpPr>
      <xdr:spPr>
        <a:xfrm flipV="1">
          <a:off x="94811850" y="965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470</xdr:row>
      <xdr:rowOff>27213</xdr:rowOff>
    </xdr:from>
    <xdr:to>
      <xdr:col>87</xdr:col>
      <xdr:colOff>27215</xdr:colOff>
      <xdr:row>516</xdr:row>
      <xdr:rowOff>81646</xdr:rowOff>
    </xdr:to>
    <xdr:cxnSp macro="">
      <xdr:nvCxnSpPr>
        <xdr:cNvPr id="161" name="Conector angular 160"/>
        <xdr:cNvCxnSpPr/>
      </xdr:nvCxnSpPr>
      <xdr:spPr>
        <a:xfrm>
          <a:off x="62848673" y="90390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471</xdr:row>
      <xdr:rowOff>33421</xdr:rowOff>
    </xdr:from>
    <xdr:to>
      <xdr:col>87</xdr:col>
      <xdr:colOff>24423</xdr:colOff>
      <xdr:row>515</xdr:row>
      <xdr:rowOff>158750</xdr:rowOff>
    </xdr:to>
    <xdr:cxnSp macro="">
      <xdr:nvCxnSpPr>
        <xdr:cNvPr id="162" name="Conector angular 161"/>
        <xdr:cNvCxnSpPr/>
      </xdr:nvCxnSpPr>
      <xdr:spPr>
        <a:xfrm>
          <a:off x="58865169" y="90587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63" name="Conector recto de flecha 162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464</xdr:row>
      <xdr:rowOff>139390</xdr:rowOff>
    </xdr:from>
    <xdr:to>
      <xdr:col>77</xdr:col>
      <xdr:colOff>766647</xdr:colOff>
      <xdr:row>474</xdr:row>
      <xdr:rowOff>162622</xdr:rowOff>
    </xdr:to>
    <xdr:cxnSp macro="">
      <xdr:nvCxnSpPr>
        <xdr:cNvPr id="164" name="Conector recto de flecha 163"/>
        <xdr:cNvCxnSpPr/>
      </xdr:nvCxnSpPr>
      <xdr:spPr>
        <a:xfrm flipH="1" flipV="1">
          <a:off x="70883888" y="89360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462</xdr:row>
      <xdr:rowOff>148442</xdr:rowOff>
    </xdr:from>
    <xdr:to>
      <xdr:col>72</xdr:col>
      <xdr:colOff>756425</xdr:colOff>
      <xdr:row>462</xdr:row>
      <xdr:rowOff>175634</xdr:rowOff>
    </xdr:to>
    <xdr:cxnSp macro="">
      <xdr:nvCxnSpPr>
        <xdr:cNvPr id="165" name="Conector recto de flecha 164"/>
        <xdr:cNvCxnSpPr/>
      </xdr:nvCxnSpPr>
      <xdr:spPr>
        <a:xfrm flipH="1" flipV="1">
          <a:off x="59739563" y="88988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462</xdr:row>
      <xdr:rowOff>0</xdr:rowOff>
    </xdr:from>
    <xdr:to>
      <xdr:col>75</xdr:col>
      <xdr:colOff>721446</xdr:colOff>
      <xdr:row>465</xdr:row>
      <xdr:rowOff>134472</xdr:rowOff>
    </xdr:to>
    <xdr:grpSp>
      <xdr:nvGrpSpPr>
        <xdr:cNvPr id="166" name="Grupo 165"/>
        <xdr:cNvGrpSpPr/>
      </xdr:nvGrpSpPr>
      <xdr:grpSpPr>
        <a:xfrm>
          <a:off x="71045294" y="87125735"/>
          <a:ext cx="721446" cy="694766"/>
          <a:chOff x="52088676" y="6928970"/>
          <a:chExt cx="616324" cy="691030"/>
        </a:xfrm>
      </xdr:grpSpPr>
      <xdr:cxnSp macro="">
        <xdr:nvCxnSpPr>
          <xdr:cNvPr id="167" name="Conector recto 16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16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16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491</xdr:row>
      <xdr:rowOff>125605</xdr:rowOff>
    </xdr:from>
    <xdr:to>
      <xdr:col>89</xdr:col>
      <xdr:colOff>528443</xdr:colOff>
      <xdr:row>500</xdr:row>
      <xdr:rowOff>152553</xdr:rowOff>
    </xdr:to>
    <xdr:cxnSp macro="">
      <xdr:nvCxnSpPr>
        <xdr:cNvPr id="170" name="Conector recto de flecha 169"/>
        <xdr:cNvCxnSpPr/>
      </xdr:nvCxnSpPr>
      <xdr:spPr>
        <a:xfrm>
          <a:off x="92730585" y="94489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485</xdr:row>
      <xdr:rowOff>101022</xdr:rowOff>
    </xdr:from>
    <xdr:to>
      <xdr:col>86</xdr:col>
      <xdr:colOff>3857</xdr:colOff>
      <xdr:row>488</xdr:row>
      <xdr:rowOff>129886</xdr:rowOff>
    </xdr:to>
    <xdr:cxnSp macro="">
      <xdr:nvCxnSpPr>
        <xdr:cNvPr id="171" name="Conector recto de flecha 170"/>
        <xdr:cNvCxnSpPr/>
      </xdr:nvCxnSpPr>
      <xdr:spPr>
        <a:xfrm>
          <a:off x="88837654" y="93322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88</xdr:col>
      <xdr:colOff>1106581</xdr:colOff>
      <xdr:row>502</xdr:row>
      <xdr:rowOff>95250</xdr:rowOff>
    </xdr:to>
    <xdr:cxnSp macro="">
      <xdr:nvCxnSpPr>
        <xdr:cNvPr id="172" name="Conector recto de flecha 171"/>
        <xdr:cNvCxnSpPr/>
      </xdr:nvCxnSpPr>
      <xdr:spPr>
        <a:xfrm flipV="1">
          <a:off x="92697300" y="96409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73" name="Conector recto de flecha 17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88</xdr:col>
      <xdr:colOff>1134596</xdr:colOff>
      <xdr:row>500</xdr:row>
      <xdr:rowOff>112059</xdr:rowOff>
    </xdr:to>
    <xdr:cxnSp macro="">
      <xdr:nvCxnSpPr>
        <xdr:cNvPr id="174" name="Conector recto de flecha 173"/>
        <xdr:cNvCxnSpPr/>
      </xdr:nvCxnSpPr>
      <xdr:spPr>
        <a:xfrm>
          <a:off x="92725315" y="95509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75" name="Conector recto de flecha 174"/>
        <xdr:cNvCxnSpPr/>
      </xdr:nvCxnSpPr>
      <xdr:spPr>
        <a:xfrm flipV="1">
          <a:off x="92716350" y="96497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76" name="Conector recto de flecha 175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77" name="Conector recto de flecha 176"/>
        <xdr:cNvCxnSpPr/>
      </xdr:nvCxnSpPr>
      <xdr:spPr>
        <a:xfrm flipV="1">
          <a:off x="94811850" y="965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78" name="Conector recto de flecha 177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507</xdr:row>
      <xdr:rowOff>71088</xdr:rowOff>
    </xdr:from>
    <xdr:to>
      <xdr:col>86</xdr:col>
      <xdr:colOff>1393</xdr:colOff>
      <xdr:row>509</xdr:row>
      <xdr:rowOff>58079</xdr:rowOff>
    </xdr:to>
    <xdr:cxnSp macro="">
      <xdr:nvCxnSpPr>
        <xdr:cNvPr id="179" name="Conector recto de flecha 178"/>
        <xdr:cNvCxnSpPr/>
      </xdr:nvCxnSpPr>
      <xdr:spPr>
        <a:xfrm flipV="1">
          <a:off x="88633145" y="97483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493</xdr:row>
      <xdr:rowOff>10468</xdr:rowOff>
    </xdr:from>
    <xdr:to>
      <xdr:col>89</xdr:col>
      <xdr:colOff>1151860</xdr:colOff>
      <xdr:row>500</xdr:row>
      <xdr:rowOff>158414</xdr:rowOff>
    </xdr:to>
    <xdr:cxnSp macro="">
      <xdr:nvCxnSpPr>
        <xdr:cNvPr id="180" name="Conector recto de flecha 179"/>
        <xdr:cNvCxnSpPr/>
      </xdr:nvCxnSpPr>
      <xdr:spPr>
        <a:xfrm>
          <a:off x="95925124" y="947556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485</xdr:row>
      <xdr:rowOff>101022</xdr:rowOff>
    </xdr:from>
    <xdr:to>
      <xdr:col>89</xdr:col>
      <xdr:colOff>3857</xdr:colOff>
      <xdr:row>488</xdr:row>
      <xdr:rowOff>129886</xdr:rowOff>
    </xdr:to>
    <xdr:cxnSp macro="">
      <xdr:nvCxnSpPr>
        <xdr:cNvPr id="181" name="Conector recto de flecha 180"/>
        <xdr:cNvCxnSpPr/>
      </xdr:nvCxnSpPr>
      <xdr:spPr>
        <a:xfrm>
          <a:off x="93904954" y="93322197"/>
          <a:ext cx="8726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579</xdr:row>
      <xdr:rowOff>140074</xdr:rowOff>
    </xdr:from>
    <xdr:to>
      <xdr:col>88</xdr:col>
      <xdr:colOff>1106581</xdr:colOff>
      <xdr:row>580</xdr:row>
      <xdr:rowOff>95250</xdr:rowOff>
    </xdr:to>
    <xdr:cxnSp macro="">
      <xdr:nvCxnSpPr>
        <xdr:cNvPr id="182" name="Conector recto de flecha 181"/>
        <xdr:cNvCxnSpPr/>
      </xdr:nvCxnSpPr>
      <xdr:spPr>
        <a:xfrm flipV="1">
          <a:off x="92697300" y="111268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579</xdr:row>
      <xdr:rowOff>104775</xdr:rowOff>
    </xdr:from>
    <xdr:to>
      <xdr:col>90</xdr:col>
      <xdr:colOff>742950</xdr:colOff>
      <xdr:row>579</xdr:row>
      <xdr:rowOff>104775</xdr:rowOff>
    </xdr:to>
    <xdr:cxnSp macro="">
      <xdr:nvCxnSpPr>
        <xdr:cNvPr id="183" name="Conector recto de flecha 182"/>
        <xdr:cNvCxnSpPr/>
      </xdr:nvCxnSpPr>
      <xdr:spPr>
        <a:xfrm>
          <a:off x="96926400" y="111232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582</xdr:row>
      <xdr:rowOff>38100</xdr:rowOff>
    </xdr:from>
    <xdr:to>
      <xdr:col>85</xdr:col>
      <xdr:colOff>2171700</xdr:colOff>
      <xdr:row>582</xdr:row>
      <xdr:rowOff>114303</xdr:rowOff>
    </xdr:to>
    <xdr:cxnSp macro="">
      <xdr:nvCxnSpPr>
        <xdr:cNvPr id="184" name="Conector recto de flecha 183"/>
        <xdr:cNvCxnSpPr/>
      </xdr:nvCxnSpPr>
      <xdr:spPr>
        <a:xfrm>
          <a:off x="84191475" y="1117377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575</xdr:row>
      <xdr:rowOff>2802</xdr:rowOff>
    </xdr:from>
    <xdr:to>
      <xdr:col>88</xdr:col>
      <xdr:colOff>1134596</xdr:colOff>
      <xdr:row>578</xdr:row>
      <xdr:rowOff>112059</xdr:rowOff>
    </xdr:to>
    <xdr:cxnSp macro="">
      <xdr:nvCxnSpPr>
        <xdr:cNvPr id="185" name="Conector recto de flecha 184"/>
        <xdr:cNvCxnSpPr/>
      </xdr:nvCxnSpPr>
      <xdr:spPr>
        <a:xfrm>
          <a:off x="92725315" y="110368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556</xdr:row>
      <xdr:rowOff>92927</xdr:rowOff>
    </xdr:from>
    <xdr:to>
      <xdr:col>85</xdr:col>
      <xdr:colOff>2014251</xdr:colOff>
      <xdr:row>573</xdr:row>
      <xdr:rowOff>108857</xdr:rowOff>
    </xdr:to>
    <xdr:cxnSp macro="">
      <xdr:nvCxnSpPr>
        <xdr:cNvPr id="186" name="Conector recto de flecha 185"/>
        <xdr:cNvCxnSpPr/>
      </xdr:nvCxnSpPr>
      <xdr:spPr>
        <a:xfrm>
          <a:off x="76796785" y="106839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559</xdr:row>
      <xdr:rowOff>142875</xdr:rowOff>
    </xdr:from>
    <xdr:to>
      <xdr:col>76</xdr:col>
      <xdr:colOff>1587500</xdr:colOff>
      <xdr:row>560</xdr:row>
      <xdr:rowOff>15875</xdr:rowOff>
    </xdr:to>
    <xdr:cxnSp macro="">
      <xdr:nvCxnSpPr>
        <xdr:cNvPr id="187" name="Conector recto de flecha 186"/>
        <xdr:cNvCxnSpPr/>
      </xdr:nvCxnSpPr>
      <xdr:spPr>
        <a:xfrm flipV="1">
          <a:off x="70948550" y="107461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580</xdr:row>
      <xdr:rowOff>38100</xdr:rowOff>
    </xdr:from>
    <xdr:to>
      <xdr:col>89</xdr:col>
      <xdr:colOff>57150</xdr:colOff>
      <xdr:row>584</xdr:row>
      <xdr:rowOff>38100</xdr:rowOff>
    </xdr:to>
    <xdr:cxnSp macro="">
      <xdr:nvCxnSpPr>
        <xdr:cNvPr id="188" name="Conector recto de flecha 187"/>
        <xdr:cNvCxnSpPr/>
      </xdr:nvCxnSpPr>
      <xdr:spPr>
        <a:xfrm flipV="1">
          <a:off x="92716350" y="111356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581</xdr:row>
      <xdr:rowOff>152400</xdr:rowOff>
    </xdr:from>
    <xdr:to>
      <xdr:col>89</xdr:col>
      <xdr:colOff>19050</xdr:colOff>
      <xdr:row>588</xdr:row>
      <xdr:rowOff>95250</xdr:rowOff>
    </xdr:to>
    <xdr:cxnSp macro="">
      <xdr:nvCxnSpPr>
        <xdr:cNvPr id="189" name="Conector recto de flecha 188"/>
        <xdr:cNvCxnSpPr/>
      </xdr:nvCxnSpPr>
      <xdr:spPr>
        <a:xfrm flipV="1">
          <a:off x="94792800" y="111661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580</xdr:row>
      <xdr:rowOff>114300</xdr:rowOff>
    </xdr:from>
    <xdr:to>
      <xdr:col>89</xdr:col>
      <xdr:colOff>590550</xdr:colOff>
      <xdr:row>593</xdr:row>
      <xdr:rowOff>114300</xdr:rowOff>
    </xdr:to>
    <xdr:cxnSp macro="">
      <xdr:nvCxnSpPr>
        <xdr:cNvPr id="190" name="Conector recto de flecha 189"/>
        <xdr:cNvCxnSpPr/>
      </xdr:nvCxnSpPr>
      <xdr:spPr>
        <a:xfrm flipV="1">
          <a:off x="94811850" y="111432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548</xdr:row>
      <xdr:rowOff>27213</xdr:rowOff>
    </xdr:from>
    <xdr:to>
      <xdr:col>87</xdr:col>
      <xdr:colOff>27215</xdr:colOff>
      <xdr:row>594</xdr:row>
      <xdr:rowOff>81646</xdr:rowOff>
    </xdr:to>
    <xdr:cxnSp macro="">
      <xdr:nvCxnSpPr>
        <xdr:cNvPr id="191" name="Conector angular 190"/>
        <xdr:cNvCxnSpPr/>
      </xdr:nvCxnSpPr>
      <xdr:spPr>
        <a:xfrm>
          <a:off x="62848673" y="105249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549</xdr:row>
      <xdr:rowOff>33421</xdr:rowOff>
    </xdr:from>
    <xdr:to>
      <xdr:col>87</xdr:col>
      <xdr:colOff>24423</xdr:colOff>
      <xdr:row>593</xdr:row>
      <xdr:rowOff>158750</xdr:rowOff>
    </xdr:to>
    <xdr:cxnSp macro="">
      <xdr:nvCxnSpPr>
        <xdr:cNvPr id="192" name="Conector angular 191"/>
        <xdr:cNvCxnSpPr/>
      </xdr:nvCxnSpPr>
      <xdr:spPr>
        <a:xfrm>
          <a:off x="58865169" y="105446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589</xdr:row>
      <xdr:rowOff>81311</xdr:rowOff>
    </xdr:from>
    <xdr:to>
      <xdr:col>86</xdr:col>
      <xdr:colOff>1033811</xdr:colOff>
      <xdr:row>589</xdr:row>
      <xdr:rowOff>92927</xdr:rowOff>
    </xdr:to>
    <xdr:cxnSp macro="">
      <xdr:nvCxnSpPr>
        <xdr:cNvPr id="193" name="Conector recto de flecha 192"/>
        <xdr:cNvCxnSpPr/>
      </xdr:nvCxnSpPr>
      <xdr:spPr>
        <a:xfrm>
          <a:off x="89850254" y="113114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584</xdr:row>
      <xdr:rowOff>186542</xdr:rowOff>
    </xdr:from>
    <xdr:to>
      <xdr:col>86</xdr:col>
      <xdr:colOff>1393</xdr:colOff>
      <xdr:row>586</xdr:row>
      <xdr:rowOff>173533</xdr:rowOff>
    </xdr:to>
    <xdr:cxnSp macro="">
      <xdr:nvCxnSpPr>
        <xdr:cNvPr id="194" name="Conector recto de flecha 193"/>
        <xdr:cNvCxnSpPr/>
      </xdr:nvCxnSpPr>
      <xdr:spPr>
        <a:xfrm flipV="1">
          <a:off x="88633145" y="112267217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542</xdr:row>
      <xdr:rowOff>139390</xdr:rowOff>
    </xdr:from>
    <xdr:to>
      <xdr:col>77</xdr:col>
      <xdr:colOff>766647</xdr:colOff>
      <xdr:row>552</xdr:row>
      <xdr:rowOff>162622</xdr:rowOff>
    </xdr:to>
    <xdr:cxnSp macro="">
      <xdr:nvCxnSpPr>
        <xdr:cNvPr id="195" name="Conector recto de flecha 194"/>
        <xdr:cNvCxnSpPr/>
      </xdr:nvCxnSpPr>
      <xdr:spPr>
        <a:xfrm flipH="1" flipV="1">
          <a:off x="70883888" y="104219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540</xdr:row>
      <xdr:rowOff>148442</xdr:rowOff>
    </xdr:from>
    <xdr:to>
      <xdr:col>72</xdr:col>
      <xdr:colOff>756425</xdr:colOff>
      <xdr:row>540</xdr:row>
      <xdr:rowOff>175634</xdr:rowOff>
    </xdr:to>
    <xdr:cxnSp macro="">
      <xdr:nvCxnSpPr>
        <xdr:cNvPr id="196" name="Conector recto de flecha 195"/>
        <xdr:cNvCxnSpPr/>
      </xdr:nvCxnSpPr>
      <xdr:spPr>
        <a:xfrm flipH="1" flipV="1">
          <a:off x="59739563" y="103847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540</xdr:row>
      <xdr:rowOff>0</xdr:rowOff>
    </xdr:from>
    <xdr:to>
      <xdr:col>75</xdr:col>
      <xdr:colOff>721446</xdr:colOff>
      <xdr:row>543</xdr:row>
      <xdr:rowOff>134472</xdr:rowOff>
    </xdr:to>
    <xdr:grpSp>
      <xdr:nvGrpSpPr>
        <xdr:cNvPr id="197" name="Grupo 196"/>
        <xdr:cNvGrpSpPr/>
      </xdr:nvGrpSpPr>
      <xdr:grpSpPr>
        <a:xfrm>
          <a:off x="71045294" y="101693382"/>
          <a:ext cx="721446" cy="694766"/>
          <a:chOff x="52088676" y="6928970"/>
          <a:chExt cx="616324" cy="691030"/>
        </a:xfrm>
      </xdr:grpSpPr>
      <xdr:cxnSp macro="">
        <xdr:nvCxnSpPr>
          <xdr:cNvPr id="198" name="Conector recto 197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Conector recto 198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Conector recto 199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569</xdr:row>
      <xdr:rowOff>115455</xdr:rowOff>
    </xdr:from>
    <xdr:to>
      <xdr:col>89</xdr:col>
      <xdr:colOff>528443</xdr:colOff>
      <xdr:row>578</xdr:row>
      <xdr:rowOff>152553</xdr:rowOff>
    </xdr:to>
    <xdr:cxnSp macro="">
      <xdr:nvCxnSpPr>
        <xdr:cNvPr id="201" name="Conector recto de flecha 200"/>
        <xdr:cNvCxnSpPr/>
      </xdr:nvCxnSpPr>
      <xdr:spPr>
        <a:xfrm>
          <a:off x="92822568" y="109338630"/>
          <a:ext cx="2479625" cy="175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563</xdr:row>
      <xdr:rowOff>101022</xdr:rowOff>
    </xdr:from>
    <xdr:to>
      <xdr:col>86</xdr:col>
      <xdr:colOff>3857</xdr:colOff>
      <xdr:row>566</xdr:row>
      <xdr:rowOff>129886</xdr:rowOff>
    </xdr:to>
    <xdr:cxnSp macro="">
      <xdr:nvCxnSpPr>
        <xdr:cNvPr id="202" name="Conector recto de flecha 201"/>
        <xdr:cNvCxnSpPr/>
      </xdr:nvCxnSpPr>
      <xdr:spPr>
        <a:xfrm>
          <a:off x="88837654" y="108181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1755412</xdr:colOff>
      <xdr:row>352</xdr:row>
      <xdr:rowOff>151608</xdr:rowOff>
    </xdr:from>
    <xdr:to>
      <xdr:col>74</xdr:col>
      <xdr:colOff>1635424</xdr:colOff>
      <xdr:row>357</xdr:row>
      <xdr:rowOff>222003</xdr:rowOff>
    </xdr:to>
    <xdr:cxnSp macro="">
      <xdr:nvCxnSpPr>
        <xdr:cNvPr id="203" name="Conector recto de flecha 202"/>
        <xdr:cNvCxnSpPr/>
      </xdr:nvCxnSpPr>
      <xdr:spPr>
        <a:xfrm flipV="1">
          <a:off x="56162212" y="67883883"/>
          <a:ext cx="14586612" cy="1080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40342</xdr:colOff>
      <xdr:row>359</xdr:row>
      <xdr:rowOff>86591</xdr:rowOff>
    </xdr:from>
    <xdr:to>
      <xdr:col>62</xdr:col>
      <xdr:colOff>1515341</xdr:colOff>
      <xdr:row>360</xdr:row>
      <xdr:rowOff>110379</xdr:rowOff>
    </xdr:to>
    <xdr:cxnSp macro="">
      <xdr:nvCxnSpPr>
        <xdr:cNvPr id="204" name="Conector recto de flecha 203"/>
        <xdr:cNvCxnSpPr/>
      </xdr:nvCxnSpPr>
      <xdr:spPr>
        <a:xfrm flipV="1">
          <a:off x="52904092" y="69304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70036</xdr:colOff>
      <xdr:row>359</xdr:row>
      <xdr:rowOff>84044</xdr:rowOff>
    </xdr:from>
    <xdr:to>
      <xdr:col>59</xdr:col>
      <xdr:colOff>1190624</xdr:colOff>
      <xdr:row>363</xdr:row>
      <xdr:rowOff>140074</xdr:rowOff>
    </xdr:to>
    <xdr:cxnSp macro="">
      <xdr:nvCxnSpPr>
        <xdr:cNvPr id="205" name="Conector recto de flecha 204"/>
        <xdr:cNvCxnSpPr/>
      </xdr:nvCxnSpPr>
      <xdr:spPr>
        <a:xfrm>
          <a:off x="48390361" y="69302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40342</xdr:colOff>
      <xdr:row>354</xdr:row>
      <xdr:rowOff>28015</xdr:rowOff>
    </xdr:from>
    <xdr:to>
      <xdr:col>50</xdr:col>
      <xdr:colOff>994522</xdr:colOff>
      <xdr:row>355</xdr:row>
      <xdr:rowOff>110378</xdr:rowOff>
    </xdr:to>
    <xdr:cxnSp macro="">
      <xdr:nvCxnSpPr>
        <xdr:cNvPr id="206" name="Conector recto de flecha 205"/>
        <xdr:cNvCxnSpPr/>
      </xdr:nvCxnSpPr>
      <xdr:spPr>
        <a:xfrm flipV="1">
          <a:off x="40197742" y="6814129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136045</xdr:colOff>
      <xdr:row>359</xdr:row>
      <xdr:rowOff>26096</xdr:rowOff>
    </xdr:from>
    <xdr:to>
      <xdr:col>57</xdr:col>
      <xdr:colOff>1239555</xdr:colOff>
      <xdr:row>361</xdr:row>
      <xdr:rowOff>18421</xdr:rowOff>
    </xdr:to>
    <xdr:cxnSp macro="">
      <xdr:nvCxnSpPr>
        <xdr:cNvPr id="207" name="Conector recto de flecha 206"/>
        <xdr:cNvCxnSpPr/>
      </xdr:nvCxnSpPr>
      <xdr:spPr>
        <a:xfrm flipV="1">
          <a:off x="46179895" y="69244271"/>
          <a:ext cx="8939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116158</xdr:colOff>
      <xdr:row>353</xdr:row>
      <xdr:rowOff>162622</xdr:rowOff>
    </xdr:from>
    <xdr:to>
      <xdr:col>54</xdr:col>
      <xdr:colOff>1208969</xdr:colOff>
      <xdr:row>360</xdr:row>
      <xdr:rowOff>143657</xdr:rowOff>
    </xdr:to>
    <xdr:cxnSp macro="">
      <xdr:nvCxnSpPr>
        <xdr:cNvPr id="208" name="Conector recto de flecha 207"/>
        <xdr:cNvCxnSpPr/>
      </xdr:nvCxnSpPr>
      <xdr:spPr>
        <a:xfrm>
          <a:off x="42350008" y="68085397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34847</xdr:colOff>
      <xdr:row>354</xdr:row>
      <xdr:rowOff>34847</xdr:rowOff>
    </xdr:from>
    <xdr:to>
      <xdr:col>63</xdr:col>
      <xdr:colOff>1</xdr:colOff>
      <xdr:row>354</xdr:row>
      <xdr:rowOff>35406</xdr:rowOff>
    </xdr:to>
    <xdr:cxnSp macro="">
      <xdr:nvCxnSpPr>
        <xdr:cNvPr id="209" name="Conector recto de flecha 208"/>
        <xdr:cNvCxnSpPr/>
      </xdr:nvCxnSpPr>
      <xdr:spPr>
        <a:xfrm flipH="1" flipV="1">
          <a:off x="52898597" y="68148122"/>
          <a:ext cx="150820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269875</xdr:colOff>
      <xdr:row>333</xdr:row>
      <xdr:rowOff>31750</xdr:rowOff>
    </xdr:from>
    <xdr:to>
      <xdr:col>90</xdr:col>
      <xdr:colOff>1276350</xdr:colOff>
      <xdr:row>349</xdr:row>
      <xdr:rowOff>171450</xdr:rowOff>
    </xdr:to>
    <xdr:cxnSp macro="">
      <xdr:nvCxnSpPr>
        <xdr:cNvPr id="212" name="Conector recto de flecha 211"/>
        <xdr:cNvCxnSpPr/>
      </xdr:nvCxnSpPr>
      <xdr:spPr>
        <a:xfrm>
          <a:off x="54733825" y="64020700"/>
          <a:ext cx="43583225" cy="330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40342</xdr:colOff>
      <xdr:row>336</xdr:row>
      <xdr:rowOff>86591</xdr:rowOff>
    </xdr:from>
    <xdr:to>
      <xdr:col>41</xdr:col>
      <xdr:colOff>1515341</xdr:colOff>
      <xdr:row>337</xdr:row>
      <xdr:rowOff>110379</xdr:rowOff>
    </xdr:to>
    <xdr:cxnSp macro="">
      <xdr:nvCxnSpPr>
        <xdr:cNvPr id="214" name="Conector recto de flecha 213"/>
        <xdr:cNvCxnSpPr/>
      </xdr:nvCxnSpPr>
      <xdr:spPr>
        <a:xfrm flipV="1">
          <a:off x="32387242" y="64761341"/>
          <a:ext cx="722524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70036</xdr:colOff>
      <xdr:row>336</xdr:row>
      <xdr:rowOff>84044</xdr:rowOff>
    </xdr:from>
    <xdr:to>
      <xdr:col>38</xdr:col>
      <xdr:colOff>1190624</xdr:colOff>
      <xdr:row>340</xdr:row>
      <xdr:rowOff>140074</xdr:rowOff>
    </xdr:to>
    <xdr:cxnSp macro="">
      <xdr:nvCxnSpPr>
        <xdr:cNvPr id="215" name="Conector recto de flecha 214"/>
        <xdr:cNvCxnSpPr/>
      </xdr:nvCxnSpPr>
      <xdr:spPr>
        <a:xfrm>
          <a:off x="30130936" y="64758794"/>
          <a:ext cx="691963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40342</xdr:colOff>
      <xdr:row>331</xdr:row>
      <xdr:rowOff>28015</xdr:rowOff>
    </xdr:from>
    <xdr:to>
      <xdr:col>29</xdr:col>
      <xdr:colOff>994522</xdr:colOff>
      <xdr:row>332</xdr:row>
      <xdr:rowOff>110378</xdr:rowOff>
    </xdr:to>
    <xdr:cxnSp macro="">
      <xdr:nvCxnSpPr>
        <xdr:cNvPr id="216" name="Conector recto de flecha 215"/>
        <xdr:cNvCxnSpPr/>
      </xdr:nvCxnSpPr>
      <xdr:spPr>
        <a:xfrm flipV="1">
          <a:off x="22138342" y="63597865"/>
          <a:ext cx="725580" cy="32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136045</xdr:colOff>
      <xdr:row>336</xdr:row>
      <xdr:rowOff>26096</xdr:rowOff>
    </xdr:from>
    <xdr:to>
      <xdr:col>36</xdr:col>
      <xdr:colOff>1239555</xdr:colOff>
      <xdr:row>338</xdr:row>
      <xdr:rowOff>18421</xdr:rowOff>
    </xdr:to>
    <xdr:cxnSp macro="">
      <xdr:nvCxnSpPr>
        <xdr:cNvPr id="217" name="Conector recto de flecha 216"/>
        <xdr:cNvCxnSpPr/>
      </xdr:nvCxnSpPr>
      <xdr:spPr>
        <a:xfrm flipV="1">
          <a:off x="28244320" y="64700846"/>
          <a:ext cx="6272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116158</xdr:colOff>
      <xdr:row>330</xdr:row>
      <xdr:rowOff>162622</xdr:rowOff>
    </xdr:from>
    <xdr:to>
      <xdr:col>33</xdr:col>
      <xdr:colOff>1208969</xdr:colOff>
      <xdr:row>337</xdr:row>
      <xdr:rowOff>143657</xdr:rowOff>
    </xdr:to>
    <xdr:cxnSp macro="">
      <xdr:nvCxnSpPr>
        <xdr:cNvPr id="218" name="Conector recto de flecha 217"/>
        <xdr:cNvCxnSpPr/>
      </xdr:nvCxnSpPr>
      <xdr:spPr>
        <a:xfrm>
          <a:off x="24414433" y="63541972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34847</xdr:colOff>
      <xdr:row>331</xdr:row>
      <xdr:rowOff>34847</xdr:rowOff>
    </xdr:from>
    <xdr:to>
      <xdr:col>42</xdr:col>
      <xdr:colOff>1</xdr:colOff>
      <xdr:row>331</xdr:row>
      <xdr:rowOff>35406</xdr:rowOff>
    </xdr:to>
    <xdr:cxnSp macro="">
      <xdr:nvCxnSpPr>
        <xdr:cNvPr id="219" name="Conector recto de flecha 218"/>
        <xdr:cNvCxnSpPr/>
      </xdr:nvCxnSpPr>
      <xdr:spPr>
        <a:xfrm flipH="1" flipV="1">
          <a:off x="32381747" y="63604697"/>
          <a:ext cx="72715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48846</xdr:colOff>
      <xdr:row>330</xdr:row>
      <xdr:rowOff>122116</xdr:rowOff>
    </xdr:from>
    <xdr:to>
      <xdr:col>61</xdr:col>
      <xdr:colOff>4090</xdr:colOff>
      <xdr:row>334</xdr:row>
      <xdr:rowOff>80543</xdr:rowOff>
    </xdr:to>
    <xdr:cxnSp macro="">
      <xdr:nvCxnSpPr>
        <xdr:cNvPr id="220" name="Conector recto de flecha 219"/>
        <xdr:cNvCxnSpPr/>
      </xdr:nvCxnSpPr>
      <xdr:spPr>
        <a:xfrm>
          <a:off x="49845546" y="63501466"/>
          <a:ext cx="1555444" cy="825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266700</xdr:colOff>
      <xdr:row>329</xdr:row>
      <xdr:rowOff>114300</xdr:rowOff>
    </xdr:from>
    <xdr:to>
      <xdr:col>55</xdr:col>
      <xdr:colOff>42190</xdr:colOff>
      <xdr:row>331</xdr:row>
      <xdr:rowOff>175793</xdr:rowOff>
    </xdr:to>
    <xdr:cxnSp macro="">
      <xdr:nvCxnSpPr>
        <xdr:cNvPr id="222" name="Conector recto de flecha 221"/>
        <xdr:cNvCxnSpPr/>
      </xdr:nvCxnSpPr>
      <xdr:spPr>
        <a:xfrm>
          <a:off x="42500550" y="63303150"/>
          <a:ext cx="2061490" cy="442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330</xdr:row>
      <xdr:rowOff>26097</xdr:rowOff>
    </xdr:from>
    <xdr:to>
      <xdr:col>58</xdr:col>
      <xdr:colOff>1001430</xdr:colOff>
      <xdr:row>331</xdr:row>
      <xdr:rowOff>209550</xdr:rowOff>
    </xdr:to>
    <xdr:cxnSp macro="">
      <xdr:nvCxnSpPr>
        <xdr:cNvPr id="223" name="Conector recto de flecha 222"/>
        <xdr:cNvCxnSpPr/>
      </xdr:nvCxnSpPr>
      <xdr:spPr>
        <a:xfrm flipV="1">
          <a:off x="47110650" y="63405447"/>
          <a:ext cx="963330" cy="373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723900</xdr:colOff>
      <xdr:row>328</xdr:row>
      <xdr:rowOff>76200</xdr:rowOff>
    </xdr:from>
    <xdr:to>
      <xdr:col>50</xdr:col>
      <xdr:colOff>431601</xdr:colOff>
      <xdr:row>329</xdr:row>
      <xdr:rowOff>74414</xdr:rowOff>
    </xdr:to>
    <xdr:cxnSp macro="">
      <xdr:nvCxnSpPr>
        <xdr:cNvPr id="224" name="Conector recto de flecha 223"/>
        <xdr:cNvCxnSpPr/>
      </xdr:nvCxnSpPr>
      <xdr:spPr>
        <a:xfrm>
          <a:off x="38595300" y="63074550"/>
          <a:ext cx="1993701" cy="18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730250</xdr:colOff>
      <xdr:row>318</xdr:row>
      <xdr:rowOff>5603</xdr:rowOff>
    </xdr:from>
    <xdr:to>
      <xdr:col>51</xdr:col>
      <xdr:colOff>741455</xdr:colOff>
      <xdr:row>320</xdr:row>
      <xdr:rowOff>127000</xdr:rowOff>
    </xdr:to>
    <xdr:cxnSp macro="">
      <xdr:nvCxnSpPr>
        <xdr:cNvPr id="225" name="Conector recto de flecha 224"/>
        <xdr:cNvCxnSpPr/>
      </xdr:nvCxnSpPr>
      <xdr:spPr>
        <a:xfrm flipV="1">
          <a:off x="41649650" y="61089428"/>
          <a:ext cx="11205" cy="502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1247640</xdr:colOff>
      <xdr:row>329</xdr:row>
      <xdr:rowOff>178594</xdr:rowOff>
    </xdr:from>
    <xdr:to>
      <xdr:col>45</xdr:col>
      <xdr:colOff>625078</xdr:colOff>
      <xdr:row>334</xdr:row>
      <xdr:rowOff>228064</xdr:rowOff>
    </xdr:to>
    <xdr:cxnSp macro="">
      <xdr:nvCxnSpPr>
        <xdr:cNvPr id="231" name="Conector recto de flecha 230"/>
        <xdr:cNvCxnSpPr/>
      </xdr:nvCxnSpPr>
      <xdr:spPr>
        <a:xfrm flipV="1">
          <a:off x="34356540" y="63367444"/>
          <a:ext cx="2615938" cy="1106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1251323</xdr:colOff>
      <xdr:row>30</xdr:row>
      <xdr:rowOff>130735</xdr:rowOff>
    </xdr:from>
    <xdr:to>
      <xdr:col>80</xdr:col>
      <xdr:colOff>1270000</xdr:colOff>
      <xdr:row>35</xdr:row>
      <xdr:rowOff>130736</xdr:rowOff>
    </xdr:to>
    <xdr:cxnSp macro="">
      <xdr:nvCxnSpPr>
        <xdr:cNvPr id="232" name="Conector recto de flecha 231"/>
        <xdr:cNvCxnSpPr/>
      </xdr:nvCxnSpPr>
      <xdr:spPr>
        <a:xfrm flipH="1" flipV="1">
          <a:off x="81956648" y="61505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20</xdr:row>
      <xdr:rowOff>171450</xdr:rowOff>
    </xdr:from>
    <xdr:to>
      <xdr:col>80</xdr:col>
      <xdr:colOff>19050</xdr:colOff>
      <xdr:row>25</xdr:row>
      <xdr:rowOff>95250</xdr:rowOff>
    </xdr:to>
    <xdr:cxnSp macro="">
      <xdr:nvCxnSpPr>
        <xdr:cNvPr id="233" name="Conector recto de flecha 232"/>
        <xdr:cNvCxnSpPr/>
      </xdr:nvCxnSpPr>
      <xdr:spPr>
        <a:xfrm flipV="1">
          <a:off x="80705325" y="427672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1251323</xdr:colOff>
      <xdr:row>23</xdr:row>
      <xdr:rowOff>130735</xdr:rowOff>
    </xdr:from>
    <xdr:to>
      <xdr:col>75</xdr:col>
      <xdr:colOff>1270000</xdr:colOff>
      <xdr:row>28</xdr:row>
      <xdr:rowOff>130736</xdr:rowOff>
    </xdr:to>
    <xdr:cxnSp macro="">
      <xdr:nvCxnSpPr>
        <xdr:cNvPr id="234" name="Conector recto de flecha 233"/>
        <xdr:cNvCxnSpPr/>
      </xdr:nvCxnSpPr>
      <xdr:spPr>
        <a:xfrm flipH="1" flipV="1">
          <a:off x="72088748" y="48170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13</xdr:row>
      <xdr:rowOff>171450</xdr:rowOff>
    </xdr:from>
    <xdr:to>
      <xdr:col>75</xdr:col>
      <xdr:colOff>19050</xdr:colOff>
      <xdr:row>18</xdr:row>
      <xdr:rowOff>95250</xdr:rowOff>
    </xdr:to>
    <xdr:cxnSp macro="">
      <xdr:nvCxnSpPr>
        <xdr:cNvPr id="235" name="Conector recto de flecha 234"/>
        <xdr:cNvCxnSpPr/>
      </xdr:nvCxnSpPr>
      <xdr:spPr>
        <a:xfrm flipV="1">
          <a:off x="70837425" y="2657475"/>
          <a:ext cx="190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85</xdr:row>
      <xdr:rowOff>171450</xdr:rowOff>
    </xdr:from>
    <xdr:to>
      <xdr:col>81</xdr:col>
      <xdr:colOff>19050</xdr:colOff>
      <xdr:row>90</xdr:row>
      <xdr:rowOff>95250</xdr:rowOff>
    </xdr:to>
    <xdr:cxnSp macro="">
      <xdr:nvCxnSpPr>
        <xdr:cNvPr id="236" name="Conector recto de flecha 235"/>
        <xdr:cNvCxnSpPr/>
      </xdr:nvCxnSpPr>
      <xdr:spPr>
        <a:xfrm flipV="1">
          <a:off x="83067525" y="1683067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1210541</xdr:colOff>
      <xdr:row>95</xdr:row>
      <xdr:rowOff>20782</xdr:rowOff>
    </xdr:from>
    <xdr:to>
      <xdr:col>80</xdr:col>
      <xdr:colOff>1212272</xdr:colOff>
      <xdr:row>96</xdr:row>
      <xdr:rowOff>129887</xdr:rowOff>
    </xdr:to>
    <xdr:cxnSp macro="">
      <xdr:nvCxnSpPr>
        <xdr:cNvPr id="237" name="Conector recto de flecha 236"/>
        <xdr:cNvCxnSpPr/>
      </xdr:nvCxnSpPr>
      <xdr:spPr>
        <a:xfrm flipH="1" flipV="1">
          <a:off x="81915866" y="18594532"/>
          <a:ext cx="1731" cy="29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701</xdr:row>
      <xdr:rowOff>130735</xdr:rowOff>
    </xdr:from>
    <xdr:to>
      <xdr:col>89</xdr:col>
      <xdr:colOff>1886324</xdr:colOff>
      <xdr:row>702</xdr:row>
      <xdr:rowOff>95251</xdr:rowOff>
    </xdr:to>
    <xdr:cxnSp macro="">
      <xdr:nvCxnSpPr>
        <xdr:cNvPr id="239" name="Conector recto de flecha 238"/>
        <xdr:cNvCxnSpPr/>
      </xdr:nvCxnSpPr>
      <xdr:spPr>
        <a:xfrm flipV="1">
          <a:off x="91290962" y="131893235"/>
          <a:ext cx="5546538" cy="151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705</xdr:row>
      <xdr:rowOff>19050</xdr:rowOff>
    </xdr:from>
    <xdr:to>
      <xdr:col>85</xdr:col>
      <xdr:colOff>19050</xdr:colOff>
      <xdr:row>708</xdr:row>
      <xdr:rowOff>168089</xdr:rowOff>
    </xdr:to>
    <xdr:cxnSp macro="">
      <xdr:nvCxnSpPr>
        <xdr:cNvPr id="241" name="Conector recto de flecha 240"/>
        <xdr:cNvCxnSpPr/>
      </xdr:nvCxnSpPr>
      <xdr:spPr>
        <a:xfrm flipV="1">
          <a:off x="84180269" y="13515022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710</xdr:row>
      <xdr:rowOff>86591</xdr:rowOff>
    </xdr:from>
    <xdr:to>
      <xdr:col>80</xdr:col>
      <xdr:colOff>1545106</xdr:colOff>
      <xdr:row>711</xdr:row>
      <xdr:rowOff>110379</xdr:rowOff>
    </xdr:to>
    <xdr:cxnSp macro="">
      <xdr:nvCxnSpPr>
        <xdr:cNvPr id="243" name="Conector recto de flecha 242"/>
        <xdr:cNvCxnSpPr/>
      </xdr:nvCxnSpPr>
      <xdr:spPr>
        <a:xfrm flipV="1">
          <a:off x="80775432" y="1361702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710</xdr:row>
      <xdr:rowOff>84044</xdr:rowOff>
    </xdr:from>
    <xdr:to>
      <xdr:col>77</xdr:col>
      <xdr:colOff>1190624</xdr:colOff>
      <xdr:row>714</xdr:row>
      <xdr:rowOff>140074</xdr:rowOff>
    </xdr:to>
    <xdr:cxnSp macro="">
      <xdr:nvCxnSpPr>
        <xdr:cNvPr id="244" name="Conector recto de flecha 243"/>
        <xdr:cNvCxnSpPr/>
      </xdr:nvCxnSpPr>
      <xdr:spPr>
        <a:xfrm>
          <a:off x="74469811" y="1361677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111125</xdr:colOff>
      <xdr:row>681</xdr:row>
      <xdr:rowOff>142875</xdr:rowOff>
    </xdr:from>
    <xdr:to>
      <xdr:col>75</xdr:col>
      <xdr:colOff>1587500</xdr:colOff>
      <xdr:row>682</xdr:row>
      <xdr:rowOff>15875</xdr:rowOff>
    </xdr:to>
    <xdr:cxnSp macro="">
      <xdr:nvCxnSpPr>
        <xdr:cNvPr id="246" name="Conector recto de flecha 245"/>
        <xdr:cNvCxnSpPr/>
      </xdr:nvCxnSpPr>
      <xdr:spPr>
        <a:xfrm flipV="1">
          <a:off x="69224525" y="130702050"/>
          <a:ext cx="32004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46463</xdr:colOff>
      <xdr:row>664</xdr:row>
      <xdr:rowOff>139390</xdr:rowOff>
    </xdr:from>
    <xdr:to>
      <xdr:col>76</xdr:col>
      <xdr:colOff>766647</xdr:colOff>
      <xdr:row>674</xdr:row>
      <xdr:rowOff>162622</xdr:rowOff>
    </xdr:to>
    <xdr:cxnSp macro="">
      <xdr:nvCxnSpPr>
        <xdr:cNvPr id="254" name="Conector recto de flecha 253"/>
        <xdr:cNvCxnSpPr/>
      </xdr:nvCxnSpPr>
      <xdr:spPr>
        <a:xfrm flipH="1" flipV="1">
          <a:off x="69159863" y="127460065"/>
          <a:ext cx="4634959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136074</xdr:colOff>
      <xdr:row>660</xdr:row>
      <xdr:rowOff>136073</xdr:rowOff>
    </xdr:from>
    <xdr:to>
      <xdr:col>71</xdr:col>
      <xdr:colOff>1814286</xdr:colOff>
      <xdr:row>663</xdr:row>
      <xdr:rowOff>90714</xdr:rowOff>
    </xdr:to>
    <xdr:cxnSp macro="">
      <xdr:nvCxnSpPr>
        <xdr:cNvPr id="255" name="Conector recto de flecha 254"/>
        <xdr:cNvCxnSpPr/>
      </xdr:nvCxnSpPr>
      <xdr:spPr>
        <a:xfrm flipH="1" flipV="1">
          <a:off x="58733874" y="126694748"/>
          <a:ext cx="7031262" cy="526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662</xdr:row>
      <xdr:rowOff>0</xdr:rowOff>
    </xdr:from>
    <xdr:to>
      <xdr:col>74</xdr:col>
      <xdr:colOff>721446</xdr:colOff>
      <xdr:row>665</xdr:row>
      <xdr:rowOff>134472</xdr:rowOff>
    </xdr:to>
    <xdr:grpSp>
      <xdr:nvGrpSpPr>
        <xdr:cNvPr id="256" name="Grupo 255"/>
        <xdr:cNvGrpSpPr/>
      </xdr:nvGrpSpPr>
      <xdr:grpSpPr>
        <a:xfrm>
          <a:off x="69327059" y="124478676"/>
          <a:ext cx="721446" cy="694767"/>
          <a:chOff x="52088676" y="6928970"/>
          <a:chExt cx="616324" cy="691030"/>
        </a:xfrm>
      </xdr:grpSpPr>
      <xdr:cxnSp macro="">
        <xdr:nvCxnSpPr>
          <xdr:cNvPr id="257" name="Conector recto 25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Conector recto 25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Conector recto 25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607579</xdr:colOff>
      <xdr:row>485</xdr:row>
      <xdr:rowOff>12122</xdr:rowOff>
    </xdr:from>
    <xdr:to>
      <xdr:col>89</xdr:col>
      <xdr:colOff>222932</xdr:colOff>
      <xdr:row>488</xdr:row>
      <xdr:rowOff>40986</xdr:rowOff>
    </xdr:to>
    <xdr:cxnSp macro="">
      <xdr:nvCxnSpPr>
        <xdr:cNvPr id="261" name="Conector recto de flecha 260"/>
        <xdr:cNvCxnSpPr/>
      </xdr:nvCxnSpPr>
      <xdr:spPr>
        <a:xfrm>
          <a:off x="93285829" y="93233297"/>
          <a:ext cx="17108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776</xdr:row>
      <xdr:rowOff>114300</xdr:rowOff>
    </xdr:from>
    <xdr:to>
      <xdr:col>87</xdr:col>
      <xdr:colOff>1466850</xdr:colOff>
      <xdr:row>777</xdr:row>
      <xdr:rowOff>95250</xdr:rowOff>
    </xdr:to>
    <xdr:cxnSp macro="">
      <xdr:nvCxnSpPr>
        <xdr:cNvPr id="263" name="Conector recto de flecha 262"/>
        <xdr:cNvCxnSpPr/>
      </xdr:nvCxnSpPr>
      <xdr:spPr>
        <a:xfrm flipV="1">
          <a:off x="91106625" y="148770975"/>
          <a:ext cx="14478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776</xdr:row>
      <xdr:rowOff>114300</xdr:rowOff>
    </xdr:from>
    <xdr:to>
      <xdr:col>89</xdr:col>
      <xdr:colOff>2095500</xdr:colOff>
      <xdr:row>776</xdr:row>
      <xdr:rowOff>123825</xdr:rowOff>
    </xdr:to>
    <xdr:cxnSp macro="">
      <xdr:nvCxnSpPr>
        <xdr:cNvPr id="264" name="Conector recto de flecha 263"/>
        <xdr:cNvCxnSpPr/>
      </xdr:nvCxnSpPr>
      <xdr:spPr>
        <a:xfrm flipV="1">
          <a:off x="95040450" y="148770975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780</xdr:row>
      <xdr:rowOff>19050</xdr:rowOff>
    </xdr:from>
    <xdr:to>
      <xdr:col>85</xdr:col>
      <xdr:colOff>19050</xdr:colOff>
      <xdr:row>783</xdr:row>
      <xdr:rowOff>168089</xdr:rowOff>
    </xdr:to>
    <xdr:cxnSp macro="">
      <xdr:nvCxnSpPr>
        <xdr:cNvPr id="265" name="Conector recto de flecha 264"/>
        <xdr:cNvCxnSpPr/>
      </xdr:nvCxnSpPr>
      <xdr:spPr>
        <a:xfrm flipV="1">
          <a:off x="84180269" y="14943772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785</xdr:row>
      <xdr:rowOff>86591</xdr:rowOff>
    </xdr:from>
    <xdr:to>
      <xdr:col>80</xdr:col>
      <xdr:colOff>1545106</xdr:colOff>
      <xdr:row>786</xdr:row>
      <xdr:rowOff>110379</xdr:rowOff>
    </xdr:to>
    <xdr:cxnSp macro="">
      <xdr:nvCxnSpPr>
        <xdr:cNvPr id="266" name="Conector recto de flecha 265"/>
        <xdr:cNvCxnSpPr/>
      </xdr:nvCxnSpPr>
      <xdr:spPr>
        <a:xfrm flipV="1">
          <a:off x="80775432" y="150457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785</xdr:row>
      <xdr:rowOff>84044</xdr:rowOff>
    </xdr:from>
    <xdr:to>
      <xdr:col>77</xdr:col>
      <xdr:colOff>1190624</xdr:colOff>
      <xdr:row>789</xdr:row>
      <xdr:rowOff>140074</xdr:rowOff>
    </xdr:to>
    <xdr:cxnSp macro="">
      <xdr:nvCxnSpPr>
        <xdr:cNvPr id="267" name="Conector recto de flecha 266"/>
        <xdr:cNvCxnSpPr/>
      </xdr:nvCxnSpPr>
      <xdr:spPr>
        <a:xfrm>
          <a:off x="74469811" y="150455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778</xdr:row>
      <xdr:rowOff>152400</xdr:rowOff>
    </xdr:from>
    <xdr:to>
      <xdr:col>88</xdr:col>
      <xdr:colOff>19050</xdr:colOff>
      <xdr:row>785</xdr:row>
      <xdr:rowOff>95250</xdr:rowOff>
    </xdr:to>
    <xdr:cxnSp macro="">
      <xdr:nvCxnSpPr>
        <xdr:cNvPr id="268" name="Conector recto de flecha 267"/>
        <xdr:cNvCxnSpPr/>
      </xdr:nvCxnSpPr>
      <xdr:spPr>
        <a:xfrm flipV="1">
          <a:off x="92697300" y="1491900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782</xdr:row>
      <xdr:rowOff>95250</xdr:rowOff>
    </xdr:from>
    <xdr:to>
      <xdr:col>88</xdr:col>
      <xdr:colOff>762000</xdr:colOff>
      <xdr:row>790</xdr:row>
      <xdr:rowOff>114300</xdr:rowOff>
    </xdr:to>
    <xdr:cxnSp macro="">
      <xdr:nvCxnSpPr>
        <xdr:cNvPr id="269" name="Conector recto de flecha 268"/>
        <xdr:cNvCxnSpPr/>
      </xdr:nvCxnSpPr>
      <xdr:spPr>
        <a:xfrm flipV="1">
          <a:off x="92716350" y="149894925"/>
          <a:ext cx="72390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786</xdr:row>
      <xdr:rowOff>76200</xdr:rowOff>
    </xdr:from>
    <xdr:to>
      <xdr:col>85</xdr:col>
      <xdr:colOff>2076450</xdr:colOff>
      <xdr:row>786</xdr:row>
      <xdr:rowOff>81311</xdr:rowOff>
    </xdr:to>
    <xdr:cxnSp macro="">
      <xdr:nvCxnSpPr>
        <xdr:cNvPr id="270" name="Conector recto de flecha 269"/>
        <xdr:cNvCxnSpPr/>
      </xdr:nvCxnSpPr>
      <xdr:spPr>
        <a:xfrm flipV="1">
          <a:off x="87669029" y="150637875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791</xdr:row>
      <xdr:rowOff>81311</xdr:rowOff>
    </xdr:from>
    <xdr:to>
      <xdr:col>85</xdr:col>
      <xdr:colOff>1962150</xdr:colOff>
      <xdr:row>791</xdr:row>
      <xdr:rowOff>133350</xdr:rowOff>
    </xdr:to>
    <xdr:cxnSp macro="">
      <xdr:nvCxnSpPr>
        <xdr:cNvPr id="271" name="Conector recto de flecha 270"/>
        <xdr:cNvCxnSpPr/>
      </xdr:nvCxnSpPr>
      <xdr:spPr>
        <a:xfrm>
          <a:off x="87669029" y="151595486"/>
          <a:ext cx="1904071" cy="52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54</xdr:row>
      <xdr:rowOff>140074</xdr:rowOff>
    </xdr:from>
    <xdr:to>
      <xdr:col>86</xdr:col>
      <xdr:colOff>1106581</xdr:colOff>
      <xdr:row>55</xdr:row>
      <xdr:rowOff>95250</xdr:rowOff>
    </xdr:to>
    <xdr:cxnSp macro="">
      <xdr:nvCxnSpPr>
        <xdr:cNvPr id="2" name="Conector recto de flecha 1"/>
        <xdr:cNvCxnSpPr/>
      </xdr:nvCxnSpPr>
      <xdr:spPr>
        <a:xfrm flipV="1">
          <a:off x="89811225" y="10779499"/>
          <a:ext cx="1087531" cy="240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54</xdr:row>
      <xdr:rowOff>104775</xdr:rowOff>
    </xdr:from>
    <xdr:to>
      <xdr:col>88</xdr:col>
      <xdr:colOff>742950</xdr:colOff>
      <xdr:row>54</xdr:row>
      <xdr:rowOff>104775</xdr:rowOff>
    </xdr:to>
    <xdr:cxnSp macro="">
      <xdr:nvCxnSpPr>
        <xdr:cNvPr id="3" name="Conector recto de flecha 2"/>
        <xdr:cNvCxnSpPr/>
      </xdr:nvCxnSpPr>
      <xdr:spPr>
        <a:xfrm>
          <a:off x="92716350" y="10744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58</xdr:row>
      <xdr:rowOff>133351</xdr:rowOff>
    </xdr:from>
    <xdr:to>
      <xdr:col>84</xdr:col>
      <xdr:colOff>276225</xdr:colOff>
      <xdr:row>61</xdr:row>
      <xdr:rowOff>168088</xdr:rowOff>
    </xdr:to>
    <xdr:cxnSp macro="">
      <xdr:nvCxnSpPr>
        <xdr:cNvPr id="4" name="Conector recto de flecha 3"/>
        <xdr:cNvCxnSpPr/>
      </xdr:nvCxnSpPr>
      <xdr:spPr>
        <a:xfrm flipV="1">
          <a:off x="83151569" y="1163002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49</xdr:row>
      <xdr:rowOff>193302</xdr:rowOff>
    </xdr:from>
    <xdr:to>
      <xdr:col>86</xdr:col>
      <xdr:colOff>1134596</xdr:colOff>
      <xdr:row>53</xdr:row>
      <xdr:rowOff>112059</xdr:rowOff>
    </xdr:to>
    <xdr:cxnSp macro="">
      <xdr:nvCxnSpPr>
        <xdr:cNvPr id="5" name="Conector recto de flecha 4"/>
        <xdr:cNvCxnSpPr/>
      </xdr:nvCxnSpPr>
      <xdr:spPr>
        <a:xfrm>
          <a:off x="89839240" y="98326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59</xdr:row>
      <xdr:rowOff>0</xdr:rowOff>
    </xdr:from>
    <xdr:to>
      <xdr:col>79</xdr:col>
      <xdr:colOff>1472045</xdr:colOff>
      <xdr:row>62</xdr:row>
      <xdr:rowOff>0</xdr:rowOff>
    </xdr:to>
    <xdr:cxnSp macro="">
      <xdr:nvCxnSpPr>
        <xdr:cNvPr id="6" name="Conector recto de flecha 5"/>
        <xdr:cNvCxnSpPr/>
      </xdr:nvCxnSpPr>
      <xdr:spPr>
        <a:xfrm>
          <a:off x="78194087" y="11687175"/>
          <a:ext cx="140200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63</xdr:row>
      <xdr:rowOff>86591</xdr:rowOff>
    </xdr:from>
    <xdr:to>
      <xdr:col>79</xdr:col>
      <xdr:colOff>1515341</xdr:colOff>
      <xdr:row>64</xdr:row>
      <xdr:rowOff>110379</xdr:rowOff>
    </xdr:to>
    <xdr:cxnSp macro="">
      <xdr:nvCxnSpPr>
        <xdr:cNvPr id="7" name="Conector recto de flecha 6"/>
        <xdr:cNvCxnSpPr/>
      </xdr:nvCxnSpPr>
      <xdr:spPr>
        <a:xfrm flipV="1">
          <a:off x="78164392" y="12535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63</xdr:row>
      <xdr:rowOff>84044</xdr:rowOff>
    </xdr:from>
    <xdr:to>
      <xdr:col>76</xdr:col>
      <xdr:colOff>1190624</xdr:colOff>
      <xdr:row>67</xdr:row>
      <xdr:rowOff>140074</xdr:rowOff>
    </xdr:to>
    <xdr:cxnSp macro="">
      <xdr:nvCxnSpPr>
        <xdr:cNvPr id="8" name="Conector recto de flecha 7"/>
        <xdr:cNvCxnSpPr/>
      </xdr:nvCxnSpPr>
      <xdr:spPr>
        <a:xfrm>
          <a:off x="73098211" y="12533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59</xdr:row>
      <xdr:rowOff>0</xdr:rowOff>
    </xdr:from>
    <xdr:to>
      <xdr:col>74</xdr:col>
      <xdr:colOff>1200411</xdr:colOff>
      <xdr:row>62</xdr:row>
      <xdr:rowOff>39144</xdr:rowOff>
    </xdr:to>
    <xdr:cxnSp macro="">
      <xdr:nvCxnSpPr>
        <xdr:cNvPr id="9" name="Conector recto de flecha 8"/>
        <xdr:cNvCxnSpPr/>
      </xdr:nvCxnSpPr>
      <xdr:spPr>
        <a:xfrm>
          <a:off x="69183437" y="11687175"/>
          <a:ext cx="1130374" cy="610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64</xdr:row>
      <xdr:rowOff>95092</xdr:rowOff>
    </xdr:from>
    <xdr:to>
      <xdr:col>65</xdr:col>
      <xdr:colOff>296916</xdr:colOff>
      <xdr:row>67</xdr:row>
      <xdr:rowOff>80493</xdr:rowOff>
    </xdr:to>
    <xdr:cxnSp macro="">
      <xdr:nvCxnSpPr>
        <xdr:cNvPr id="10" name="Conector recto de flecha 9"/>
        <xdr:cNvCxnSpPr/>
      </xdr:nvCxnSpPr>
      <xdr:spPr>
        <a:xfrm flipV="1">
          <a:off x="56222587" y="12734767"/>
          <a:ext cx="1310054" cy="55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57</xdr:row>
      <xdr:rowOff>14008</xdr:rowOff>
    </xdr:from>
    <xdr:to>
      <xdr:col>71</xdr:col>
      <xdr:colOff>602316</xdr:colOff>
      <xdr:row>57</xdr:row>
      <xdr:rowOff>70038</xdr:rowOff>
    </xdr:to>
    <xdr:cxnSp macro="">
      <xdr:nvCxnSpPr>
        <xdr:cNvPr id="11" name="Conector recto de flecha 10"/>
        <xdr:cNvCxnSpPr/>
      </xdr:nvCxnSpPr>
      <xdr:spPr>
        <a:xfrm>
          <a:off x="61942196" y="11320183"/>
          <a:ext cx="2610970" cy="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54</xdr:row>
      <xdr:rowOff>0</xdr:rowOff>
    </xdr:from>
    <xdr:to>
      <xdr:col>67</xdr:col>
      <xdr:colOff>994523</xdr:colOff>
      <xdr:row>56</xdr:row>
      <xdr:rowOff>168089</xdr:rowOff>
    </xdr:to>
    <xdr:cxnSp macro="">
      <xdr:nvCxnSpPr>
        <xdr:cNvPr id="12" name="Conector recto de flecha 11"/>
        <xdr:cNvCxnSpPr/>
      </xdr:nvCxnSpPr>
      <xdr:spPr>
        <a:xfrm>
          <a:off x="59525087" y="10639425"/>
          <a:ext cx="886386" cy="644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58</xdr:row>
      <xdr:rowOff>28015</xdr:rowOff>
    </xdr:from>
    <xdr:to>
      <xdr:col>67</xdr:col>
      <xdr:colOff>994522</xdr:colOff>
      <xdr:row>59</xdr:row>
      <xdr:rowOff>110378</xdr:rowOff>
    </xdr:to>
    <xdr:cxnSp macro="">
      <xdr:nvCxnSpPr>
        <xdr:cNvPr id="13" name="Conector recto de flecha 12"/>
        <xdr:cNvCxnSpPr/>
      </xdr:nvCxnSpPr>
      <xdr:spPr>
        <a:xfrm flipV="1">
          <a:off x="59495392" y="11524690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51</xdr:row>
      <xdr:rowOff>94361</xdr:rowOff>
    </xdr:from>
    <xdr:to>
      <xdr:col>64</xdr:col>
      <xdr:colOff>575956</xdr:colOff>
      <xdr:row>51</xdr:row>
      <xdr:rowOff>110011</xdr:rowOff>
    </xdr:to>
    <xdr:cxnSp macro="">
      <xdr:nvCxnSpPr>
        <xdr:cNvPr id="14" name="Conector recto de flecha 13"/>
        <xdr:cNvCxnSpPr/>
      </xdr:nvCxnSpPr>
      <xdr:spPr>
        <a:xfrm flipV="1">
          <a:off x="54511439" y="10114661"/>
          <a:ext cx="2233442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51</xdr:row>
      <xdr:rowOff>89802</xdr:rowOff>
    </xdr:from>
    <xdr:to>
      <xdr:col>61</xdr:col>
      <xdr:colOff>596300</xdr:colOff>
      <xdr:row>51</xdr:row>
      <xdr:rowOff>104384</xdr:rowOff>
    </xdr:to>
    <xdr:cxnSp macro="">
      <xdr:nvCxnSpPr>
        <xdr:cNvPr id="15" name="Conector recto de flecha 14"/>
        <xdr:cNvCxnSpPr/>
      </xdr:nvCxnSpPr>
      <xdr:spPr>
        <a:xfrm flipV="1">
          <a:off x="49874988" y="10110102"/>
          <a:ext cx="2118212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63</xdr:row>
      <xdr:rowOff>26096</xdr:rowOff>
    </xdr:from>
    <xdr:to>
      <xdr:col>74</xdr:col>
      <xdr:colOff>1239555</xdr:colOff>
      <xdr:row>65</xdr:row>
      <xdr:rowOff>18421</xdr:rowOff>
    </xdr:to>
    <xdr:cxnSp macro="">
      <xdr:nvCxnSpPr>
        <xdr:cNvPr id="16" name="Conector recto de flecha 15"/>
        <xdr:cNvCxnSpPr/>
      </xdr:nvCxnSpPr>
      <xdr:spPr>
        <a:xfrm flipV="1">
          <a:off x="69249445" y="124752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53</xdr:row>
      <xdr:rowOff>39144</xdr:rowOff>
    </xdr:from>
    <xdr:to>
      <xdr:col>76</xdr:col>
      <xdr:colOff>1343939</xdr:colOff>
      <xdr:row>54</xdr:row>
      <xdr:rowOff>182672</xdr:rowOff>
    </xdr:to>
    <xdr:cxnSp macro="">
      <xdr:nvCxnSpPr>
        <xdr:cNvPr id="17" name="Conector recto de flecha 16"/>
        <xdr:cNvCxnSpPr/>
      </xdr:nvCxnSpPr>
      <xdr:spPr>
        <a:xfrm>
          <a:off x="73145607" y="10440444"/>
          <a:ext cx="1226507" cy="38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69</xdr:row>
      <xdr:rowOff>119062</xdr:rowOff>
    </xdr:from>
    <xdr:to>
      <xdr:col>73</xdr:col>
      <xdr:colOff>1607344</xdr:colOff>
      <xdr:row>76</xdr:row>
      <xdr:rowOff>166687</xdr:rowOff>
    </xdr:to>
    <xdr:cxnSp macro="">
      <xdr:nvCxnSpPr>
        <xdr:cNvPr id="18" name="Conector recto de flecha 17"/>
        <xdr:cNvCxnSpPr/>
      </xdr:nvCxnSpPr>
      <xdr:spPr>
        <a:xfrm flipH="1" flipV="1">
          <a:off x="67908489" y="137112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69</xdr:row>
      <xdr:rowOff>155272</xdr:rowOff>
    </xdr:from>
    <xdr:to>
      <xdr:col>73</xdr:col>
      <xdr:colOff>337779</xdr:colOff>
      <xdr:row>76</xdr:row>
      <xdr:rowOff>59531</xdr:rowOff>
    </xdr:to>
    <xdr:cxnSp macro="">
      <xdr:nvCxnSpPr>
        <xdr:cNvPr id="19" name="Conector recto de flecha 18"/>
        <xdr:cNvCxnSpPr/>
      </xdr:nvCxnSpPr>
      <xdr:spPr>
        <a:xfrm flipV="1">
          <a:off x="65998725" y="13747447"/>
          <a:ext cx="1652229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56</xdr:row>
      <xdr:rowOff>0</xdr:rowOff>
    </xdr:from>
    <xdr:to>
      <xdr:col>61</xdr:col>
      <xdr:colOff>728383</xdr:colOff>
      <xdr:row>59</xdr:row>
      <xdr:rowOff>37353</xdr:rowOff>
    </xdr:to>
    <xdr:cxnSp macro="">
      <xdr:nvCxnSpPr>
        <xdr:cNvPr id="20" name="Conector recto de flecha 19"/>
        <xdr:cNvCxnSpPr/>
      </xdr:nvCxnSpPr>
      <xdr:spPr>
        <a:xfrm flipH="1">
          <a:off x="49871405" y="11115675"/>
          <a:ext cx="2253878" cy="608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56</xdr:row>
      <xdr:rowOff>77693</xdr:rowOff>
    </xdr:from>
    <xdr:to>
      <xdr:col>61</xdr:col>
      <xdr:colOff>283135</xdr:colOff>
      <xdr:row>60</xdr:row>
      <xdr:rowOff>21665</xdr:rowOff>
    </xdr:to>
    <xdr:grpSp>
      <xdr:nvGrpSpPr>
        <xdr:cNvPr id="21" name="Grupo 20"/>
        <xdr:cNvGrpSpPr/>
      </xdr:nvGrpSpPr>
      <xdr:grpSpPr>
        <a:xfrm>
          <a:off x="50438796" y="11221943"/>
          <a:ext cx="1469839" cy="705972"/>
          <a:chOff x="52088676" y="6928970"/>
          <a:chExt cx="616324" cy="691030"/>
        </a:xfrm>
      </xdr:grpSpPr>
      <xdr:cxnSp macro="">
        <xdr:nvCxnSpPr>
          <xdr:cNvPr id="22" name="Conector recto 2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63</xdr:row>
      <xdr:rowOff>112058</xdr:rowOff>
    </xdr:from>
    <xdr:to>
      <xdr:col>70</xdr:col>
      <xdr:colOff>635000</xdr:colOff>
      <xdr:row>76</xdr:row>
      <xdr:rowOff>130735</xdr:rowOff>
    </xdr:to>
    <xdr:cxnSp macro="">
      <xdr:nvCxnSpPr>
        <xdr:cNvPr id="25" name="Conector angular 24"/>
        <xdr:cNvCxnSpPr/>
      </xdr:nvCxnSpPr>
      <xdr:spPr>
        <a:xfrm>
          <a:off x="48413708" y="12561233"/>
          <a:ext cx="14743392" cy="2495177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41</xdr:row>
      <xdr:rowOff>112059</xdr:rowOff>
    </xdr:from>
    <xdr:to>
      <xdr:col>83</xdr:col>
      <xdr:colOff>1336116</xdr:colOff>
      <xdr:row>47</xdr:row>
      <xdr:rowOff>161367</xdr:rowOff>
    </xdr:to>
    <xdr:cxnSp macro="">
      <xdr:nvCxnSpPr>
        <xdr:cNvPr id="26" name="Conector recto de flecha 25"/>
        <xdr:cNvCxnSpPr/>
      </xdr:nvCxnSpPr>
      <xdr:spPr>
        <a:xfrm>
          <a:off x="83216937" y="8227359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38</xdr:row>
      <xdr:rowOff>0</xdr:rowOff>
    </xdr:from>
    <xdr:to>
      <xdr:col>79</xdr:col>
      <xdr:colOff>1494118</xdr:colOff>
      <xdr:row>41</xdr:row>
      <xdr:rowOff>18676</xdr:rowOff>
    </xdr:to>
    <xdr:cxnSp macro="">
      <xdr:nvCxnSpPr>
        <xdr:cNvPr id="27" name="Conector recto de flecha 26"/>
        <xdr:cNvCxnSpPr/>
      </xdr:nvCxnSpPr>
      <xdr:spPr>
        <a:xfrm>
          <a:off x="78194087" y="75438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41</xdr:row>
      <xdr:rowOff>168088</xdr:rowOff>
    </xdr:from>
    <xdr:to>
      <xdr:col>79</xdr:col>
      <xdr:colOff>1494118</xdr:colOff>
      <xdr:row>43</xdr:row>
      <xdr:rowOff>110378</xdr:rowOff>
    </xdr:to>
    <xdr:cxnSp macro="">
      <xdr:nvCxnSpPr>
        <xdr:cNvPr id="28" name="Conector recto de flecha 27"/>
        <xdr:cNvCxnSpPr/>
      </xdr:nvCxnSpPr>
      <xdr:spPr>
        <a:xfrm flipV="1">
          <a:off x="78164392" y="8283388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44</xdr:row>
      <xdr:rowOff>155864</xdr:rowOff>
    </xdr:from>
    <xdr:to>
      <xdr:col>76</xdr:col>
      <xdr:colOff>1333500</xdr:colOff>
      <xdr:row>45</xdr:row>
      <xdr:rowOff>138545</xdr:rowOff>
    </xdr:to>
    <xdr:cxnSp macro="">
      <xdr:nvCxnSpPr>
        <xdr:cNvPr id="29" name="Conector recto de flecha 28"/>
        <xdr:cNvCxnSpPr/>
      </xdr:nvCxnSpPr>
      <xdr:spPr>
        <a:xfrm>
          <a:off x="73097448" y="88426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34</xdr:row>
      <xdr:rowOff>111724</xdr:rowOff>
    </xdr:from>
    <xdr:to>
      <xdr:col>76</xdr:col>
      <xdr:colOff>1335189</xdr:colOff>
      <xdr:row>35</xdr:row>
      <xdr:rowOff>94405</xdr:rowOff>
    </xdr:to>
    <xdr:cxnSp macro="">
      <xdr:nvCxnSpPr>
        <xdr:cNvPr id="30" name="Conector recto de flecha 29"/>
        <xdr:cNvCxnSpPr/>
      </xdr:nvCxnSpPr>
      <xdr:spPr>
        <a:xfrm>
          <a:off x="73099137" y="68935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34</xdr:row>
      <xdr:rowOff>82789</xdr:rowOff>
    </xdr:from>
    <xdr:to>
      <xdr:col>74</xdr:col>
      <xdr:colOff>1265493</xdr:colOff>
      <xdr:row>35</xdr:row>
      <xdr:rowOff>69695</xdr:rowOff>
    </xdr:to>
    <xdr:cxnSp macro="">
      <xdr:nvCxnSpPr>
        <xdr:cNvPr id="31" name="Conector recto de flecha 30"/>
        <xdr:cNvCxnSpPr/>
      </xdr:nvCxnSpPr>
      <xdr:spPr>
        <a:xfrm flipV="1">
          <a:off x="69171479" y="68645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33</xdr:row>
      <xdr:rowOff>177209</xdr:rowOff>
    </xdr:from>
    <xdr:to>
      <xdr:col>70</xdr:col>
      <xdr:colOff>1370671</xdr:colOff>
      <xdr:row>34</xdr:row>
      <xdr:rowOff>23231</xdr:rowOff>
    </xdr:to>
    <xdr:cxnSp macro="">
      <xdr:nvCxnSpPr>
        <xdr:cNvPr id="32" name="Conector recto de flecha 31"/>
        <xdr:cNvCxnSpPr/>
      </xdr:nvCxnSpPr>
      <xdr:spPr>
        <a:xfrm>
          <a:off x="62555327" y="6768509"/>
          <a:ext cx="1337444" cy="36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115</xdr:row>
      <xdr:rowOff>38100</xdr:rowOff>
    </xdr:from>
    <xdr:to>
      <xdr:col>88</xdr:col>
      <xdr:colOff>1892300</xdr:colOff>
      <xdr:row>116</xdr:row>
      <xdr:rowOff>95250</xdr:rowOff>
    </xdr:to>
    <xdr:cxnSp macro="">
      <xdr:nvCxnSpPr>
        <xdr:cNvPr id="33" name="Conector recto de flecha 32"/>
        <xdr:cNvCxnSpPr/>
      </xdr:nvCxnSpPr>
      <xdr:spPr>
        <a:xfrm flipV="1">
          <a:off x="89858850" y="22428200"/>
          <a:ext cx="47561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119</xdr:row>
      <xdr:rowOff>133351</xdr:rowOff>
    </xdr:from>
    <xdr:to>
      <xdr:col>84</xdr:col>
      <xdr:colOff>276225</xdr:colOff>
      <xdr:row>122</xdr:row>
      <xdr:rowOff>168088</xdr:rowOff>
    </xdr:to>
    <xdr:cxnSp macro="">
      <xdr:nvCxnSpPr>
        <xdr:cNvPr id="35" name="Conector recto de flecha 34"/>
        <xdr:cNvCxnSpPr/>
      </xdr:nvCxnSpPr>
      <xdr:spPr>
        <a:xfrm flipV="1">
          <a:off x="83151569" y="2329815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123</xdr:row>
      <xdr:rowOff>150394</xdr:rowOff>
    </xdr:from>
    <xdr:to>
      <xdr:col>79</xdr:col>
      <xdr:colOff>2306053</xdr:colOff>
      <xdr:row>125</xdr:row>
      <xdr:rowOff>110380</xdr:rowOff>
    </xdr:to>
    <xdr:cxnSp macro="">
      <xdr:nvCxnSpPr>
        <xdr:cNvPr id="37" name="Conector recto de flecha 36"/>
        <xdr:cNvCxnSpPr/>
      </xdr:nvCxnSpPr>
      <xdr:spPr>
        <a:xfrm flipV="1">
          <a:off x="78164392" y="24086719"/>
          <a:ext cx="2265711" cy="340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124</xdr:row>
      <xdr:rowOff>84044</xdr:rowOff>
    </xdr:from>
    <xdr:to>
      <xdr:col>76</xdr:col>
      <xdr:colOff>1190624</xdr:colOff>
      <xdr:row>128</xdr:row>
      <xdr:rowOff>140074</xdr:rowOff>
    </xdr:to>
    <xdr:cxnSp macro="">
      <xdr:nvCxnSpPr>
        <xdr:cNvPr id="38" name="Conector recto de flecha 37"/>
        <xdr:cNvCxnSpPr/>
      </xdr:nvCxnSpPr>
      <xdr:spPr>
        <a:xfrm>
          <a:off x="73098211" y="242108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119</xdr:row>
      <xdr:rowOff>28015</xdr:rowOff>
    </xdr:from>
    <xdr:to>
      <xdr:col>67</xdr:col>
      <xdr:colOff>994522</xdr:colOff>
      <xdr:row>120</xdr:row>
      <xdr:rowOff>110378</xdr:rowOff>
    </xdr:to>
    <xdr:cxnSp macro="">
      <xdr:nvCxnSpPr>
        <xdr:cNvPr id="39" name="Conector recto de flecha 38"/>
        <xdr:cNvCxnSpPr/>
      </xdr:nvCxnSpPr>
      <xdr:spPr>
        <a:xfrm flipV="1">
          <a:off x="59495392" y="23192815"/>
          <a:ext cx="9160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124</xdr:row>
      <xdr:rowOff>26096</xdr:rowOff>
    </xdr:from>
    <xdr:to>
      <xdr:col>74</xdr:col>
      <xdr:colOff>1239555</xdr:colOff>
      <xdr:row>126</xdr:row>
      <xdr:rowOff>18421</xdr:rowOff>
    </xdr:to>
    <xdr:cxnSp macro="">
      <xdr:nvCxnSpPr>
        <xdr:cNvPr id="40" name="Conector recto de flecha 39"/>
        <xdr:cNvCxnSpPr/>
      </xdr:nvCxnSpPr>
      <xdr:spPr>
        <a:xfrm flipV="1">
          <a:off x="69249445" y="2415292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116158</xdr:colOff>
      <xdr:row>118</xdr:row>
      <xdr:rowOff>162622</xdr:rowOff>
    </xdr:from>
    <xdr:to>
      <xdr:col>71</xdr:col>
      <xdr:colOff>1208969</xdr:colOff>
      <xdr:row>125</xdr:row>
      <xdr:rowOff>143657</xdr:rowOff>
    </xdr:to>
    <xdr:cxnSp macro="">
      <xdr:nvCxnSpPr>
        <xdr:cNvPr id="41" name="Conector recto de flecha 40"/>
        <xdr:cNvCxnSpPr/>
      </xdr:nvCxnSpPr>
      <xdr:spPr>
        <a:xfrm>
          <a:off x="61876258" y="23136922"/>
          <a:ext cx="3283561" cy="1324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34847</xdr:colOff>
      <xdr:row>119</xdr:row>
      <xdr:rowOff>34847</xdr:rowOff>
    </xdr:from>
    <xdr:to>
      <xdr:col>80</xdr:col>
      <xdr:colOff>1</xdr:colOff>
      <xdr:row>119</xdr:row>
      <xdr:rowOff>35406</xdr:rowOff>
    </xdr:to>
    <xdr:cxnSp macro="">
      <xdr:nvCxnSpPr>
        <xdr:cNvPr id="57" name="Conector recto de flecha 56"/>
        <xdr:cNvCxnSpPr/>
      </xdr:nvCxnSpPr>
      <xdr:spPr>
        <a:xfrm flipH="1" flipV="1">
          <a:off x="78158897" y="23199647"/>
          <a:ext cx="2546429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175</xdr:row>
      <xdr:rowOff>177800</xdr:rowOff>
    </xdr:from>
    <xdr:to>
      <xdr:col>88</xdr:col>
      <xdr:colOff>1905000</xdr:colOff>
      <xdr:row>177</xdr:row>
      <xdr:rowOff>95250</xdr:rowOff>
    </xdr:to>
    <xdr:cxnSp macro="">
      <xdr:nvCxnSpPr>
        <xdr:cNvPr id="58" name="Conector recto de flecha 57"/>
        <xdr:cNvCxnSpPr/>
      </xdr:nvCxnSpPr>
      <xdr:spPr>
        <a:xfrm flipV="1">
          <a:off x="89858850" y="34010600"/>
          <a:ext cx="476885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180</xdr:row>
      <xdr:rowOff>133351</xdr:rowOff>
    </xdr:from>
    <xdr:to>
      <xdr:col>84</xdr:col>
      <xdr:colOff>276225</xdr:colOff>
      <xdr:row>183</xdr:row>
      <xdr:rowOff>168088</xdr:rowOff>
    </xdr:to>
    <xdr:cxnSp macro="">
      <xdr:nvCxnSpPr>
        <xdr:cNvPr id="60" name="Conector recto de flecha 59"/>
        <xdr:cNvCxnSpPr/>
      </xdr:nvCxnSpPr>
      <xdr:spPr>
        <a:xfrm flipV="1">
          <a:off x="83151569" y="3492817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185</xdr:row>
      <xdr:rowOff>86591</xdr:rowOff>
    </xdr:from>
    <xdr:to>
      <xdr:col>79</xdr:col>
      <xdr:colOff>1545106</xdr:colOff>
      <xdr:row>186</xdr:row>
      <xdr:rowOff>110379</xdr:rowOff>
    </xdr:to>
    <xdr:cxnSp macro="">
      <xdr:nvCxnSpPr>
        <xdr:cNvPr id="62" name="Conector recto de flecha 61"/>
        <xdr:cNvCxnSpPr/>
      </xdr:nvCxnSpPr>
      <xdr:spPr>
        <a:xfrm flipV="1">
          <a:off x="78194157" y="358339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185</xdr:row>
      <xdr:rowOff>84044</xdr:rowOff>
    </xdr:from>
    <xdr:to>
      <xdr:col>76</xdr:col>
      <xdr:colOff>1190624</xdr:colOff>
      <xdr:row>189</xdr:row>
      <xdr:rowOff>140074</xdr:rowOff>
    </xdr:to>
    <xdr:cxnSp macro="">
      <xdr:nvCxnSpPr>
        <xdr:cNvPr id="63" name="Conector recto de flecha 62"/>
        <xdr:cNvCxnSpPr/>
      </xdr:nvCxnSpPr>
      <xdr:spPr>
        <a:xfrm>
          <a:off x="73098211" y="358313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232</xdr:row>
      <xdr:rowOff>13416</xdr:rowOff>
    </xdr:from>
    <xdr:to>
      <xdr:col>88</xdr:col>
      <xdr:colOff>2012324</xdr:colOff>
      <xdr:row>233</xdr:row>
      <xdr:rowOff>95251</xdr:rowOff>
    </xdr:to>
    <xdr:cxnSp macro="">
      <xdr:nvCxnSpPr>
        <xdr:cNvPr id="72" name="Conector recto de flecha 71"/>
        <xdr:cNvCxnSpPr/>
      </xdr:nvCxnSpPr>
      <xdr:spPr>
        <a:xfrm flipV="1">
          <a:off x="89996761" y="44083310"/>
          <a:ext cx="4891021" cy="269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236</xdr:row>
      <xdr:rowOff>19050</xdr:rowOff>
    </xdr:from>
    <xdr:to>
      <xdr:col>84</xdr:col>
      <xdr:colOff>19050</xdr:colOff>
      <xdr:row>239</xdr:row>
      <xdr:rowOff>168089</xdr:rowOff>
    </xdr:to>
    <xdr:cxnSp macro="">
      <xdr:nvCxnSpPr>
        <xdr:cNvPr id="74" name="Conector recto de flecha 73"/>
        <xdr:cNvCxnSpPr/>
      </xdr:nvCxnSpPr>
      <xdr:spPr>
        <a:xfrm flipV="1">
          <a:off x="83151569" y="45481875"/>
          <a:ext cx="34116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241</xdr:row>
      <xdr:rowOff>86591</xdr:rowOff>
    </xdr:from>
    <xdr:to>
      <xdr:col>79</xdr:col>
      <xdr:colOff>1545106</xdr:colOff>
      <xdr:row>242</xdr:row>
      <xdr:rowOff>110379</xdr:rowOff>
    </xdr:to>
    <xdr:cxnSp macro="">
      <xdr:nvCxnSpPr>
        <xdr:cNvPr id="76" name="Conector recto de flecha 75"/>
        <xdr:cNvCxnSpPr/>
      </xdr:nvCxnSpPr>
      <xdr:spPr>
        <a:xfrm flipV="1">
          <a:off x="78194157" y="465019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241</xdr:row>
      <xdr:rowOff>84044</xdr:rowOff>
    </xdr:from>
    <xdr:to>
      <xdr:col>76</xdr:col>
      <xdr:colOff>1190624</xdr:colOff>
      <xdr:row>245</xdr:row>
      <xdr:rowOff>140074</xdr:rowOff>
    </xdr:to>
    <xdr:cxnSp macro="">
      <xdr:nvCxnSpPr>
        <xdr:cNvPr id="77" name="Conector recto de flecha 76"/>
        <xdr:cNvCxnSpPr/>
      </xdr:nvCxnSpPr>
      <xdr:spPr>
        <a:xfrm>
          <a:off x="73098211" y="464993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351</xdr:row>
      <xdr:rowOff>74414</xdr:rowOff>
    </xdr:from>
    <xdr:to>
      <xdr:col>90</xdr:col>
      <xdr:colOff>1160859</xdr:colOff>
      <xdr:row>352</xdr:row>
      <xdr:rowOff>95251</xdr:rowOff>
    </xdr:to>
    <xdr:cxnSp macro="">
      <xdr:nvCxnSpPr>
        <xdr:cNvPr id="99" name="Conector recto de flecha 98"/>
        <xdr:cNvCxnSpPr/>
      </xdr:nvCxnSpPr>
      <xdr:spPr>
        <a:xfrm flipV="1">
          <a:off x="92560378" y="68386523"/>
          <a:ext cx="5353645" cy="214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354</xdr:row>
      <xdr:rowOff>38100</xdr:rowOff>
    </xdr:from>
    <xdr:to>
      <xdr:col>85</xdr:col>
      <xdr:colOff>2171700</xdr:colOff>
      <xdr:row>354</xdr:row>
      <xdr:rowOff>114303</xdr:rowOff>
    </xdr:to>
    <xdr:cxnSp macro="">
      <xdr:nvCxnSpPr>
        <xdr:cNvPr id="101" name="Conector recto de flecha 100"/>
        <xdr:cNvCxnSpPr/>
      </xdr:nvCxnSpPr>
      <xdr:spPr>
        <a:xfrm>
          <a:off x="84191475" y="681513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355</xdr:row>
      <xdr:rowOff>0</xdr:rowOff>
    </xdr:from>
    <xdr:to>
      <xdr:col>80</xdr:col>
      <xdr:colOff>2152650</xdr:colOff>
      <xdr:row>356</xdr:row>
      <xdr:rowOff>110379</xdr:rowOff>
    </xdr:to>
    <xdr:cxnSp macro="">
      <xdr:nvCxnSpPr>
        <xdr:cNvPr id="120" name="Conector recto de flecha 119"/>
        <xdr:cNvCxnSpPr/>
      </xdr:nvCxnSpPr>
      <xdr:spPr>
        <a:xfrm flipV="1">
          <a:off x="80775432" y="68303775"/>
          <a:ext cx="2082543" cy="358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526442</xdr:colOff>
      <xdr:row>354</xdr:row>
      <xdr:rowOff>24512</xdr:rowOff>
    </xdr:from>
    <xdr:to>
      <xdr:col>77</xdr:col>
      <xdr:colOff>1647030</xdr:colOff>
      <xdr:row>358</xdr:row>
      <xdr:rowOff>80543</xdr:rowOff>
    </xdr:to>
    <xdr:cxnSp macro="">
      <xdr:nvCxnSpPr>
        <xdr:cNvPr id="121" name="Conector recto de flecha 120"/>
        <xdr:cNvCxnSpPr/>
      </xdr:nvCxnSpPr>
      <xdr:spPr>
        <a:xfrm>
          <a:off x="74926217" y="68137787"/>
          <a:ext cx="1120588" cy="92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89</xdr:col>
      <xdr:colOff>9619</xdr:colOff>
      <xdr:row>426</xdr:row>
      <xdr:rowOff>95250</xdr:rowOff>
    </xdr:to>
    <xdr:cxnSp macro="">
      <xdr:nvCxnSpPr>
        <xdr:cNvPr id="122" name="Conector recto de flecha 121"/>
        <xdr:cNvCxnSpPr/>
      </xdr:nvCxnSpPr>
      <xdr:spPr>
        <a:xfrm flipV="1">
          <a:off x="92697300" y="81931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23" name="Conector recto de flecha 12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428</xdr:row>
      <xdr:rowOff>114303</xdr:rowOff>
    </xdr:from>
    <xdr:to>
      <xdr:col>85</xdr:col>
      <xdr:colOff>2171700</xdr:colOff>
      <xdr:row>429</xdr:row>
      <xdr:rowOff>174949</xdr:rowOff>
    </xdr:to>
    <xdr:cxnSp macro="">
      <xdr:nvCxnSpPr>
        <xdr:cNvPr id="124" name="Conector recto de flecha 123"/>
        <xdr:cNvCxnSpPr/>
      </xdr:nvCxnSpPr>
      <xdr:spPr>
        <a:xfrm flipV="1">
          <a:off x="80812238" y="82476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89</xdr:col>
      <xdr:colOff>9059</xdr:colOff>
      <xdr:row>424</xdr:row>
      <xdr:rowOff>112059</xdr:rowOff>
    </xdr:to>
    <xdr:cxnSp macro="">
      <xdr:nvCxnSpPr>
        <xdr:cNvPr id="125" name="Conector recto de flecha 124"/>
        <xdr:cNvCxnSpPr/>
      </xdr:nvCxnSpPr>
      <xdr:spPr>
        <a:xfrm>
          <a:off x="92725315" y="81031977"/>
          <a:ext cx="20574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402</xdr:row>
      <xdr:rowOff>92927</xdr:rowOff>
    </xdr:from>
    <xdr:to>
      <xdr:col>85</xdr:col>
      <xdr:colOff>2014251</xdr:colOff>
      <xdr:row>419</xdr:row>
      <xdr:rowOff>108857</xdr:rowOff>
    </xdr:to>
    <xdr:cxnSp macro="">
      <xdr:nvCxnSpPr>
        <xdr:cNvPr id="126" name="Conector recto de flecha 125"/>
        <xdr:cNvCxnSpPr/>
      </xdr:nvCxnSpPr>
      <xdr:spPr>
        <a:xfrm>
          <a:off x="76796785" y="77502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405</xdr:row>
      <xdr:rowOff>142875</xdr:rowOff>
    </xdr:from>
    <xdr:to>
      <xdr:col>76</xdr:col>
      <xdr:colOff>1368425</xdr:colOff>
      <xdr:row>406</xdr:row>
      <xdr:rowOff>15875</xdr:rowOff>
    </xdr:to>
    <xdr:cxnSp macro="">
      <xdr:nvCxnSpPr>
        <xdr:cNvPr id="127" name="Conector recto de flecha 126"/>
        <xdr:cNvCxnSpPr/>
      </xdr:nvCxnSpPr>
      <xdr:spPr>
        <a:xfrm flipV="1">
          <a:off x="70948550" y="78124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28" name="Conector recto de flecha 127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29" name="Conector recto de flecha 128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30" name="Conector recto de flecha 129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394</xdr:row>
      <xdr:rowOff>27213</xdr:rowOff>
    </xdr:from>
    <xdr:to>
      <xdr:col>87</xdr:col>
      <xdr:colOff>27215</xdr:colOff>
      <xdr:row>440</xdr:row>
      <xdr:rowOff>81646</xdr:rowOff>
    </xdr:to>
    <xdr:cxnSp macro="">
      <xdr:nvCxnSpPr>
        <xdr:cNvPr id="131" name="Conector angular 130"/>
        <xdr:cNvCxnSpPr/>
      </xdr:nvCxnSpPr>
      <xdr:spPr>
        <a:xfrm>
          <a:off x="62848673" y="75912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395</xdr:row>
      <xdr:rowOff>33421</xdr:rowOff>
    </xdr:from>
    <xdr:to>
      <xdr:col>87</xdr:col>
      <xdr:colOff>24423</xdr:colOff>
      <xdr:row>439</xdr:row>
      <xdr:rowOff>158750</xdr:rowOff>
    </xdr:to>
    <xdr:cxnSp macro="">
      <xdr:nvCxnSpPr>
        <xdr:cNvPr id="132" name="Conector angular 131"/>
        <xdr:cNvCxnSpPr/>
      </xdr:nvCxnSpPr>
      <xdr:spPr>
        <a:xfrm>
          <a:off x="58865169" y="76109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33" name="Conector recto de flecha 132"/>
        <xdr:cNvCxnSpPr/>
      </xdr:nvCxnSpPr>
      <xdr:spPr>
        <a:xfrm>
          <a:off x="89850254" y="83777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388</xdr:row>
      <xdr:rowOff>139390</xdr:rowOff>
    </xdr:from>
    <xdr:to>
      <xdr:col>77</xdr:col>
      <xdr:colOff>766647</xdr:colOff>
      <xdr:row>398</xdr:row>
      <xdr:rowOff>162622</xdr:rowOff>
    </xdr:to>
    <xdr:cxnSp macro="">
      <xdr:nvCxnSpPr>
        <xdr:cNvPr id="134" name="Conector recto de flecha 133"/>
        <xdr:cNvCxnSpPr/>
      </xdr:nvCxnSpPr>
      <xdr:spPr>
        <a:xfrm flipH="1" flipV="1">
          <a:off x="70883888" y="74882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386</xdr:row>
      <xdr:rowOff>148442</xdr:rowOff>
    </xdr:from>
    <xdr:to>
      <xdr:col>72</xdr:col>
      <xdr:colOff>756425</xdr:colOff>
      <xdr:row>386</xdr:row>
      <xdr:rowOff>175634</xdr:rowOff>
    </xdr:to>
    <xdr:cxnSp macro="">
      <xdr:nvCxnSpPr>
        <xdr:cNvPr id="135" name="Conector recto de flecha 134"/>
        <xdr:cNvCxnSpPr/>
      </xdr:nvCxnSpPr>
      <xdr:spPr>
        <a:xfrm flipH="1" flipV="1">
          <a:off x="59739563" y="74510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386</xdr:row>
      <xdr:rowOff>0</xdr:rowOff>
    </xdr:from>
    <xdr:to>
      <xdr:col>75</xdr:col>
      <xdr:colOff>721446</xdr:colOff>
      <xdr:row>389</xdr:row>
      <xdr:rowOff>134472</xdr:rowOff>
    </xdr:to>
    <xdr:grpSp>
      <xdr:nvGrpSpPr>
        <xdr:cNvPr id="136" name="Grupo 135"/>
        <xdr:cNvGrpSpPr/>
      </xdr:nvGrpSpPr>
      <xdr:grpSpPr>
        <a:xfrm>
          <a:off x="70961250" y="74295000"/>
          <a:ext cx="721446" cy="705972"/>
          <a:chOff x="52088676" y="6928970"/>
          <a:chExt cx="616324" cy="691030"/>
        </a:xfrm>
      </xdr:grpSpPr>
      <xdr:cxnSp macro="">
        <xdr:nvCxnSpPr>
          <xdr:cNvPr id="137" name="Conector recto 13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Conector recto 13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Conector recto 13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415</xdr:row>
      <xdr:rowOff>125605</xdr:rowOff>
    </xdr:from>
    <xdr:to>
      <xdr:col>89</xdr:col>
      <xdr:colOff>528443</xdr:colOff>
      <xdr:row>424</xdr:row>
      <xdr:rowOff>152553</xdr:rowOff>
    </xdr:to>
    <xdr:cxnSp macro="">
      <xdr:nvCxnSpPr>
        <xdr:cNvPr id="140" name="Conector recto de flecha 139"/>
        <xdr:cNvCxnSpPr/>
      </xdr:nvCxnSpPr>
      <xdr:spPr>
        <a:xfrm>
          <a:off x="92730585" y="80011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409</xdr:row>
      <xdr:rowOff>101022</xdr:rowOff>
    </xdr:from>
    <xdr:to>
      <xdr:col>86</xdr:col>
      <xdr:colOff>3857</xdr:colOff>
      <xdr:row>412</xdr:row>
      <xdr:rowOff>129886</xdr:rowOff>
    </xdr:to>
    <xdr:cxnSp macro="">
      <xdr:nvCxnSpPr>
        <xdr:cNvPr id="141" name="Conector recto de flecha 140"/>
        <xdr:cNvCxnSpPr/>
      </xdr:nvCxnSpPr>
      <xdr:spPr>
        <a:xfrm>
          <a:off x="88837654" y="78844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425</xdr:row>
      <xdr:rowOff>140074</xdr:rowOff>
    </xdr:from>
    <xdr:to>
      <xdr:col>88</xdr:col>
      <xdr:colOff>1106581</xdr:colOff>
      <xdr:row>426</xdr:row>
      <xdr:rowOff>95250</xdr:rowOff>
    </xdr:to>
    <xdr:cxnSp macro="">
      <xdr:nvCxnSpPr>
        <xdr:cNvPr id="142" name="Conector recto de flecha 141"/>
        <xdr:cNvCxnSpPr/>
      </xdr:nvCxnSpPr>
      <xdr:spPr>
        <a:xfrm flipV="1">
          <a:off x="92697300" y="81931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425</xdr:row>
      <xdr:rowOff>104775</xdr:rowOff>
    </xdr:from>
    <xdr:to>
      <xdr:col>90</xdr:col>
      <xdr:colOff>742950</xdr:colOff>
      <xdr:row>425</xdr:row>
      <xdr:rowOff>104775</xdr:rowOff>
    </xdr:to>
    <xdr:cxnSp macro="">
      <xdr:nvCxnSpPr>
        <xdr:cNvPr id="143" name="Conector recto de flecha 142"/>
        <xdr:cNvCxnSpPr/>
      </xdr:nvCxnSpPr>
      <xdr:spPr>
        <a:xfrm>
          <a:off x="96926400" y="81895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421</xdr:row>
      <xdr:rowOff>2802</xdr:rowOff>
    </xdr:from>
    <xdr:to>
      <xdr:col>88</xdr:col>
      <xdr:colOff>1134596</xdr:colOff>
      <xdr:row>424</xdr:row>
      <xdr:rowOff>112059</xdr:rowOff>
    </xdr:to>
    <xdr:cxnSp macro="">
      <xdr:nvCxnSpPr>
        <xdr:cNvPr id="144" name="Conector recto de flecha 143"/>
        <xdr:cNvCxnSpPr/>
      </xdr:nvCxnSpPr>
      <xdr:spPr>
        <a:xfrm>
          <a:off x="92725315" y="81031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426</xdr:row>
      <xdr:rowOff>38100</xdr:rowOff>
    </xdr:from>
    <xdr:to>
      <xdr:col>89</xdr:col>
      <xdr:colOff>57150</xdr:colOff>
      <xdr:row>430</xdr:row>
      <xdr:rowOff>38100</xdr:rowOff>
    </xdr:to>
    <xdr:cxnSp macro="">
      <xdr:nvCxnSpPr>
        <xdr:cNvPr id="145" name="Conector recto de flecha 144"/>
        <xdr:cNvCxnSpPr/>
      </xdr:nvCxnSpPr>
      <xdr:spPr>
        <a:xfrm flipV="1">
          <a:off x="92716350" y="82019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427</xdr:row>
      <xdr:rowOff>152400</xdr:rowOff>
    </xdr:from>
    <xdr:to>
      <xdr:col>89</xdr:col>
      <xdr:colOff>19050</xdr:colOff>
      <xdr:row>434</xdr:row>
      <xdr:rowOff>95250</xdr:rowOff>
    </xdr:to>
    <xdr:cxnSp macro="">
      <xdr:nvCxnSpPr>
        <xdr:cNvPr id="146" name="Conector recto de flecha 145"/>
        <xdr:cNvCxnSpPr/>
      </xdr:nvCxnSpPr>
      <xdr:spPr>
        <a:xfrm flipV="1">
          <a:off x="94792800" y="82324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426</xdr:row>
      <xdr:rowOff>114300</xdr:rowOff>
    </xdr:from>
    <xdr:to>
      <xdr:col>89</xdr:col>
      <xdr:colOff>590550</xdr:colOff>
      <xdr:row>439</xdr:row>
      <xdr:rowOff>114300</xdr:rowOff>
    </xdr:to>
    <xdr:cxnSp macro="">
      <xdr:nvCxnSpPr>
        <xdr:cNvPr id="147" name="Conector recto de flecha 146"/>
        <xdr:cNvCxnSpPr/>
      </xdr:nvCxnSpPr>
      <xdr:spPr>
        <a:xfrm flipV="1">
          <a:off x="94811850" y="82095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435</xdr:row>
      <xdr:rowOff>81311</xdr:rowOff>
    </xdr:from>
    <xdr:to>
      <xdr:col>86</xdr:col>
      <xdr:colOff>1033811</xdr:colOff>
      <xdr:row>435</xdr:row>
      <xdr:rowOff>92927</xdr:rowOff>
    </xdr:to>
    <xdr:cxnSp macro="">
      <xdr:nvCxnSpPr>
        <xdr:cNvPr id="148" name="Conector recto de flecha 147"/>
        <xdr:cNvCxnSpPr/>
      </xdr:nvCxnSpPr>
      <xdr:spPr>
        <a:xfrm>
          <a:off x="89997170" y="82400402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431</xdr:row>
      <xdr:rowOff>71088</xdr:rowOff>
    </xdr:from>
    <xdr:to>
      <xdr:col>86</xdr:col>
      <xdr:colOff>1393</xdr:colOff>
      <xdr:row>433</xdr:row>
      <xdr:rowOff>58079</xdr:rowOff>
    </xdr:to>
    <xdr:cxnSp macro="">
      <xdr:nvCxnSpPr>
        <xdr:cNvPr id="149" name="Conector recto de flecha 148"/>
        <xdr:cNvCxnSpPr/>
      </xdr:nvCxnSpPr>
      <xdr:spPr>
        <a:xfrm flipV="1">
          <a:off x="88633145" y="83005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89</xdr:col>
      <xdr:colOff>9619</xdr:colOff>
      <xdr:row>502</xdr:row>
      <xdr:rowOff>95250</xdr:rowOff>
    </xdr:to>
    <xdr:cxnSp macro="">
      <xdr:nvCxnSpPr>
        <xdr:cNvPr id="152" name="Conector recto de flecha 151"/>
        <xdr:cNvCxnSpPr/>
      </xdr:nvCxnSpPr>
      <xdr:spPr>
        <a:xfrm flipV="1">
          <a:off x="92697300" y="96409249"/>
          <a:ext cx="20860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53" name="Conector recto de flecha 15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504</xdr:row>
      <xdr:rowOff>114303</xdr:rowOff>
    </xdr:from>
    <xdr:to>
      <xdr:col>85</xdr:col>
      <xdr:colOff>2171700</xdr:colOff>
      <xdr:row>505</xdr:row>
      <xdr:rowOff>174949</xdr:rowOff>
    </xdr:to>
    <xdr:cxnSp macro="">
      <xdr:nvCxnSpPr>
        <xdr:cNvPr id="154" name="Conector recto de flecha 153"/>
        <xdr:cNvCxnSpPr/>
      </xdr:nvCxnSpPr>
      <xdr:spPr>
        <a:xfrm flipV="1">
          <a:off x="80812238" y="969549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89</xdr:col>
      <xdr:colOff>9059</xdr:colOff>
      <xdr:row>500</xdr:row>
      <xdr:rowOff>112059</xdr:rowOff>
    </xdr:to>
    <xdr:cxnSp macro="">
      <xdr:nvCxnSpPr>
        <xdr:cNvPr id="155" name="Conector recto de flecha 154"/>
        <xdr:cNvCxnSpPr/>
      </xdr:nvCxnSpPr>
      <xdr:spPr>
        <a:xfrm>
          <a:off x="92031351" y="102056373"/>
          <a:ext cx="2071101" cy="721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478</xdr:row>
      <xdr:rowOff>92927</xdr:rowOff>
    </xdr:from>
    <xdr:to>
      <xdr:col>85</xdr:col>
      <xdr:colOff>2014251</xdr:colOff>
      <xdr:row>495</xdr:row>
      <xdr:rowOff>108857</xdr:rowOff>
    </xdr:to>
    <xdr:cxnSp macro="">
      <xdr:nvCxnSpPr>
        <xdr:cNvPr id="156" name="Conector recto de flecha 155"/>
        <xdr:cNvCxnSpPr/>
      </xdr:nvCxnSpPr>
      <xdr:spPr>
        <a:xfrm>
          <a:off x="76796785" y="91980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481</xdr:row>
      <xdr:rowOff>142875</xdr:rowOff>
    </xdr:from>
    <xdr:to>
      <xdr:col>76</xdr:col>
      <xdr:colOff>1368425</xdr:colOff>
      <xdr:row>482</xdr:row>
      <xdr:rowOff>15875</xdr:rowOff>
    </xdr:to>
    <xdr:cxnSp macro="">
      <xdr:nvCxnSpPr>
        <xdr:cNvPr id="157" name="Conector recto de flecha 156"/>
        <xdr:cNvCxnSpPr/>
      </xdr:nvCxnSpPr>
      <xdr:spPr>
        <a:xfrm flipV="1">
          <a:off x="70948550" y="92602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58" name="Conector recto de flecha 157"/>
        <xdr:cNvCxnSpPr/>
      </xdr:nvCxnSpPr>
      <xdr:spPr>
        <a:xfrm flipV="1">
          <a:off x="92022386" y="103112207"/>
          <a:ext cx="2128157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59" name="Conector recto de flecha 158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60" name="Conector recto de flecha 159"/>
        <xdr:cNvCxnSpPr/>
      </xdr:nvCxnSpPr>
      <xdr:spPr>
        <a:xfrm flipV="1">
          <a:off x="94131493" y="103188407"/>
          <a:ext cx="552450" cy="2653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470</xdr:row>
      <xdr:rowOff>27213</xdr:rowOff>
    </xdr:from>
    <xdr:to>
      <xdr:col>87</xdr:col>
      <xdr:colOff>27215</xdr:colOff>
      <xdr:row>516</xdr:row>
      <xdr:rowOff>81646</xdr:rowOff>
    </xdr:to>
    <xdr:cxnSp macro="">
      <xdr:nvCxnSpPr>
        <xdr:cNvPr id="161" name="Conector angular 160"/>
        <xdr:cNvCxnSpPr/>
      </xdr:nvCxnSpPr>
      <xdr:spPr>
        <a:xfrm>
          <a:off x="62848673" y="90390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471</xdr:row>
      <xdr:rowOff>33421</xdr:rowOff>
    </xdr:from>
    <xdr:to>
      <xdr:col>87</xdr:col>
      <xdr:colOff>24423</xdr:colOff>
      <xdr:row>515</xdr:row>
      <xdr:rowOff>158750</xdr:rowOff>
    </xdr:to>
    <xdr:cxnSp macro="">
      <xdr:nvCxnSpPr>
        <xdr:cNvPr id="162" name="Conector angular 161"/>
        <xdr:cNvCxnSpPr/>
      </xdr:nvCxnSpPr>
      <xdr:spPr>
        <a:xfrm>
          <a:off x="58865169" y="90587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63" name="Conector recto de flecha 162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464</xdr:row>
      <xdr:rowOff>139390</xdr:rowOff>
    </xdr:from>
    <xdr:to>
      <xdr:col>77</xdr:col>
      <xdr:colOff>766647</xdr:colOff>
      <xdr:row>474</xdr:row>
      <xdr:rowOff>162622</xdr:rowOff>
    </xdr:to>
    <xdr:cxnSp macro="">
      <xdr:nvCxnSpPr>
        <xdr:cNvPr id="164" name="Conector recto de flecha 163"/>
        <xdr:cNvCxnSpPr/>
      </xdr:nvCxnSpPr>
      <xdr:spPr>
        <a:xfrm flipH="1" flipV="1">
          <a:off x="70883888" y="89360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462</xdr:row>
      <xdr:rowOff>148442</xdr:rowOff>
    </xdr:from>
    <xdr:to>
      <xdr:col>72</xdr:col>
      <xdr:colOff>756425</xdr:colOff>
      <xdr:row>462</xdr:row>
      <xdr:rowOff>175634</xdr:rowOff>
    </xdr:to>
    <xdr:cxnSp macro="">
      <xdr:nvCxnSpPr>
        <xdr:cNvPr id="165" name="Conector recto de flecha 164"/>
        <xdr:cNvCxnSpPr/>
      </xdr:nvCxnSpPr>
      <xdr:spPr>
        <a:xfrm flipH="1" flipV="1">
          <a:off x="59739563" y="88988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462</xdr:row>
      <xdr:rowOff>0</xdr:rowOff>
    </xdr:from>
    <xdr:to>
      <xdr:col>75</xdr:col>
      <xdr:colOff>721446</xdr:colOff>
      <xdr:row>465</xdr:row>
      <xdr:rowOff>134472</xdr:rowOff>
    </xdr:to>
    <xdr:grpSp>
      <xdr:nvGrpSpPr>
        <xdr:cNvPr id="166" name="Grupo 165"/>
        <xdr:cNvGrpSpPr/>
      </xdr:nvGrpSpPr>
      <xdr:grpSpPr>
        <a:xfrm>
          <a:off x="70961250" y="88773000"/>
          <a:ext cx="721446" cy="705972"/>
          <a:chOff x="52088676" y="6928970"/>
          <a:chExt cx="616324" cy="691030"/>
        </a:xfrm>
      </xdr:grpSpPr>
      <xdr:cxnSp macro="">
        <xdr:nvCxnSpPr>
          <xdr:cNvPr id="167" name="Conector recto 16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16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16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491</xdr:row>
      <xdr:rowOff>125605</xdr:rowOff>
    </xdr:from>
    <xdr:to>
      <xdr:col>89</xdr:col>
      <xdr:colOff>528443</xdr:colOff>
      <xdr:row>500</xdr:row>
      <xdr:rowOff>152553</xdr:rowOff>
    </xdr:to>
    <xdr:cxnSp macro="">
      <xdr:nvCxnSpPr>
        <xdr:cNvPr id="170" name="Conector recto de flecha 169"/>
        <xdr:cNvCxnSpPr/>
      </xdr:nvCxnSpPr>
      <xdr:spPr>
        <a:xfrm>
          <a:off x="92730585" y="94489780"/>
          <a:ext cx="25716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485</xdr:row>
      <xdr:rowOff>101022</xdr:rowOff>
    </xdr:from>
    <xdr:to>
      <xdr:col>86</xdr:col>
      <xdr:colOff>3857</xdr:colOff>
      <xdr:row>488</xdr:row>
      <xdr:rowOff>129886</xdr:rowOff>
    </xdr:to>
    <xdr:cxnSp macro="">
      <xdr:nvCxnSpPr>
        <xdr:cNvPr id="171" name="Conector recto de flecha 170"/>
        <xdr:cNvCxnSpPr/>
      </xdr:nvCxnSpPr>
      <xdr:spPr>
        <a:xfrm>
          <a:off x="88837654" y="93322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501</xdr:row>
      <xdr:rowOff>140074</xdr:rowOff>
    </xdr:from>
    <xdr:to>
      <xdr:col>88</xdr:col>
      <xdr:colOff>1106581</xdr:colOff>
      <xdr:row>502</xdr:row>
      <xdr:rowOff>95250</xdr:rowOff>
    </xdr:to>
    <xdr:cxnSp macro="">
      <xdr:nvCxnSpPr>
        <xdr:cNvPr id="172" name="Conector recto de flecha 171"/>
        <xdr:cNvCxnSpPr/>
      </xdr:nvCxnSpPr>
      <xdr:spPr>
        <a:xfrm flipV="1">
          <a:off x="92697300" y="96409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501</xdr:row>
      <xdr:rowOff>104775</xdr:rowOff>
    </xdr:from>
    <xdr:to>
      <xdr:col>90</xdr:col>
      <xdr:colOff>742950</xdr:colOff>
      <xdr:row>501</xdr:row>
      <xdr:rowOff>104775</xdr:rowOff>
    </xdr:to>
    <xdr:cxnSp macro="">
      <xdr:nvCxnSpPr>
        <xdr:cNvPr id="173" name="Conector recto de flecha 172"/>
        <xdr:cNvCxnSpPr/>
      </xdr:nvCxnSpPr>
      <xdr:spPr>
        <a:xfrm>
          <a:off x="96926400" y="96373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497</xdr:row>
      <xdr:rowOff>2802</xdr:rowOff>
    </xdr:from>
    <xdr:to>
      <xdr:col>88</xdr:col>
      <xdr:colOff>1134596</xdr:colOff>
      <xdr:row>500</xdr:row>
      <xdr:rowOff>112059</xdr:rowOff>
    </xdr:to>
    <xdr:cxnSp macro="">
      <xdr:nvCxnSpPr>
        <xdr:cNvPr id="174" name="Conector recto de flecha 173"/>
        <xdr:cNvCxnSpPr/>
      </xdr:nvCxnSpPr>
      <xdr:spPr>
        <a:xfrm>
          <a:off x="92725315" y="95509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502</xdr:row>
      <xdr:rowOff>38100</xdr:rowOff>
    </xdr:from>
    <xdr:to>
      <xdr:col>89</xdr:col>
      <xdr:colOff>57150</xdr:colOff>
      <xdr:row>506</xdr:row>
      <xdr:rowOff>38100</xdr:rowOff>
    </xdr:to>
    <xdr:cxnSp macro="">
      <xdr:nvCxnSpPr>
        <xdr:cNvPr id="175" name="Conector recto de flecha 174"/>
        <xdr:cNvCxnSpPr/>
      </xdr:nvCxnSpPr>
      <xdr:spPr>
        <a:xfrm flipV="1">
          <a:off x="92716350" y="96497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503</xdr:row>
      <xdr:rowOff>152400</xdr:rowOff>
    </xdr:from>
    <xdr:to>
      <xdr:col>89</xdr:col>
      <xdr:colOff>19050</xdr:colOff>
      <xdr:row>510</xdr:row>
      <xdr:rowOff>95250</xdr:rowOff>
    </xdr:to>
    <xdr:cxnSp macro="">
      <xdr:nvCxnSpPr>
        <xdr:cNvPr id="176" name="Conector recto de flecha 175"/>
        <xdr:cNvCxnSpPr/>
      </xdr:nvCxnSpPr>
      <xdr:spPr>
        <a:xfrm flipV="1">
          <a:off x="94792800" y="968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502</xdr:row>
      <xdr:rowOff>114300</xdr:rowOff>
    </xdr:from>
    <xdr:to>
      <xdr:col>89</xdr:col>
      <xdr:colOff>590550</xdr:colOff>
      <xdr:row>515</xdr:row>
      <xdr:rowOff>114300</xdr:rowOff>
    </xdr:to>
    <xdr:cxnSp macro="">
      <xdr:nvCxnSpPr>
        <xdr:cNvPr id="177" name="Conector recto de flecha 176"/>
        <xdr:cNvCxnSpPr/>
      </xdr:nvCxnSpPr>
      <xdr:spPr>
        <a:xfrm flipV="1">
          <a:off x="94811850" y="965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511</xdr:row>
      <xdr:rowOff>81311</xdr:rowOff>
    </xdr:from>
    <xdr:to>
      <xdr:col>86</xdr:col>
      <xdr:colOff>1033811</xdr:colOff>
      <xdr:row>511</xdr:row>
      <xdr:rowOff>92927</xdr:rowOff>
    </xdr:to>
    <xdr:cxnSp macro="">
      <xdr:nvCxnSpPr>
        <xdr:cNvPr id="178" name="Conector recto de flecha 177"/>
        <xdr:cNvCxnSpPr/>
      </xdr:nvCxnSpPr>
      <xdr:spPr>
        <a:xfrm>
          <a:off x="89850254" y="982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507</xdr:row>
      <xdr:rowOff>71088</xdr:rowOff>
    </xdr:from>
    <xdr:to>
      <xdr:col>86</xdr:col>
      <xdr:colOff>1393</xdr:colOff>
      <xdr:row>509</xdr:row>
      <xdr:rowOff>58079</xdr:rowOff>
    </xdr:to>
    <xdr:cxnSp macro="">
      <xdr:nvCxnSpPr>
        <xdr:cNvPr id="179" name="Conector recto de flecha 178"/>
        <xdr:cNvCxnSpPr/>
      </xdr:nvCxnSpPr>
      <xdr:spPr>
        <a:xfrm flipV="1">
          <a:off x="88633145" y="974832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493</xdr:row>
      <xdr:rowOff>10468</xdr:rowOff>
    </xdr:from>
    <xdr:to>
      <xdr:col>89</xdr:col>
      <xdr:colOff>1151860</xdr:colOff>
      <xdr:row>500</xdr:row>
      <xdr:rowOff>158414</xdr:rowOff>
    </xdr:to>
    <xdr:cxnSp macro="">
      <xdr:nvCxnSpPr>
        <xdr:cNvPr id="180" name="Conector recto de flecha 179"/>
        <xdr:cNvCxnSpPr/>
      </xdr:nvCxnSpPr>
      <xdr:spPr>
        <a:xfrm>
          <a:off x="95925124" y="947556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485</xdr:row>
      <xdr:rowOff>101022</xdr:rowOff>
    </xdr:from>
    <xdr:to>
      <xdr:col>89</xdr:col>
      <xdr:colOff>3857</xdr:colOff>
      <xdr:row>488</xdr:row>
      <xdr:rowOff>129886</xdr:rowOff>
    </xdr:to>
    <xdr:cxnSp macro="">
      <xdr:nvCxnSpPr>
        <xdr:cNvPr id="181" name="Conector recto de flecha 180"/>
        <xdr:cNvCxnSpPr/>
      </xdr:nvCxnSpPr>
      <xdr:spPr>
        <a:xfrm>
          <a:off x="93904954" y="93322197"/>
          <a:ext cx="8726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579</xdr:row>
      <xdr:rowOff>140074</xdr:rowOff>
    </xdr:from>
    <xdr:to>
      <xdr:col>88</xdr:col>
      <xdr:colOff>1106581</xdr:colOff>
      <xdr:row>580</xdr:row>
      <xdr:rowOff>95250</xdr:rowOff>
    </xdr:to>
    <xdr:cxnSp macro="">
      <xdr:nvCxnSpPr>
        <xdr:cNvPr id="182" name="Conector recto de flecha 181"/>
        <xdr:cNvCxnSpPr/>
      </xdr:nvCxnSpPr>
      <xdr:spPr>
        <a:xfrm flipV="1">
          <a:off x="92697300" y="111268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579</xdr:row>
      <xdr:rowOff>104775</xdr:rowOff>
    </xdr:from>
    <xdr:to>
      <xdr:col>90</xdr:col>
      <xdr:colOff>742950</xdr:colOff>
      <xdr:row>579</xdr:row>
      <xdr:rowOff>104775</xdr:rowOff>
    </xdr:to>
    <xdr:cxnSp macro="">
      <xdr:nvCxnSpPr>
        <xdr:cNvPr id="183" name="Conector recto de flecha 182"/>
        <xdr:cNvCxnSpPr/>
      </xdr:nvCxnSpPr>
      <xdr:spPr>
        <a:xfrm>
          <a:off x="96926400" y="1112329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582</xdr:row>
      <xdr:rowOff>38100</xdr:rowOff>
    </xdr:from>
    <xdr:to>
      <xdr:col>85</xdr:col>
      <xdr:colOff>2171700</xdr:colOff>
      <xdr:row>582</xdr:row>
      <xdr:rowOff>114303</xdr:rowOff>
    </xdr:to>
    <xdr:cxnSp macro="">
      <xdr:nvCxnSpPr>
        <xdr:cNvPr id="184" name="Conector recto de flecha 183"/>
        <xdr:cNvCxnSpPr/>
      </xdr:nvCxnSpPr>
      <xdr:spPr>
        <a:xfrm>
          <a:off x="84191475" y="1117377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575</xdr:row>
      <xdr:rowOff>2802</xdr:rowOff>
    </xdr:from>
    <xdr:to>
      <xdr:col>88</xdr:col>
      <xdr:colOff>1134596</xdr:colOff>
      <xdr:row>578</xdr:row>
      <xdr:rowOff>112059</xdr:rowOff>
    </xdr:to>
    <xdr:cxnSp macro="">
      <xdr:nvCxnSpPr>
        <xdr:cNvPr id="185" name="Conector recto de flecha 184"/>
        <xdr:cNvCxnSpPr/>
      </xdr:nvCxnSpPr>
      <xdr:spPr>
        <a:xfrm>
          <a:off x="92725315" y="110368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556</xdr:row>
      <xdr:rowOff>92927</xdr:rowOff>
    </xdr:from>
    <xdr:to>
      <xdr:col>85</xdr:col>
      <xdr:colOff>2014251</xdr:colOff>
      <xdr:row>573</xdr:row>
      <xdr:rowOff>108857</xdr:rowOff>
    </xdr:to>
    <xdr:cxnSp macro="">
      <xdr:nvCxnSpPr>
        <xdr:cNvPr id="186" name="Conector recto de flecha 185"/>
        <xdr:cNvCxnSpPr/>
      </xdr:nvCxnSpPr>
      <xdr:spPr>
        <a:xfrm>
          <a:off x="76796785" y="1068396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559</xdr:row>
      <xdr:rowOff>142875</xdr:rowOff>
    </xdr:from>
    <xdr:to>
      <xdr:col>76</xdr:col>
      <xdr:colOff>1587500</xdr:colOff>
      <xdr:row>560</xdr:row>
      <xdr:rowOff>15875</xdr:rowOff>
    </xdr:to>
    <xdr:cxnSp macro="">
      <xdr:nvCxnSpPr>
        <xdr:cNvPr id="187" name="Conector recto de flecha 186"/>
        <xdr:cNvCxnSpPr/>
      </xdr:nvCxnSpPr>
      <xdr:spPr>
        <a:xfrm flipV="1">
          <a:off x="70948550" y="1074610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580</xdr:row>
      <xdr:rowOff>38100</xdr:rowOff>
    </xdr:from>
    <xdr:to>
      <xdr:col>89</xdr:col>
      <xdr:colOff>57150</xdr:colOff>
      <xdr:row>584</xdr:row>
      <xdr:rowOff>38100</xdr:rowOff>
    </xdr:to>
    <xdr:cxnSp macro="">
      <xdr:nvCxnSpPr>
        <xdr:cNvPr id="188" name="Conector recto de flecha 187"/>
        <xdr:cNvCxnSpPr/>
      </xdr:nvCxnSpPr>
      <xdr:spPr>
        <a:xfrm flipV="1">
          <a:off x="92716350" y="111356775"/>
          <a:ext cx="21145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581</xdr:row>
      <xdr:rowOff>152400</xdr:rowOff>
    </xdr:from>
    <xdr:to>
      <xdr:col>89</xdr:col>
      <xdr:colOff>19050</xdr:colOff>
      <xdr:row>588</xdr:row>
      <xdr:rowOff>95250</xdr:rowOff>
    </xdr:to>
    <xdr:cxnSp macro="">
      <xdr:nvCxnSpPr>
        <xdr:cNvPr id="189" name="Conector recto de flecha 188"/>
        <xdr:cNvCxnSpPr/>
      </xdr:nvCxnSpPr>
      <xdr:spPr>
        <a:xfrm flipV="1">
          <a:off x="94792800" y="111661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580</xdr:row>
      <xdr:rowOff>114300</xdr:rowOff>
    </xdr:from>
    <xdr:to>
      <xdr:col>89</xdr:col>
      <xdr:colOff>590550</xdr:colOff>
      <xdr:row>593</xdr:row>
      <xdr:rowOff>114300</xdr:rowOff>
    </xdr:to>
    <xdr:cxnSp macro="">
      <xdr:nvCxnSpPr>
        <xdr:cNvPr id="190" name="Conector recto de flecha 189"/>
        <xdr:cNvCxnSpPr/>
      </xdr:nvCxnSpPr>
      <xdr:spPr>
        <a:xfrm flipV="1">
          <a:off x="94811850" y="111432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548</xdr:row>
      <xdr:rowOff>27213</xdr:rowOff>
    </xdr:from>
    <xdr:to>
      <xdr:col>87</xdr:col>
      <xdr:colOff>27215</xdr:colOff>
      <xdr:row>594</xdr:row>
      <xdr:rowOff>81646</xdr:rowOff>
    </xdr:to>
    <xdr:cxnSp macro="">
      <xdr:nvCxnSpPr>
        <xdr:cNvPr id="191" name="Conector angular 190"/>
        <xdr:cNvCxnSpPr/>
      </xdr:nvCxnSpPr>
      <xdr:spPr>
        <a:xfrm>
          <a:off x="62848673" y="105249888"/>
          <a:ext cx="282661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549</xdr:row>
      <xdr:rowOff>33421</xdr:rowOff>
    </xdr:from>
    <xdr:to>
      <xdr:col>87</xdr:col>
      <xdr:colOff>24423</xdr:colOff>
      <xdr:row>593</xdr:row>
      <xdr:rowOff>158750</xdr:rowOff>
    </xdr:to>
    <xdr:cxnSp macro="">
      <xdr:nvCxnSpPr>
        <xdr:cNvPr id="192" name="Conector angular 191"/>
        <xdr:cNvCxnSpPr/>
      </xdr:nvCxnSpPr>
      <xdr:spPr>
        <a:xfrm>
          <a:off x="58865169" y="105446596"/>
          <a:ext cx="32246829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589</xdr:row>
      <xdr:rowOff>81311</xdr:rowOff>
    </xdr:from>
    <xdr:to>
      <xdr:col>86</xdr:col>
      <xdr:colOff>1033811</xdr:colOff>
      <xdr:row>589</xdr:row>
      <xdr:rowOff>92927</xdr:rowOff>
    </xdr:to>
    <xdr:cxnSp macro="">
      <xdr:nvCxnSpPr>
        <xdr:cNvPr id="193" name="Conector recto de flecha 192"/>
        <xdr:cNvCxnSpPr/>
      </xdr:nvCxnSpPr>
      <xdr:spPr>
        <a:xfrm>
          <a:off x="89850254" y="113114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584</xdr:row>
      <xdr:rowOff>186542</xdr:rowOff>
    </xdr:from>
    <xdr:to>
      <xdr:col>86</xdr:col>
      <xdr:colOff>1393</xdr:colOff>
      <xdr:row>586</xdr:row>
      <xdr:rowOff>173533</xdr:rowOff>
    </xdr:to>
    <xdr:cxnSp macro="">
      <xdr:nvCxnSpPr>
        <xdr:cNvPr id="194" name="Conector recto de flecha 193"/>
        <xdr:cNvCxnSpPr/>
      </xdr:nvCxnSpPr>
      <xdr:spPr>
        <a:xfrm flipV="1">
          <a:off x="88633145" y="112267217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542</xdr:row>
      <xdr:rowOff>139390</xdr:rowOff>
    </xdr:from>
    <xdr:to>
      <xdr:col>77</xdr:col>
      <xdr:colOff>766647</xdr:colOff>
      <xdr:row>552</xdr:row>
      <xdr:rowOff>162622</xdr:rowOff>
    </xdr:to>
    <xdr:cxnSp macro="">
      <xdr:nvCxnSpPr>
        <xdr:cNvPr id="195" name="Conector recto de flecha 194"/>
        <xdr:cNvCxnSpPr/>
      </xdr:nvCxnSpPr>
      <xdr:spPr>
        <a:xfrm flipH="1" flipV="1">
          <a:off x="70883888" y="1042190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540</xdr:row>
      <xdr:rowOff>148442</xdr:rowOff>
    </xdr:from>
    <xdr:to>
      <xdr:col>72</xdr:col>
      <xdr:colOff>756425</xdr:colOff>
      <xdr:row>540</xdr:row>
      <xdr:rowOff>175634</xdr:rowOff>
    </xdr:to>
    <xdr:cxnSp macro="">
      <xdr:nvCxnSpPr>
        <xdr:cNvPr id="196" name="Conector recto de flecha 195"/>
        <xdr:cNvCxnSpPr/>
      </xdr:nvCxnSpPr>
      <xdr:spPr>
        <a:xfrm flipH="1" flipV="1">
          <a:off x="59739563" y="103847117"/>
          <a:ext cx="6967962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540</xdr:row>
      <xdr:rowOff>0</xdr:rowOff>
    </xdr:from>
    <xdr:to>
      <xdr:col>75</xdr:col>
      <xdr:colOff>721446</xdr:colOff>
      <xdr:row>543</xdr:row>
      <xdr:rowOff>134472</xdr:rowOff>
    </xdr:to>
    <xdr:grpSp>
      <xdr:nvGrpSpPr>
        <xdr:cNvPr id="197" name="Grupo 196"/>
        <xdr:cNvGrpSpPr/>
      </xdr:nvGrpSpPr>
      <xdr:grpSpPr>
        <a:xfrm>
          <a:off x="70961250" y="103632000"/>
          <a:ext cx="721446" cy="705972"/>
          <a:chOff x="52088676" y="6928970"/>
          <a:chExt cx="616324" cy="691030"/>
        </a:xfrm>
      </xdr:grpSpPr>
      <xdr:cxnSp macro="">
        <xdr:nvCxnSpPr>
          <xdr:cNvPr id="198" name="Conector recto 197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Conector recto 198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Conector recto 199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569</xdr:row>
      <xdr:rowOff>115455</xdr:rowOff>
    </xdr:from>
    <xdr:to>
      <xdr:col>89</xdr:col>
      <xdr:colOff>528443</xdr:colOff>
      <xdr:row>578</xdr:row>
      <xdr:rowOff>152553</xdr:rowOff>
    </xdr:to>
    <xdr:cxnSp macro="">
      <xdr:nvCxnSpPr>
        <xdr:cNvPr id="201" name="Conector recto de flecha 200"/>
        <xdr:cNvCxnSpPr/>
      </xdr:nvCxnSpPr>
      <xdr:spPr>
        <a:xfrm>
          <a:off x="92822568" y="109338630"/>
          <a:ext cx="2479625" cy="175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563</xdr:row>
      <xdr:rowOff>101022</xdr:rowOff>
    </xdr:from>
    <xdr:to>
      <xdr:col>86</xdr:col>
      <xdr:colOff>3857</xdr:colOff>
      <xdr:row>566</xdr:row>
      <xdr:rowOff>129886</xdr:rowOff>
    </xdr:to>
    <xdr:cxnSp macro="">
      <xdr:nvCxnSpPr>
        <xdr:cNvPr id="202" name="Conector recto de flecha 201"/>
        <xdr:cNvCxnSpPr/>
      </xdr:nvCxnSpPr>
      <xdr:spPr>
        <a:xfrm>
          <a:off x="88837654" y="1081811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1755412</xdr:colOff>
      <xdr:row>352</xdr:row>
      <xdr:rowOff>151608</xdr:rowOff>
    </xdr:from>
    <xdr:to>
      <xdr:col>74</xdr:col>
      <xdr:colOff>1635424</xdr:colOff>
      <xdr:row>357</xdr:row>
      <xdr:rowOff>222003</xdr:rowOff>
    </xdr:to>
    <xdr:cxnSp macro="">
      <xdr:nvCxnSpPr>
        <xdr:cNvPr id="203" name="Conector recto de flecha 202"/>
        <xdr:cNvCxnSpPr/>
      </xdr:nvCxnSpPr>
      <xdr:spPr>
        <a:xfrm flipV="1">
          <a:off x="56162212" y="67883883"/>
          <a:ext cx="14586612" cy="1080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40342</xdr:colOff>
      <xdr:row>359</xdr:row>
      <xdr:rowOff>86591</xdr:rowOff>
    </xdr:from>
    <xdr:to>
      <xdr:col>62</xdr:col>
      <xdr:colOff>1515341</xdr:colOff>
      <xdr:row>360</xdr:row>
      <xdr:rowOff>110379</xdr:rowOff>
    </xdr:to>
    <xdr:cxnSp macro="">
      <xdr:nvCxnSpPr>
        <xdr:cNvPr id="204" name="Conector recto de flecha 203"/>
        <xdr:cNvCxnSpPr/>
      </xdr:nvCxnSpPr>
      <xdr:spPr>
        <a:xfrm flipV="1">
          <a:off x="52904092" y="69304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70036</xdr:colOff>
      <xdr:row>359</xdr:row>
      <xdr:rowOff>84044</xdr:rowOff>
    </xdr:from>
    <xdr:to>
      <xdr:col>59</xdr:col>
      <xdr:colOff>1190624</xdr:colOff>
      <xdr:row>363</xdr:row>
      <xdr:rowOff>140074</xdr:rowOff>
    </xdr:to>
    <xdr:cxnSp macro="">
      <xdr:nvCxnSpPr>
        <xdr:cNvPr id="205" name="Conector recto de flecha 204"/>
        <xdr:cNvCxnSpPr/>
      </xdr:nvCxnSpPr>
      <xdr:spPr>
        <a:xfrm>
          <a:off x="48390361" y="69302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40342</xdr:colOff>
      <xdr:row>354</xdr:row>
      <xdr:rowOff>28015</xdr:rowOff>
    </xdr:from>
    <xdr:to>
      <xdr:col>50</xdr:col>
      <xdr:colOff>994522</xdr:colOff>
      <xdr:row>355</xdr:row>
      <xdr:rowOff>110378</xdr:rowOff>
    </xdr:to>
    <xdr:cxnSp macro="">
      <xdr:nvCxnSpPr>
        <xdr:cNvPr id="206" name="Conector recto de flecha 205"/>
        <xdr:cNvCxnSpPr/>
      </xdr:nvCxnSpPr>
      <xdr:spPr>
        <a:xfrm flipV="1">
          <a:off x="40197742" y="6814129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136045</xdr:colOff>
      <xdr:row>359</xdr:row>
      <xdr:rowOff>26096</xdr:rowOff>
    </xdr:from>
    <xdr:to>
      <xdr:col>57</xdr:col>
      <xdr:colOff>1239555</xdr:colOff>
      <xdr:row>361</xdr:row>
      <xdr:rowOff>18421</xdr:rowOff>
    </xdr:to>
    <xdr:cxnSp macro="">
      <xdr:nvCxnSpPr>
        <xdr:cNvPr id="207" name="Conector recto de flecha 206"/>
        <xdr:cNvCxnSpPr/>
      </xdr:nvCxnSpPr>
      <xdr:spPr>
        <a:xfrm flipV="1">
          <a:off x="46179895" y="69244271"/>
          <a:ext cx="8939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116158</xdr:colOff>
      <xdr:row>353</xdr:row>
      <xdr:rowOff>162622</xdr:rowOff>
    </xdr:from>
    <xdr:to>
      <xdr:col>54</xdr:col>
      <xdr:colOff>1208969</xdr:colOff>
      <xdr:row>360</xdr:row>
      <xdr:rowOff>143657</xdr:rowOff>
    </xdr:to>
    <xdr:cxnSp macro="">
      <xdr:nvCxnSpPr>
        <xdr:cNvPr id="208" name="Conector recto de flecha 207"/>
        <xdr:cNvCxnSpPr/>
      </xdr:nvCxnSpPr>
      <xdr:spPr>
        <a:xfrm>
          <a:off x="42350008" y="68085397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34847</xdr:colOff>
      <xdr:row>354</xdr:row>
      <xdr:rowOff>34847</xdr:rowOff>
    </xdr:from>
    <xdr:to>
      <xdr:col>63</xdr:col>
      <xdr:colOff>1</xdr:colOff>
      <xdr:row>354</xdr:row>
      <xdr:rowOff>35406</xdr:rowOff>
    </xdr:to>
    <xdr:cxnSp macro="">
      <xdr:nvCxnSpPr>
        <xdr:cNvPr id="209" name="Conector recto de flecha 208"/>
        <xdr:cNvCxnSpPr/>
      </xdr:nvCxnSpPr>
      <xdr:spPr>
        <a:xfrm flipH="1" flipV="1">
          <a:off x="52898597" y="68148122"/>
          <a:ext cx="150820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1251323</xdr:colOff>
      <xdr:row>30</xdr:row>
      <xdr:rowOff>130735</xdr:rowOff>
    </xdr:from>
    <xdr:to>
      <xdr:col>80</xdr:col>
      <xdr:colOff>1270000</xdr:colOff>
      <xdr:row>35</xdr:row>
      <xdr:rowOff>130736</xdr:rowOff>
    </xdr:to>
    <xdr:cxnSp macro="">
      <xdr:nvCxnSpPr>
        <xdr:cNvPr id="232" name="Conector recto de flecha 231"/>
        <xdr:cNvCxnSpPr/>
      </xdr:nvCxnSpPr>
      <xdr:spPr>
        <a:xfrm flipH="1" flipV="1">
          <a:off x="81956648" y="61505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20</xdr:row>
      <xdr:rowOff>171450</xdr:rowOff>
    </xdr:from>
    <xdr:to>
      <xdr:col>80</xdr:col>
      <xdr:colOff>19050</xdr:colOff>
      <xdr:row>25</xdr:row>
      <xdr:rowOff>95250</xdr:rowOff>
    </xdr:to>
    <xdr:cxnSp macro="">
      <xdr:nvCxnSpPr>
        <xdr:cNvPr id="233" name="Conector recto de flecha 232"/>
        <xdr:cNvCxnSpPr/>
      </xdr:nvCxnSpPr>
      <xdr:spPr>
        <a:xfrm flipV="1">
          <a:off x="80705325" y="427672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1251323</xdr:colOff>
      <xdr:row>23</xdr:row>
      <xdr:rowOff>130735</xdr:rowOff>
    </xdr:from>
    <xdr:to>
      <xdr:col>75</xdr:col>
      <xdr:colOff>1270000</xdr:colOff>
      <xdr:row>28</xdr:row>
      <xdr:rowOff>130736</xdr:rowOff>
    </xdr:to>
    <xdr:cxnSp macro="">
      <xdr:nvCxnSpPr>
        <xdr:cNvPr id="234" name="Conector recto de flecha 233"/>
        <xdr:cNvCxnSpPr/>
      </xdr:nvCxnSpPr>
      <xdr:spPr>
        <a:xfrm flipH="1" flipV="1">
          <a:off x="72088748" y="4817035"/>
          <a:ext cx="18677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13</xdr:row>
      <xdr:rowOff>171450</xdr:rowOff>
    </xdr:from>
    <xdr:to>
      <xdr:col>75</xdr:col>
      <xdr:colOff>19050</xdr:colOff>
      <xdr:row>18</xdr:row>
      <xdr:rowOff>95250</xdr:rowOff>
    </xdr:to>
    <xdr:cxnSp macro="">
      <xdr:nvCxnSpPr>
        <xdr:cNvPr id="235" name="Conector recto de flecha 234"/>
        <xdr:cNvCxnSpPr/>
      </xdr:nvCxnSpPr>
      <xdr:spPr>
        <a:xfrm flipV="1">
          <a:off x="70837425" y="2657475"/>
          <a:ext cx="190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701</xdr:row>
      <xdr:rowOff>140074</xdr:rowOff>
    </xdr:from>
    <xdr:to>
      <xdr:col>87</xdr:col>
      <xdr:colOff>1106581</xdr:colOff>
      <xdr:row>702</xdr:row>
      <xdr:rowOff>95250</xdr:rowOff>
    </xdr:to>
    <xdr:cxnSp macro="">
      <xdr:nvCxnSpPr>
        <xdr:cNvPr id="239" name="Conector recto de flecha 238"/>
        <xdr:cNvCxnSpPr/>
      </xdr:nvCxnSpPr>
      <xdr:spPr>
        <a:xfrm flipV="1">
          <a:off x="91106625" y="134509249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701</xdr:row>
      <xdr:rowOff>114300</xdr:rowOff>
    </xdr:from>
    <xdr:to>
      <xdr:col>89</xdr:col>
      <xdr:colOff>2095500</xdr:colOff>
      <xdr:row>701</xdr:row>
      <xdr:rowOff>123825</xdr:rowOff>
    </xdr:to>
    <xdr:cxnSp macro="">
      <xdr:nvCxnSpPr>
        <xdr:cNvPr id="240" name="Conector recto de flecha 239"/>
        <xdr:cNvCxnSpPr/>
      </xdr:nvCxnSpPr>
      <xdr:spPr>
        <a:xfrm flipV="1">
          <a:off x="95040450" y="134483475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705</xdr:row>
      <xdr:rowOff>19050</xdr:rowOff>
    </xdr:from>
    <xdr:to>
      <xdr:col>85</xdr:col>
      <xdr:colOff>19050</xdr:colOff>
      <xdr:row>708</xdr:row>
      <xdr:rowOff>168089</xdr:rowOff>
    </xdr:to>
    <xdr:cxnSp macro="">
      <xdr:nvCxnSpPr>
        <xdr:cNvPr id="241" name="Conector recto de flecha 240"/>
        <xdr:cNvCxnSpPr/>
      </xdr:nvCxnSpPr>
      <xdr:spPr>
        <a:xfrm flipV="1">
          <a:off x="84180269" y="13515022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47065</xdr:colOff>
      <xdr:row>697</xdr:row>
      <xdr:rowOff>2802</xdr:rowOff>
    </xdr:from>
    <xdr:to>
      <xdr:col>87</xdr:col>
      <xdr:colOff>1134596</xdr:colOff>
      <xdr:row>700</xdr:row>
      <xdr:rowOff>112059</xdr:rowOff>
    </xdr:to>
    <xdr:cxnSp macro="">
      <xdr:nvCxnSpPr>
        <xdr:cNvPr id="242" name="Conector recto de flecha 241"/>
        <xdr:cNvCxnSpPr/>
      </xdr:nvCxnSpPr>
      <xdr:spPr>
        <a:xfrm>
          <a:off x="91134640" y="1336099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710</xdr:row>
      <xdr:rowOff>86591</xdr:rowOff>
    </xdr:from>
    <xdr:to>
      <xdr:col>80</xdr:col>
      <xdr:colOff>1545106</xdr:colOff>
      <xdr:row>711</xdr:row>
      <xdr:rowOff>110379</xdr:rowOff>
    </xdr:to>
    <xdr:cxnSp macro="">
      <xdr:nvCxnSpPr>
        <xdr:cNvPr id="243" name="Conector recto de flecha 242"/>
        <xdr:cNvCxnSpPr/>
      </xdr:nvCxnSpPr>
      <xdr:spPr>
        <a:xfrm flipV="1">
          <a:off x="80775432" y="1361702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710</xdr:row>
      <xdr:rowOff>84044</xdr:rowOff>
    </xdr:from>
    <xdr:to>
      <xdr:col>77</xdr:col>
      <xdr:colOff>1190624</xdr:colOff>
      <xdr:row>714</xdr:row>
      <xdr:rowOff>140074</xdr:rowOff>
    </xdr:to>
    <xdr:cxnSp macro="">
      <xdr:nvCxnSpPr>
        <xdr:cNvPr id="244" name="Conector recto de flecha 243"/>
        <xdr:cNvCxnSpPr/>
      </xdr:nvCxnSpPr>
      <xdr:spPr>
        <a:xfrm>
          <a:off x="74469811" y="1361677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92927</xdr:colOff>
      <xdr:row>678</xdr:row>
      <xdr:rowOff>92927</xdr:rowOff>
    </xdr:from>
    <xdr:to>
      <xdr:col>84</xdr:col>
      <xdr:colOff>1336116</xdr:colOff>
      <xdr:row>694</xdr:row>
      <xdr:rowOff>161367</xdr:rowOff>
    </xdr:to>
    <xdr:cxnSp macro="">
      <xdr:nvCxnSpPr>
        <xdr:cNvPr id="245" name="Conector recto de flecha 244"/>
        <xdr:cNvCxnSpPr/>
      </xdr:nvCxnSpPr>
      <xdr:spPr>
        <a:xfrm>
          <a:off x="74492702" y="130080602"/>
          <a:ext cx="13120864" cy="3116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111125</xdr:colOff>
      <xdr:row>681</xdr:row>
      <xdr:rowOff>142875</xdr:rowOff>
    </xdr:from>
    <xdr:to>
      <xdr:col>75</xdr:col>
      <xdr:colOff>1587500</xdr:colOff>
      <xdr:row>682</xdr:row>
      <xdr:rowOff>15875</xdr:rowOff>
    </xdr:to>
    <xdr:cxnSp macro="">
      <xdr:nvCxnSpPr>
        <xdr:cNvPr id="246" name="Conector recto de flecha 245"/>
        <xdr:cNvCxnSpPr/>
      </xdr:nvCxnSpPr>
      <xdr:spPr>
        <a:xfrm flipV="1">
          <a:off x="69224525" y="130702050"/>
          <a:ext cx="32004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702</xdr:row>
      <xdr:rowOff>38100</xdr:rowOff>
    </xdr:from>
    <xdr:to>
      <xdr:col>88</xdr:col>
      <xdr:colOff>57150</xdr:colOff>
      <xdr:row>706</xdr:row>
      <xdr:rowOff>38100</xdr:rowOff>
    </xdr:to>
    <xdr:cxnSp macro="">
      <xdr:nvCxnSpPr>
        <xdr:cNvPr id="247" name="Conector recto de flecha 246"/>
        <xdr:cNvCxnSpPr/>
      </xdr:nvCxnSpPr>
      <xdr:spPr>
        <a:xfrm flipV="1">
          <a:off x="91125675" y="134597775"/>
          <a:ext cx="16097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703</xdr:row>
      <xdr:rowOff>152400</xdr:rowOff>
    </xdr:from>
    <xdr:to>
      <xdr:col>88</xdr:col>
      <xdr:colOff>19050</xdr:colOff>
      <xdr:row>710</xdr:row>
      <xdr:rowOff>95250</xdr:rowOff>
    </xdr:to>
    <xdr:cxnSp macro="">
      <xdr:nvCxnSpPr>
        <xdr:cNvPr id="248" name="Conector recto de flecha 247"/>
        <xdr:cNvCxnSpPr/>
      </xdr:nvCxnSpPr>
      <xdr:spPr>
        <a:xfrm flipV="1">
          <a:off x="92697300" y="1349025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702</xdr:row>
      <xdr:rowOff>114300</xdr:rowOff>
    </xdr:from>
    <xdr:to>
      <xdr:col>88</xdr:col>
      <xdr:colOff>590550</xdr:colOff>
      <xdr:row>715</xdr:row>
      <xdr:rowOff>114300</xdr:rowOff>
    </xdr:to>
    <xdr:cxnSp macro="">
      <xdr:nvCxnSpPr>
        <xdr:cNvPr id="249" name="Conector recto de flecha 248"/>
        <xdr:cNvCxnSpPr/>
      </xdr:nvCxnSpPr>
      <xdr:spPr>
        <a:xfrm flipV="1">
          <a:off x="92716350" y="1346739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326573</xdr:colOff>
      <xdr:row>670</xdr:row>
      <xdr:rowOff>27213</xdr:rowOff>
    </xdr:from>
    <xdr:to>
      <xdr:col>86</xdr:col>
      <xdr:colOff>27215</xdr:colOff>
      <xdr:row>716</xdr:row>
      <xdr:rowOff>81646</xdr:rowOff>
    </xdr:to>
    <xdr:cxnSp macro="">
      <xdr:nvCxnSpPr>
        <xdr:cNvPr id="250" name="Conector angular 249"/>
        <xdr:cNvCxnSpPr/>
      </xdr:nvCxnSpPr>
      <xdr:spPr>
        <a:xfrm>
          <a:off x="62086673" y="128490888"/>
          <a:ext cx="27732717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136634</xdr:colOff>
      <xdr:row>671</xdr:row>
      <xdr:rowOff>108127</xdr:rowOff>
    </xdr:from>
    <xdr:to>
      <xdr:col>85</xdr:col>
      <xdr:colOff>958247</xdr:colOff>
      <xdr:row>716</xdr:row>
      <xdr:rowOff>46691</xdr:rowOff>
    </xdr:to>
    <xdr:cxnSp macro="">
      <xdr:nvCxnSpPr>
        <xdr:cNvPr id="251" name="Conector angular 250"/>
        <xdr:cNvCxnSpPr/>
      </xdr:nvCxnSpPr>
      <xdr:spPr>
        <a:xfrm>
          <a:off x="57372359" y="128762302"/>
          <a:ext cx="31196838" cy="8511064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711</xdr:row>
      <xdr:rowOff>81311</xdr:rowOff>
    </xdr:from>
    <xdr:to>
      <xdr:col>85</xdr:col>
      <xdr:colOff>1033811</xdr:colOff>
      <xdr:row>711</xdr:row>
      <xdr:rowOff>92927</xdr:rowOff>
    </xdr:to>
    <xdr:cxnSp macro="">
      <xdr:nvCxnSpPr>
        <xdr:cNvPr id="252" name="Conector recto de flecha 251"/>
        <xdr:cNvCxnSpPr/>
      </xdr:nvCxnSpPr>
      <xdr:spPr>
        <a:xfrm>
          <a:off x="87669029" y="1363554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1022195</xdr:colOff>
      <xdr:row>707</xdr:row>
      <xdr:rowOff>71088</xdr:rowOff>
    </xdr:from>
    <xdr:to>
      <xdr:col>85</xdr:col>
      <xdr:colOff>1393</xdr:colOff>
      <xdr:row>709</xdr:row>
      <xdr:rowOff>58079</xdr:rowOff>
    </xdr:to>
    <xdr:cxnSp macro="">
      <xdr:nvCxnSpPr>
        <xdr:cNvPr id="253" name="Conector recto de flecha 252"/>
        <xdr:cNvCxnSpPr/>
      </xdr:nvCxnSpPr>
      <xdr:spPr>
        <a:xfrm flipV="1">
          <a:off x="87566345" y="135583263"/>
          <a:ext cx="45998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46463</xdr:colOff>
      <xdr:row>664</xdr:row>
      <xdr:rowOff>139390</xdr:rowOff>
    </xdr:from>
    <xdr:to>
      <xdr:col>76</xdr:col>
      <xdr:colOff>766647</xdr:colOff>
      <xdr:row>674</xdr:row>
      <xdr:rowOff>162622</xdr:rowOff>
    </xdr:to>
    <xdr:cxnSp macro="">
      <xdr:nvCxnSpPr>
        <xdr:cNvPr id="254" name="Conector recto de flecha 253"/>
        <xdr:cNvCxnSpPr/>
      </xdr:nvCxnSpPr>
      <xdr:spPr>
        <a:xfrm flipH="1" flipV="1">
          <a:off x="69159863" y="127460065"/>
          <a:ext cx="4634959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136074</xdr:colOff>
      <xdr:row>660</xdr:row>
      <xdr:rowOff>136073</xdr:rowOff>
    </xdr:from>
    <xdr:to>
      <xdr:col>71</xdr:col>
      <xdr:colOff>1814286</xdr:colOff>
      <xdr:row>663</xdr:row>
      <xdr:rowOff>90714</xdr:rowOff>
    </xdr:to>
    <xdr:cxnSp macro="">
      <xdr:nvCxnSpPr>
        <xdr:cNvPr id="255" name="Conector recto de flecha 254"/>
        <xdr:cNvCxnSpPr/>
      </xdr:nvCxnSpPr>
      <xdr:spPr>
        <a:xfrm flipH="1" flipV="1">
          <a:off x="58733874" y="126694748"/>
          <a:ext cx="7031262" cy="526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662</xdr:row>
      <xdr:rowOff>0</xdr:rowOff>
    </xdr:from>
    <xdr:to>
      <xdr:col>74</xdr:col>
      <xdr:colOff>721446</xdr:colOff>
      <xdr:row>665</xdr:row>
      <xdr:rowOff>134472</xdr:rowOff>
    </xdr:to>
    <xdr:grpSp>
      <xdr:nvGrpSpPr>
        <xdr:cNvPr id="256" name="Grupo 255"/>
        <xdr:cNvGrpSpPr/>
      </xdr:nvGrpSpPr>
      <xdr:grpSpPr>
        <a:xfrm>
          <a:off x="69246750" y="126873000"/>
          <a:ext cx="721446" cy="705972"/>
          <a:chOff x="52088676" y="6928970"/>
          <a:chExt cx="616324" cy="691030"/>
        </a:xfrm>
      </xdr:grpSpPr>
      <xdr:cxnSp macro="">
        <xdr:nvCxnSpPr>
          <xdr:cNvPr id="257" name="Conector recto 256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Conector recto 257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Conector recto 258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87</xdr:col>
      <xdr:colOff>1226704</xdr:colOff>
      <xdr:row>684</xdr:row>
      <xdr:rowOff>101022</xdr:rowOff>
    </xdr:from>
    <xdr:to>
      <xdr:col>88</xdr:col>
      <xdr:colOff>3857</xdr:colOff>
      <xdr:row>687</xdr:row>
      <xdr:rowOff>129886</xdr:rowOff>
    </xdr:to>
    <xdr:cxnSp macro="">
      <xdr:nvCxnSpPr>
        <xdr:cNvPr id="260" name="Conector recto de flecha 259"/>
        <xdr:cNvCxnSpPr/>
      </xdr:nvCxnSpPr>
      <xdr:spPr>
        <a:xfrm>
          <a:off x="92314279" y="131231697"/>
          <a:ext cx="36782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607579</xdr:colOff>
      <xdr:row>485</xdr:row>
      <xdr:rowOff>12122</xdr:rowOff>
    </xdr:from>
    <xdr:to>
      <xdr:col>89</xdr:col>
      <xdr:colOff>222932</xdr:colOff>
      <xdr:row>488</xdr:row>
      <xdr:rowOff>40986</xdr:rowOff>
    </xdr:to>
    <xdr:cxnSp macro="">
      <xdr:nvCxnSpPr>
        <xdr:cNvPr id="261" name="Conector recto de flecha 260"/>
        <xdr:cNvCxnSpPr/>
      </xdr:nvCxnSpPr>
      <xdr:spPr>
        <a:xfrm>
          <a:off x="93285829" y="93233297"/>
          <a:ext cx="1710853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438150</xdr:colOff>
      <xdr:row>692</xdr:row>
      <xdr:rowOff>114300</xdr:rowOff>
    </xdr:from>
    <xdr:to>
      <xdr:col>88</xdr:col>
      <xdr:colOff>476250</xdr:colOff>
      <xdr:row>699</xdr:row>
      <xdr:rowOff>0</xdr:rowOff>
    </xdr:to>
    <xdr:cxnSp macro="">
      <xdr:nvCxnSpPr>
        <xdr:cNvPr id="262" name="Conector recto de flecha 261"/>
        <xdr:cNvCxnSpPr/>
      </xdr:nvCxnSpPr>
      <xdr:spPr>
        <a:xfrm flipH="1">
          <a:off x="93116400" y="132768975"/>
          <a:ext cx="381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776</xdr:row>
      <xdr:rowOff>114300</xdr:rowOff>
    </xdr:from>
    <xdr:to>
      <xdr:col>87</xdr:col>
      <xdr:colOff>1466850</xdr:colOff>
      <xdr:row>777</xdr:row>
      <xdr:rowOff>95250</xdr:rowOff>
    </xdr:to>
    <xdr:cxnSp macro="">
      <xdr:nvCxnSpPr>
        <xdr:cNvPr id="263" name="Conector recto de flecha 262"/>
        <xdr:cNvCxnSpPr/>
      </xdr:nvCxnSpPr>
      <xdr:spPr>
        <a:xfrm flipV="1">
          <a:off x="91106625" y="148770975"/>
          <a:ext cx="14478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266700</xdr:colOff>
      <xdr:row>776</xdr:row>
      <xdr:rowOff>114300</xdr:rowOff>
    </xdr:from>
    <xdr:to>
      <xdr:col>89</xdr:col>
      <xdr:colOff>2095500</xdr:colOff>
      <xdr:row>776</xdr:row>
      <xdr:rowOff>123825</xdr:rowOff>
    </xdr:to>
    <xdr:cxnSp macro="">
      <xdr:nvCxnSpPr>
        <xdr:cNvPr id="264" name="Conector recto de flecha 263"/>
        <xdr:cNvCxnSpPr/>
      </xdr:nvCxnSpPr>
      <xdr:spPr>
        <a:xfrm flipV="1">
          <a:off x="95040450" y="148770975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84044</xdr:colOff>
      <xdr:row>780</xdr:row>
      <xdr:rowOff>19050</xdr:rowOff>
    </xdr:from>
    <xdr:to>
      <xdr:col>85</xdr:col>
      <xdr:colOff>19050</xdr:colOff>
      <xdr:row>783</xdr:row>
      <xdr:rowOff>168089</xdr:rowOff>
    </xdr:to>
    <xdr:cxnSp macro="">
      <xdr:nvCxnSpPr>
        <xdr:cNvPr id="265" name="Conector recto de flecha 264"/>
        <xdr:cNvCxnSpPr/>
      </xdr:nvCxnSpPr>
      <xdr:spPr>
        <a:xfrm flipV="1">
          <a:off x="84180269" y="149437725"/>
          <a:ext cx="34497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70107</xdr:colOff>
      <xdr:row>785</xdr:row>
      <xdr:rowOff>86591</xdr:rowOff>
    </xdr:from>
    <xdr:to>
      <xdr:col>80</xdr:col>
      <xdr:colOff>1545106</xdr:colOff>
      <xdr:row>786</xdr:row>
      <xdr:rowOff>110379</xdr:rowOff>
    </xdr:to>
    <xdr:cxnSp macro="">
      <xdr:nvCxnSpPr>
        <xdr:cNvPr id="266" name="Conector recto de flecha 265"/>
        <xdr:cNvCxnSpPr/>
      </xdr:nvCxnSpPr>
      <xdr:spPr>
        <a:xfrm flipV="1">
          <a:off x="80775432" y="1504577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70036</xdr:colOff>
      <xdr:row>785</xdr:row>
      <xdr:rowOff>84044</xdr:rowOff>
    </xdr:from>
    <xdr:to>
      <xdr:col>77</xdr:col>
      <xdr:colOff>1190624</xdr:colOff>
      <xdr:row>789</xdr:row>
      <xdr:rowOff>140074</xdr:rowOff>
    </xdr:to>
    <xdr:cxnSp macro="">
      <xdr:nvCxnSpPr>
        <xdr:cNvPr id="267" name="Conector recto de flecha 266"/>
        <xdr:cNvCxnSpPr/>
      </xdr:nvCxnSpPr>
      <xdr:spPr>
        <a:xfrm>
          <a:off x="74469811" y="1504552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778</xdr:row>
      <xdr:rowOff>152400</xdr:rowOff>
    </xdr:from>
    <xdr:to>
      <xdr:col>88</xdr:col>
      <xdr:colOff>19050</xdr:colOff>
      <xdr:row>785</xdr:row>
      <xdr:rowOff>95250</xdr:rowOff>
    </xdr:to>
    <xdr:cxnSp macro="">
      <xdr:nvCxnSpPr>
        <xdr:cNvPr id="268" name="Conector recto de flecha 267"/>
        <xdr:cNvCxnSpPr/>
      </xdr:nvCxnSpPr>
      <xdr:spPr>
        <a:xfrm flipV="1">
          <a:off x="92697300" y="1491900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782</xdr:row>
      <xdr:rowOff>95250</xdr:rowOff>
    </xdr:from>
    <xdr:to>
      <xdr:col>88</xdr:col>
      <xdr:colOff>762000</xdr:colOff>
      <xdr:row>790</xdr:row>
      <xdr:rowOff>114300</xdr:rowOff>
    </xdr:to>
    <xdr:cxnSp macro="">
      <xdr:nvCxnSpPr>
        <xdr:cNvPr id="269" name="Conector recto de flecha 268"/>
        <xdr:cNvCxnSpPr/>
      </xdr:nvCxnSpPr>
      <xdr:spPr>
        <a:xfrm flipV="1">
          <a:off x="92716350" y="149894925"/>
          <a:ext cx="72390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786</xdr:row>
      <xdr:rowOff>76200</xdr:rowOff>
    </xdr:from>
    <xdr:to>
      <xdr:col>85</xdr:col>
      <xdr:colOff>2076450</xdr:colOff>
      <xdr:row>786</xdr:row>
      <xdr:rowOff>81311</xdr:rowOff>
    </xdr:to>
    <xdr:cxnSp macro="">
      <xdr:nvCxnSpPr>
        <xdr:cNvPr id="270" name="Conector recto de flecha 269"/>
        <xdr:cNvCxnSpPr/>
      </xdr:nvCxnSpPr>
      <xdr:spPr>
        <a:xfrm flipV="1">
          <a:off x="87669029" y="150637875"/>
          <a:ext cx="2018371" cy="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791</xdr:row>
      <xdr:rowOff>81311</xdr:rowOff>
    </xdr:from>
    <xdr:to>
      <xdr:col>85</xdr:col>
      <xdr:colOff>1962150</xdr:colOff>
      <xdr:row>791</xdr:row>
      <xdr:rowOff>133350</xdr:rowOff>
    </xdr:to>
    <xdr:cxnSp macro="">
      <xdr:nvCxnSpPr>
        <xdr:cNvPr id="271" name="Conector recto de flecha 270"/>
        <xdr:cNvCxnSpPr/>
      </xdr:nvCxnSpPr>
      <xdr:spPr>
        <a:xfrm>
          <a:off x="87669029" y="151595486"/>
          <a:ext cx="1904071" cy="52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48</xdr:row>
      <xdr:rowOff>140074</xdr:rowOff>
    </xdr:from>
    <xdr:to>
      <xdr:col>86</xdr:col>
      <xdr:colOff>1106581</xdr:colOff>
      <xdr:row>49</xdr:row>
      <xdr:rowOff>95250</xdr:rowOff>
    </xdr:to>
    <xdr:cxnSp macro="">
      <xdr:nvCxnSpPr>
        <xdr:cNvPr id="2" name="Conector recto de flecha 1"/>
        <xdr:cNvCxnSpPr/>
      </xdr:nvCxnSpPr>
      <xdr:spPr>
        <a:xfrm flipV="1">
          <a:off x="78181200" y="9331699"/>
          <a:ext cx="1087531" cy="240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48</xdr:row>
      <xdr:rowOff>104775</xdr:rowOff>
    </xdr:from>
    <xdr:to>
      <xdr:col>88</xdr:col>
      <xdr:colOff>742950</xdr:colOff>
      <xdr:row>48</xdr:row>
      <xdr:rowOff>104775</xdr:rowOff>
    </xdr:to>
    <xdr:cxnSp macro="">
      <xdr:nvCxnSpPr>
        <xdr:cNvPr id="3" name="Conector recto de flecha 2"/>
        <xdr:cNvCxnSpPr/>
      </xdr:nvCxnSpPr>
      <xdr:spPr>
        <a:xfrm>
          <a:off x="80352900" y="92964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52</xdr:row>
      <xdr:rowOff>133351</xdr:rowOff>
    </xdr:from>
    <xdr:to>
      <xdr:col>84</xdr:col>
      <xdr:colOff>276225</xdr:colOff>
      <xdr:row>55</xdr:row>
      <xdr:rowOff>168088</xdr:rowOff>
    </xdr:to>
    <xdr:cxnSp macro="">
      <xdr:nvCxnSpPr>
        <xdr:cNvPr id="4" name="Conector recto de flecha 3"/>
        <xdr:cNvCxnSpPr/>
      </xdr:nvCxnSpPr>
      <xdr:spPr>
        <a:xfrm flipV="1">
          <a:off x="71521544" y="10182226"/>
          <a:ext cx="3668806" cy="6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43</xdr:row>
      <xdr:rowOff>193302</xdr:rowOff>
    </xdr:from>
    <xdr:to>
      <xdr:col>86</xdr:col>
      <xdr:colOff>1134596</xdr:colOff>
      <xdr:row>47</xdr:row>
      <xdr:rowOff>112059</xdr:rowOff>
    </xdr:to>
    <xdr:cxnSp macro="">
      <xdr:nvCxnSpPr>
        <xdr:cNvPr id="5" name="Conector recto de flecha 4"/>
        <xdr:cNvCxnSpPr/>
      </xdr:nvCxnSpPr>
      <xdr:spPr>
        <a:xfrm>
          <a:off x="78209215" y="8384802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53</xdr:row>
      <xdr:rowOff>0</xdr:rowOff>
    </xdr:from>
    <xdr:to>
      <xdr:col>79</xdr:col>
      <xdr:colOff>1472045</xdr:colOff>
      <xdr:row>56</xdr:row>
      <xdr:rowOff>0</xdr:rowOff>
    </xdr:to>
    <xdr:cxnSp macro="">
      <xdr:nvCxnSpPr>
        <xdr:cNvPr id="6" name="Conector recto de flecha 5"/>
        <xdr:cNvCxnSpPr/>
      </xdr:nvCxnSpPr>
      <xdr:spPr>
        <a:xfrm>
          <a:off x="67840412" y="10239375"/>
          <a:ext cx="140200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57</xdr:row>
      <xdr:rowOff>86591</xdr:rowOff>
    </xdr:from>
    <xdr:to>
      <xdr:col>79</xdr:col>
      <xdr:colOff>1515341</xdr:colOff>
      <xdr:row>58</xdr:row>
      <xdr:rowOff>110379</xdr:rowOff>
    </xdr:to>
    <xdr:cxnSp macro="">
      <xdr:nvCxnSpPr>
        <xdr:cNvPr id="7" name="Conector recto de flecha 6"/>
        <xdr:cNvCxnSpPr/>
      </xdr:nvCxnSpPr>
      <xdr:spPr>
        <a:xfrm flipV="1">
          <a:off x="67810717" y="110879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57</xdr:row>
      <xdr:rowOff>84044</xdr:rowOff>
    </xdr:from>
    <xdr:to>
      <xdr:col>76</xdr:col>
      <xdr:colOff>1190624</xdr:colOff>
      <xdr:row>61</xdr:row>
      <xdr:rowOff>140074</xdr:rowOff>
    </xdr:to>
    <xdr:cxnSp macro="">
      <xdr:nvCxnSpPr>
        <xdr:cNvPr id="8" name="Conector recto de flecha 7"/>
        <xdr:cNvCxnSpPr/>
      </xdr:nvCxnSpPr>
      <xdr:spPr>
        <a:xfrm>
          <a:off x="63735136" y="110854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53</xdr:row>
      <xdr:rowOff>0</xdr:rowOff>
    </xdr:from>
    <xdr:to>
      <xdr:col>74</xdr:col>
      <xdr:colOff>1200411</xdr:colOff>
      <xdr:row>56</xdr:row>
      <xdr:rowOff>39144</xdr:rowOff>
    </xdr:to>
    <xdr:cxnSp macro="">
      <xdr:nvCxnSpPr>
        <xdr:cNvPr id="9" name="Conector recto de flecha 8"/>
        <xdr:cNvCxnSpPr/>
      </xdr:nvCxnSpPr>
      <xdr:spPr>
        <a:xfrm>
          <a:off x="60210887" y="10239375"/>
          <a:ext cx="1130374" cy="610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58</xdr:row>
      <xdr:rowOff>95092</xdr:rowOff>
    </xdr:from>
    <xdr:to>
      <xdr:col>65</xdr:col>
      <xdr:colOff>296916</xdr:colOff>
      <xdr:row>61</xdr:row>
      <xdr:rowOff>80493</xdr:rowOff>
    </xdr:to>
    <xdr:cxnSp macro="">
      <xdr:nvCxnSpPr>
        <xdr:cNvPr id="10" name="Conector recto de flecha 9"/>
        <xdr:cNvCxnSpPr/>
      </xdr:nvCxnSpPr>
      <xdr:spPr>
        <a:xfrm flipV="1">
          <a:off x="50583787" y="11286967"/>
          <a:ext cx="890954" cy="55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51</xdr:row>
      <xdr:rowOff>14008</xdr:rowOff>
    </xdr:from>
    <xdr:to>
      <xdr:col>71</xdr:col>
      <xdr:colOff>602316</xdr:colOff>
      <xdr:row>51</xdr:row>
      <xdr:rowOff>70038</xdr:rowOff>
    </xdr:to>
    <xdr:cxnSp macro="">
      <xdr:nvCxnSpPr>
        <xdr:cNvPr id="11" name="Conector recto de flecha 10"/>
        <xdr:cNvCxnSpPr/>
      </xdr:nvCxnSpPr>
      <xdr:spPr>
        <a:xfrm>
          <a:off x="54988946" y="9872383"/>
          <a:ext cx="1944220" cy="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48</xdr:row>
      <xdr:rowOff>0</xdr:rowOff>
    </xdr:from>
    <xdr:to>
      <xdr:col>67</xdr:col>
      <xdr:colOff>994523</xdr:colOff>
      <xdr:row>50</xdr:row>
      <xdr:rowOff>168089</xdr:rowOff>
    </xdr:to>
    <xdr:cxnSp macro="">
      <xdr:nvCxnSpPr>
        <xdr:cNvPr id="12" name="Conector recto de flecha 11"/>
        <xdr:cNvCxnSpPr/>
      </xdr:nvCxnSpPr>
      <xdr:spPr>
        <a:xfrm>
          <a:off x="52867112" y="9191625"/>
          <a:ext cx="695886" cy="644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52</xdr:row>
      <xdr:rowOff>28015</xdr:rowOff>
    </xdr:from>
    <xdr:to>
      <xdr:col>67</xdr:col>
      <xdr:colOff>994522</xdr:colOff>
      <xdr:row>53</xdr:row>
      <xdr:rowOff>110378</xdr:rowOff>
    </xdr:to>
    <xdr:cxnSp macro="">
      <xdr:nvCxnSpPr>
        <xdr:cNvPr id="13" name="Conector recto de flecha 12"/>
        <xdr:cNvCxnSpPr/>
      </xdr:nvCxnSpPr>
      <xdr:spPr>
        <a:xfrm flipV="1">
          <a:off x="52837417" y="1007689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45</xdr:row>
      <xdr:rowOff>94361</xdr:rowOff>
    </xdr:from>
    <xdr:to>
      <xdr:col>64</xdr:col>
      <xdr:colOff>575956</xdr:colOff>
      <xdr:row>45</xdr:row>
      <xdr:rowOff>110011</xdr:rowOff>
    </xdr:to>
    <xdr:cxnSp macro="">
      <xdr:nvCxnSpPr>
        <xdr:cNvPr id="14" name="Conector recto de flecha 13"/>
        <xdr:cNvCxnSpPr/>
      </xdr:nvCxnSpPr>
      <xdr:spPr>
        <a:xfrm flipV="1">
          <a:off x="49872764" y="8666861"/>
          <a:ext cx="1233317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45</xdr:row>
      <xdr:rowOff>89802</xdr:rowOff>
    </xdr:from>
    <xdr:to>
      <xdr:col>61</xdr:col>
      <xdr:colOff>596300</xdr:colOff>
      <xdr:row>45</xdr:row>
      <xdr:rowOff>104384</xdr:rowOff>
    </xdr:to>
    <xdr:cxnSp macro="">
      <xdr:nvCxnSpPr>
        <xdr:cNvPr id="15" name="Conector recto de flecha 14"/>
        <xdr:cNvCxnSpPr/>
      </xdr:nvCxnSpPr>
      <xdr:spPr>
        <a:xfrm flipV="1">
          <a:off x="46779363" y="8662302"/>
          <a:ext cx="1280012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57</xdr:row>
      <xdr:rowOff>26096</xdr:rowOff>
    </xdr:from>
    <xdr:to>
      <xdr:col>74</xdr:col>
      <xdr:colOff>1239555</xdr:colOff>
      <xdr:row>59</xdr:row>
      <xdr:rowOff>18421</xdr:rowOff>
    </xdr:to>
    <xdr:cxnSp macro="">
      <xdr:nvCxnSpPr>
        <xdr:cNvPr id="16" name="Conector recto de flecha 15"/>
        <xdr:cNvCxnSpPr/>
      </xdr:nvCxnSpPr>
      <xdr:spPr>
        <a:xfrm flipV="1">
          <a:off x="60276895" y="110274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47</xdr:row>
      <xdr:rowOff>39144</xdr:rowOff>
    </xdr:from>
    <xdr:to>
      <xdr:col>76</xdr:col>
      <xdr:colOff>1343939</xdr:colOff>
      <xdr:row>48</xdr:row>
      <xdr:rowOff>182672</xdr:rowOff>
    </xdr:to>
    <xdr:cxnSp macro="">
      <xdr:nvCxnSpPr>
        <xdr:cNvPr id="17" name="Conector recto de flecha 16"/>
        <xdr:cNvCxnSpPr/>
      </xdr:nvCxnSpPr>
      <xdr:spPr>
        <a:xfrm>
          <a:off x="63782532" y="8992644"/>
          <a:ext cx="1226507" cy="38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63</xdr:row>
      <xdr:rowOff>119062</xdr:rowOff>
    </xdr:from>
    <xdr:to>
      <xdr:col>73</xdr:col>
      <xdr:colOff>1607344</xdr:colOff>
      <xdr:row>70</xdr:row>
      <xdr:rowOff>166687</xdr:rowOff>
    </xdr:to>
    <xdr:cxnSp macro="">
      <xdr:nvCxnSpPr>
        <xdr:cNvPr id="18" name="Conector recto de flecha 17"/>
        <xdr:cNvCxnSpPr/>
      </xdr:nvCxnSpPr>
      <xdr:spPr>
        <a:xfrm flipH="1" flipV="1">
          <a:off x="58935939" y="122634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63</xdr:row>
      <xdr:rowOff>155272</xdr:rowOff>
    </xdr:from>
    <xdr:to>
      <xdr:col>73</xdr:col>
      <xdr:colOff>337779</xdr:colOff>
      <xdr:row>70</xdr:row>
      <xdr:rowOff>59531</xdr:rowOff>
    </xdr:to>
    <xdr:cxnSp macro="">
      <xdr:nvCxnSpPr>
        <xdr:cNvPr id="19" name="Conector recto de flecha 18"/>
        <xdr:cNvCxnSpPr/>
      </xdr:nvCxnSpPr>
      <xdr:spPr>
        <a:xfrm flipV="1">
          <a:off x="57626250" y="12299647"/>
          <a:ext cx="1052154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50</xdr:row>
      <xdr:rowOff>0</xdr:rowOff>
    </xdr:from>
    <xdr:to>
      <xdr:col>61</xdr:col>
      <xdr:colOff>728383</xdr:colOff>
      <xdr:row>53</xdr:row>
      <xdr:rowOff>37353</xdr:rowOff>
    </xdr:to>
    <xdr:cxnSp macro="">
      <xdr:nvCxnSpPr>
        <xdr:cNvPr id="20" name="Conector recto de flecha 19"/>
        <xdr:cNvCxnSpPr/>
      </xdr:nvCxnSpPr>
      <xdr:spPr>
        <a:xfrm flipH="1">
          <a:off x="46775780" y="9667875"/>
          <a:ext cx="1415678" cy="608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50</xdr:row>
      <xdr:rowOff>77693</xdr:rowOff>
    </xdr:from>
    <xdr:to>
      <xdr:col>61</xdr:col>
      <xdr:colOff>283135</xdr:colOff>
      <xdr:row>54</xdr:row>
      <xdr:rowOff>21665</xdr:rowOff>
    </xdr:to>
    <xdr:grpSp>
      <xdr:nvGrpSpPr>
        <xdr:cNvPr id="21" name="Grupo 20"/>
        <xdr:cNvGrpSpPr/>
      </xdr:nvGrpSpPr>
      <xdr:grpSpPr>
        <a:xfrm>
          <a:off x="48724296" y="9793193"/>
          <a:ext cx="612589" cy="705972"/>
          <a:chOff x="52088676" y="6928970"/>
          <a:chExt cx="616324" cy="691030"/>
        </a:xfrm>
      </xdr:grpSpPr>
      <xdr:cxnSp macro="">
        <xdr:nvCxnSpPr>
          <xdr:cNvPr id="22" name="Conector recto 2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57</xdr:row>
      <xdr:rowOff>112058</xdr:rowOff>
    </xdr:from>
    <xdr:to>
      <xdr:col>70</xdr:col>
      <xdr:colOff>635000</xdr:colOff>
      <xdr:row>70</xdr:row>
      <xdr:rowOff>130735</xdr:rowOff>
    </xdr:to>
    <xdr:cxnSp macro="">
      <xdr:nvCxnSpPr>
        <xdr:cNvPr id="25" name="Conector angular 24"/>
        <xdr:cNvCxnSpPr/>
      </xdr:nvCxnSpPr>
      <xdr:spPr>
        <a:xfrm>
          <a:off x="45318083" y="11113433"/>
          <a:ext cx="10885767" cy="2495177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35</xdr:row>
      <xdr:rowOff>112059</xdr:rowOff>
    </xdr:from>
    <xdr:to>
      <xdr:col>83</xdr:col>
      <xdr:colOff>1336116</xdr:colOff>
      <xdr:row>41</xdr:row>
      <xdr:rowOff>161367</xdr:rowOff>
    </xdr:to>
    <xdr:cxnSp macro="">
      <xdr:nvCxnSpPr>
        <xdr:cNvPr id="26" name="Conector recto de flecha 25"/>
        <xdr:cNvCxnSpPr/>
      </xdr:nvCxnSpPr>
      <xdr:spPr>
        <a:xfrm>
          <a:off x="71586912" y="6779559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32</xdr:row>
      <xdr:rowOff>0</xdr:rowOff>
    </xdr:from>
    <xdr:to>
      <xdr:col>79</xdr:col>
      <xdr:colOff>1494118</xdr:colOff>
      <xdr:row>35</xdr:row>
      <xdr:rowOff>18676</xdr:rowOff>
    </xdr:to>
    <xdr:cxnSp macro="">
      <xdr:nvCxnSpPr>
        <xdr:cNvPr id="27" name="Conector recto de flecha 26"/>
        <xdr:cNvCxnSpPr/>
      </xdr:nvCxnSpPr>
      <xdr:spPr>
        <a:xfrm>
          <a:off x="67840412" y="60960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35</xdr:row>
      <xdr:rowOff>168088</xdr:rowOff>
    </xdr:from>
    <xdr:to>
      <xdr:col>79</xdr:col>
      <xdr:colOff>1494118</xdr:colOff>
      <xdr:row>37</xdr:row>
      <xdr:rowOff>110378</xdr:rowOff>
    </xdr:to>
    <xdr:cxnSp macro="">
      <xdr:nvCxnSpPr>
        <xdr:cNvPr id="28" name="Conector recto de flecha 27"/>
        <xdr:cNvCxnSpPr/>
      </xdr:nvCxnSpPr>
      <xdr:spPr>
        <a:xfrm flipV="1">
          <a:off x="67810717" y="6835588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38</xdr:row>
      <xdr:rowOff>155864</xdr:rowOff>
    </xdr:from>
    <xdr:to>
      <xdr:col>76</xdr:col>
      <xdr:colOff>1333500</xdr:colOff>
      <xdr:row>39</xdr:row>
      <xdr:rowOff>138545</xdr:rowOff>
    </xdr:to>
    <xdr:cxnSp macro="">
      <xdr:nvCxnSpPr>
        <xdr:cNvPr id="29" name="Conector recto de flecha 28"/>
        <xdr:cNvCxnSpPr/>
      </xdr:nvCxnSpPr>
      <xdr:spPr>
        <a:xfrm>
          <a:off x="63734373" y="73948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28</xdr:row>
      <xdr:rowOff>111724</xdr:rowOff>
    </xdr:from>
    <xdr:to>
      <xdr:col>76</xdr:col>
      <xdr:colOff>1335189</xdr:colOff>
      <xdr:row>29</xdr:row>
      <xdr:rowOff>94405</xdr:rowOff>
    </xdr:to>
    <xdr:cxnSp macro="">
      <xdr:nvCxnSpPr>
        <xdr:cNvPr id="30" name="Conector recto de flecha 29"/>
        <xdr:cNvCxnSpPr/>
      </xdr:nvCxnSpPr>
      <xdr:spPr>
        <a:xfrm>
          <a:off x="63736062" y="54457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28</xdr:row>
      <xdr:rowOff>82789</xdr:rowOff>
    </xdr:from>
    <xdr:to>
      <xdr:col>74</xdr:col>
      <xdr:colOff>1265493</xdr:colOff>
      <xdr:row>29</xdr:row>
      <xdr:rowOff>69695</xdr:rowOff>
    </xdr:to>
    <xdr:cxnSp macro="">
      <xdr:nvCxnSpPr>
        <xdr:cNvPr id="31" name="Conector recto de flecha 30"/>
        <xdr:cNvCxnSpPr/>
      </xdr:nvCxnSpPr>
      <xdr:spPr>
        <a:xfrm flipV="1">
          <a:off x="60198929" y="54167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27</xdr:row>
      <xdr:rowOff>177209</xdr:rowOff>
    </xdr:from>
    <xdr:to>
      <xdr:col>70</xdr:col>
      <xdr:colOff>728773</xdr:colOff>
      <xdr:row>28</xdr:row>
      <xdr:rowOff>5638</xdr:rowOff>
    </xdr:to>
    <xdr:cxnSp macro="">
      <xdr:nvCxnSpPr>
        <xdr:cNvPr id="32" name="Conector recto de flecha 31"/>
        <xdr:cNvCxnSpPr/>
      </xdr:nvCxnSpPr>
      <xdr:spPr>
        <a:xfrm>
          <a:off x="55602077" y="5320709"/>
          <a:ext cx="695546" cy="18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84</xdr:row>
      <xdr:rowOff>140074</xdr:rowOff>
    </xdr:from>
    <xdr:to>
      <xdr:col>89</xdr:col>
      <xdr:colOff>1106581</xdr:colOff>
      <xdr:row>85</xdr:row>
      <xdr:rowOff>95250</xdr:rowOff>
    </xdr:to>
    <xdr:cxnSp macro="">
      <xdr:nvCxnSpPr>
        <xdr:cNvPr id="49" name="Conector recto de flecha 48"/>
        <xdr:cNvCxnSpPr/>
      </xdr:nvCxnSpPr>
      <xdr:spPr>
        <a:xfrm flipV="1">
          <a:off x="79676625" y="21076024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84044</xdr:colOff>
      <xdr:row>88</xdr:row>
      <xdr:rowOff>133351</xdr:rowOff>
    </xdr:from>
    <xdr:to>
      <xdr:col>87</xdr:col>
      <xdr:colOff>276225</xdr:colOff>
      <xdr:row>91</xdr:row>
      <xdr:rowOff>168088</xdr:rowOff>
    </xdr:to>
    <xdr:cxnSp macro="">
      <xdr:nvCxnSpPr>
        <xdr:cNvPr id="50" name="Conector recto de flecha 49"/>
        <xdr:cNvCxnSpPr/>
      </xdr:nvCxnSpPr>
      <xdr:spPr>
        <a:xfrm flipV="1">
          <a:off x="73016969" y="2183130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40342</xdr:colOff>
      <xdr:row>93</xdr:row>
      <xdr:rowOff>86591</xdr:rowOff>
    </xdr:from>
    <xdr:to>
      <xdr:col>82</xdr:col>
      <xdr:colOff>1515341</xdr:colOff>
      <xdr:row>94</xdr:row>
      <xdr:rowOff>110379</xdr:rowOff>
    </xdr:to>
    <xdr:cxnSp macro="">
      <xdr:nvCxnSpPr>
        <xdr:cNvPr id="51" name="Conector recto de flecha 50"/>
        <xdr:cNvCxnSpPr/>
      </xdr:nvCxnSpPr>
      <xdr:spPr>
        <a:xfrm flipV="1">
          <a:off x="69153742" y="227465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70036</xdr:colOff>
      <xdr:row>93</xdr:row>
      <xdr:rowOff>84044</xdr:rowOff>
    </xdr:from>
    <xdr:to>
      <xdr:col>79</xdr:col>
      <xdr:colOff>1190624</xdr:colOff>
      <xdr:row>97</xdr:row>
      <xdr:rowOff>140074</xdr:rowOff>
    </xdr:to>
    <xdr:cxnSp macro="">
      <xdr:nvCxnSpPr>
        <xdr:cNvPr id="52" name="Conector recto de flecha 51"/>
        <xdr:cNvCxnSpPr/>
      </xdr:nvCxnSpPr>
      <xdr:spPr>
        <a:xfrm>
          <a:off x="64811461" y="227440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40342</xdr:colOff>
      <xdr:row>88</xdr:row>
      <xdr:rowOff>28015</xdr:rowOff>
    </xdr:from>
    <xdr:to>
      <xdr:col>70</xdr:col>
      <xdr:colOff>994522</xdr:colOff>
      <xdr:row>89</xdr:row>
      <xdr:rowOff>110378</xdr:rowOff>
    </xdr:to>
    <xdr:cxnSp macro="">
      <xdr:nvCxnSpPr>
        <xdr:cNvPr id="53" name="Conector recto de flecha 52"/>
        <xdr:cNvCxnSpPr/>
      </xdr:nvCxnSpPr>
      <xdr:spPr>
        <a:xfrm flipV="1">
          <a:off x="52989817" y="21725965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136045</xdr:colOff>
      <xdr:row>93</xdr:row>
      <xdr:rowOff>26096</xdr:rowOff>
    </xdr:from>
    <xdr:to>
      <xdr:col>77</xdr:col>
      <xdr:colOff>1239555</xdr:colOff>
      <xdr:row>95</xdr:row>
      <xdr:rowOff>18421</xdr:rowOff>
    </xdr:to>
    <xdr:cxnSp macro="">
      <xdr:nvCxnSpPr>
        <xdr:cNvPr id="54" name="Conector recto de flecha 53"/>
        <xdr:cNvCxnSpPr/>
      </xdr:nvCxnSpPr>
      <xdr:spPr>
        <a:xfrm flipV="1">
          <a:off x="60962695" y="22686071"/>
          <a:ext cx="110351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116158</xdr:colOff>
      <xdr:row>87</xdr:row>
      <xdr:rowOff>162622</xdr:rowOff>
    </xdr:from>
    <xdr:to>
      <xdr:col>74</xdr:col>
      <xdr:colOff>1208969</xdr:colOff>
      <xdr:row>94</xdr:row>
      <xdr:rowOff>143657</xdr:rowOff>
    </xdr:to>
    <xdr:cxnSp macro="">
      <xdr:nvCxnSpPr>
        <xdr:cNvPr id="55" name="Conector recto de flecha 54"/>
        <xdr:cNvCxnSpPr/>
      </xdr:nvCxnSpPr>
      <xdr:spPr>
        <a:xfrm>
          <a:off x="55180183" y="21670072"/>
          <a:ext cx="2616811" cy="1324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34847</xdr:colOff>
      <xdr:row>88</xdr:row>
      <xdr:rowOff>34847</xdr:rowOff>
    </xdr:from>
    <xdr:to>
      <xdr:col>83</xdr:col>
      <xdr:colOff>1</xdr:colOff>
      <xdr:row>88</xdr:row>
      <xdr:rowOff>35406</xdr:rowOff>
    </xdr:to>
    <xdr:cxnSp macro="">
      <xdr:nvCxnSpPr>
        <xdr:cNvPr id="56" name="Conector recto de flecha 55"/>
        <xdr:cNvCxnSpPr/>
      </xdr:nvCxnSpPr>
      <xdr:spPr>
        <a:xfrm flipH="1" flipV="1">
          <a:off x="69148247" y="21732797"/>
          <a:ext cx="1593929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</xdr:colOff>
      <xdr:row>139</xdr:row>
      <xdr:rowOff>170448</xdr:rowOff>
    </xdr:from>
    <xdr:to>
      <xdr:col>88</xdr:col>
      <xdr:colOff>701842</xdr:colOff>
      <xdr:row>141</xdr:row>
      <xdr:rowOff>95250</xdr:rowOff>
    </xdr:to>
    <xdr:cxnSp macro="">
      <xdr:nvCxnSpPr>
        <xdr:cNvPr id="102" name="Conector recto de flecha 101"/>
        <xdr:cNvCxnSpPr/>
      </xdr:nvCxnSpPr>
      <xdr:spPr>
        <a:xfrm flipV="1">
          <a:off x="78204261" y="26820395"/>
          <a:ext cx="2988844" cy="315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144</xdr:row>
      <xdr:rowOff>133351</xdr:rowOff>
    </xdr:from>
    <xdr:to>
      <xdr:col>84</xdr:col>
      <xdr:colOff>276225</xdr:colOff>
      <xdr:row>147</xdr:row>
      <xdr:rowOff>168088</xdr:rowOff>
    </xdr:to>
    <xdr:cxnSp macro="">
      <xdr:nvCxnSpPr>
        <xdr:cNvPr id="104" name="Conector recto de flecha 103"/>
        <xdr:cNvCxnSpPr/>
      </xdr:nvCxnSpPr>
      <xdr:spPr>
        <a:xfrm flipV="1">
          <a:off x="73855169" y="3347085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70107</xdr:colOff>
      <xdr:row>149</xdr:row>
      <xdr:rowOff>86591</xdr:rowOff>
    </xdr:from>
    <xdr:to>
      <xdr:col>79</xdr:col>
      <xdr:colOff>1545106</xdr:colOff>
      <xdr:row>150</xdr:row>
      <xdr:rowOff>110379</xdr:rowOff>
    </xdr:to>
    <xdr:cxnSp macro="">
      <xdr:nvCxnSpPr>
        <xdr:cNvPr id="106" name="Conector recto de flecha 105"/>
        <xdr:cNvCxnSpPr/>
      </xdr:nvCxnSpPr>
      <xdr:spPr>
        <a:xfrm flipV="1">
          <a:off x="69850257" y="343861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149</xdr:row>
      <xdr:rowOff>84044</xdr:rowOff>
    </xdr:from>
    <xdr:to>
      <xdr:col>76</xdr:col>
      <xdr:colOff>1190624</xdr:colOff>
      <xdr:row>153</xdr:row>
      <xdr:rowOff>140074</xdr:rowOff>
    </xdr:to>
    <xdr:cxnSp macro="">
      <xdr:nvCxnSpPr>
        <xdr:cNvPr id="107" name="Conector recto de flecha 106"/>
        <xdr:cNvCxnSpPr/>
      </xdr:nvCxnSpPr>
      <xdr:spPr>
        <a:xfrm>
          <a:off x="65021011" y="343835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256</xdr:row>
      <xdr:rowOff>56030</xdr:rowOff>
    </xdr:from>
    <xdr:to>
      <xdr:col>91</xdr:col>
      <xdr:colOff>980515</xdr:colOff>
      <xdr:row>258</xdr:row>
      <xdr:rowOff>95251</xdr:rowOff>
    </xdr:to>
    <xdr:cxnSp macro="">
      <xdr:nvCxnSpPr>
        <xdr:cNvPr id="154" name="Conector recto de flecha 153"/>
        <xdr:cNvCxnSpPr/>
      </xdr:nvCxnSpPr>
      <xdr:spPr>
        <a:xfrm flipV="1">
          <a:off x="80827469" y="50384449"/>
          <a:ext cx="2474259" cy="431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84044</xdr:colOff>
      <xdr:row>261</xdr:row>
      <xdr:rowOff>19050</xdr:rowOff>
    </xdr:from>
    <xdr:to>
      <xdr:col>87</xdr:col>
      <xdr:colOff>19050</xdr:colOff>
      <xdr:row>264</xdr:row>
      <xdr:rowOff>168089</xdr:rowOff>
    </xdr:to>
    <xdr:cxnSp macro="">
      <xdr:nvCxnSpPr>
        <xdr:cNvPr id="156" name="Conector recto de flecha 155"/>
        <xdr:cNvCxnSpPr/>
      </xdr:nvCxnSpPr>
      <xdr:spPr>
        <a:xfrm flipV="1">
          <a:off x="74988644" y="44015025"/>
          <a:ext cx="3411631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70107</xdr:colOff>
      <xdr:row>266</xdr:row>
      <xdr:rowOff>86591</xdr:rowOff>
    </xdr:from>
    <xdr:to>
      <xdr:col>82</xdr:col>
      <xdr:colOff>1545106</xdr:colOff>
      <xdr:row>267</xdr:row>
      <xdr:rowOff>110379</xdr:rowOff>
    </xdr:to>
    <xdr:cxnSp macro="">
      <xdr:nvCxnSpPr>
        <xdr:cNvPr id="158" name="Conector recto de flecha 157"/>
        <xdr:cNvCxnSpPr/>
      </xdr:nvCxnSpPr>
      <xdr:spPr>
        <a:xfrm flipV="1">
          <a:off x="70983732" y="4503506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70036</xdr:colOff>
      <xdr:row>266</xdr:row>
      <xdr:rowOff>84044</xdr:rowOff>
    </xdr:from>
    <xdr:to>
      <xdr:col>79</xdr:col>
      <xdr:colOff>1190624</xdr:colOff>
      <xdr:row>270</xdr:row>
      <xdr:rowOff>140074</xdr:rowOff>
    </xdr:to>
    <xdr:cxnSp macro="">
      <xdr:nvCxnSpPr>
        <xdr:cNvPr id="159" name="Conector recto de flecha 158"/>
        <xdr:cNvCxnSpPr/>
      </xdr:nvCxnSpPr>
      <xdr:spPr>
        <a:xfrm>
          <a:off x="65887786" y="4503251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289</xdr:row>
      <xdr:rowOff>56030</xdr:rowOff>
    </xdr:from>
    <xdr:to>
      <xdr:col>91</xdr:col>
      <xdr:colOff>980515</xdr:colOff>
      <xdr:row>291</xdr:row>
      <xdr:rowOff>95251</xdr:rowOff>
    </xdr:to>
    <xdr:cxnSp macro="">
      <xdr:nvCxnSpPr>
        <xdr:cNvPr id="182" name="Conector recto de flecha 181"/>
        <xdr:cNvCxnSpPr/>
      </xdr:nvCxnSpPr>
      <xdr:spPr>
        <a:xfrm flipV="1">
          <a:off x="81308121" y="48987316"/>
          <a:ext cx="2485465" cy="420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84044</xdr:colOff>
      <xdr:row>294</xdr:row>
      <xdr:rowOff>19050</xdr:rowOff>
    </xdr:from>
    <xdr:to>
      <xdr:col>87</xdr:col>
      <xdr:colOff>19050</xdr:colOff>
      <xdr:row>297</xdr:row>
      <xdr:rowOff>168089</xdr:rowOff>
    </xdr:to>
    <xdr:cxnSp macro="">
      <xdr:nvCxnSpPr>
        <xdr:cNvPr id="183" name="Conector recto de flecha 182"/>
        <xdr:cNvCxnSpPr/>
      </xdr:nvCxnSpPr>
      <xdr:spPr>
        <a:xfrm flipV="1">
          <a:off x="75059401" y="49902836"/>
          <a:ext cx="4180435" cy="72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70107</xdr:colOff>
      <xdr:row>299</xdr:row>
      <xdr:rowOff>86591</xdr:rowOff>
    </xdr:from>
    <xdr:to>
      <xdr:col>82</xdr:col>
      <xdr:colOff>1545106</xdr:colOff>
      <xdr:row>300</xdr:row>
      <xdr:rowOff>110379</xdr:rowOff>
    </xdr:to>
    <xdr:cxnSp macro="">
      <xdr:nvCxnSpPr>
        <xdr:cNvPr id="184" name="Conector recto de flecha 183"/>
        <xdr:cNvCxnSpPr/>
      </xdr:nvCxnSpPr>
      <xdr:spPr>
        <a:xfrm flipV="1">
          <a:off x="72596178" y="50922877"/>
          <a:ext cx="96064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395377</xdr:colOff>
      <xdr:row>292</xdr:row>
      <xdr:rowOff>161746</xdr:rowOff>
    </xdr:from>
    <xdr:to>
      <xdr:col>79</xdr:col>
      <xdr:colOff>1190624</xdr:colOff>
      <xdr:row>303</xdr:row>
      <xdr:rowOff>140074</xdr:rowOff>
    </xdr:to>
    <xdr:cxnSp macro="">
      <xdr:nvCxnSpPr>
        <xdr:cNvPr id="185" name="Conector recto de flecha 184"/>
        <xdr:cNvCxnSpPr/>
      </xdr:nvCxnSpPr>
      <xdr:spPr>
        <a:xfrm>
          <a:off x="57491462" y="58012642"/>
          <a:ext cx="10967228" cy="2368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365</xdr:row>
      <xdr:rowOff>140074</xdr:rowOff>
    </xdr:from>
    <xdr:to>
      <xdr:col>91</xdr:col>
      <xdr:colOff>9619</xdr:colOff>
      <xdr:row>366</xdr:row>
      <xdr:rowOff>95250</xdr:rowOff>
    </xdr:to>
    <xdr:cxnSp macro="">
      <xdr:nvCxnSpPr>
        <xdr:cNvPr id="276" name="Conector recto de flecha 275"/>
        <xdr:cNvCxnSpPr/>
      </xdr:nvCxnSpPr>
      <xdr:spPr>
        <a:xfrm flipV="1">
          <a:off x="80914875" y="82788499"/>
          <a:ext cx="7525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365</xdr:row>
      <xdr:rowOff>104775</xdr:rowOff>
    </xdr:from>
    <xdr:to>
      <xdr:col>92</xdr:col>
      <xdr:colOff>742950</xdr:colOff>
      <xdr:row>365</xdr:row>
      <xdr:rowOff>104775</xdr:rowOff>
    </xdr:to>
    <xdr:cxnSp macro="">
      <xdr:nvCxnSpPr>
        <xdr:cNvPr id="277" name="Conector recto de flecha 276"/>
        <xdr:cNvCxnSpPr/>
      </xdr:nvCxnSpPr>
      <xdr:spPr>
        <a:xfrm>
          <a:off x="82457925" y="82753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106913</xdr:colOff>
      <xdr:row>368</xdr:row>
      <xdr:rowOff>114303</xdr:rowOff>
    </xdr:from>
    <xdr:to>
      <xdr:col>87</xdr:col>
      <xdr:colOff>2171700</xdr:colOff>
      <xdr:row>369</xdr:row>
      <xdr:rowOff>174949</xdr:rowOff>
    </xdr:to>
    <xdr:cxnSp macro="">
      <xdr:nvCxnSpPr>
        <xdr:cNvPr id="278" name="Conector recto de flecha 277"/>
        <xdr:cNvCxnSpPr/>
      </xdr:nvCxnSpPr>
      <xdr:spPr>
        <a:xfrm flipV="1">
          <a:off x="70087088" y="83334228"/>
          <a:ext cx="864656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365</xdr:row>
      <xdr:rowOff>140074</xdr:rowOff>
    </xdr:from>
    <xdr:to>
      <xdr:col>90</xdr:col>
      <xdr:colOff>1106581</xdr:colOff>
      <xdr:row>366</xdr:row>
      <xdr:rowOff>95250</xdr:rowOff>
    </xdr:to>
    <xdr:cxnSp macro="">
      <xdr:nvCxnSpPr>
        <xdr:cNvPr id="296" name="Conector recto de flecha 295"/>
        <xdr:cNvCxnSpPr/>
      </xdr:nvCxnSpPr>
      <xdr:spPr>
        <a:xfrm flipV="1">
          <a:off x="80914875" y="8278849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365</xdr:row>
      <xdr:rowOff>104775</xdr:rowOff>
    </xdr:from>
    <xdr:to>
      <xdr:col>92</xdr:col>
      <xdr:colOff>742950</xdr:colOff>
      <xdr:row>365</xdr:row>
      <xdr:rowOff>104775</xdr:rowOff>
    </xdr:to>
    <xdr:cxnSp macro="">
      <xdr:nvCxnSpPr>
        <xdr:cNvPr id="297" name="Conector recto de flecha 296"/>
        <xdr:cNvCxnSpPr/>
      </xdr:nvCxnSpPr>
      <xdr:spPr>
        <a:xfrm>
          <a:off x="82457925" y="82753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416</xdr:row>
      <xdr:rowOff>140074</xdr:rowOff>
    </xdr:from>
    <xdr:to>
      <xdr:col>91</xdr:col>
      <xdr:colOff>9619</xdr:colOff>
      <xdr:row>417</xdr:row>
      <xdr:rowOff>95250</xdr:rowOff>
    </xdr:to>
    <xdr:cxnSp macro="">
      <xdr:nvCxnSpPr>
        <xdr:cNvPr id="306" name="Conector recto de flecha 305"/>
        <xdr:cNvCxnSpPr/>
      </xdr:nvCxnSpPr>
      <xdr:spPr>
        <a:xfrm flipV="1">
          <a:off x="83390815" y="61772427"/>
          <a:ext cx="774980" cy="123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416</xdr:row>
      <xdr:rowOff>104775</xdr:rowOff>
    </xdr:from>
    <xdr:to>
      <xdr:col>92</xdr:col>
      <xdr:colOff>742950</xdr:colOff>
      <xdr:row>416</xdr:row>
      <xdr:rowOff>104775</xdr:rowOff>
    </xdr:to>
    <xdr:cxnSp macro="">
      <xdr:nvCxnSpPr>
        <xdr:cNvPr id="307" name="Conector recto de flecha 306"/>
        <xdr:cNvCxnSpPr/>
      </xdr:nvCxnSpPr>
      <xdr:spPr>
        <a:xfrm>
          <a:off x="85314865" y="61737128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106913</xdr:colOff>
      <xdr:row>419</xdr:row>
      <xdr:rowOff>114303</xdr:rowOff>
    </xdr:from>
    <xdr:to>
      <xdr:col>87</xdr:col>
      <xdr:colOff>2171700</xdr:colOff>
      <xdr:row>420</xdr:row>
      <xdr:rowOff>174949</xdr:rowOff>
    </xdr:to>
    <xdr:cxnSp macro="">
      <xdr:nvCxnSpPr>
        <xdr:cNvPr id="308" name="Conector recto de flecha 307"/>
        <xdr:cNvCxnSpPr/>
      </xdr:nvCxnSpPr>
      <xdr:spPr>
        <a:xfrm flipV="1">
          <a:off x="73953678" y="62250921"/>
          <a:ext cx="7855987" cy="228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416</xdr:row>
      <xdr:rowOff>140074</xdr:rowOff>
    </xdr:from>
    <xdr:to>
      <xdr:col>90</xdr:col>
      <xdr:colOff>1106581</xdr:colOff>
      <xdr:row>417</xdr:row>
      <xdr:rowOff>95250</xdr:rowOff>
    </xdr:to>
    <xdr:cxnSp macro="">
      <xdr:nvCxnSpPr>
        <xdr:cNvPr id="309" name="Conector recto de flecha 308"/>
        <xdr:cNvCxnSpPr/>
      </xdr:nvCxnSpPr>
      <xdr:spPr>
        <a:xfrm flipV="1">
          <a:off x="83390815" y="61772427"/>
          <a:ext cx="744631" cy="123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416</xdr:row>
      <xdr:rowOff>104775</xdr:rowOff>
    </xdr:from>
    <xdr:to>
      <xdr:col>92</xdr:col>
      <xdr:colOff>742950</xdr:colOff>
      <xdr:row>416</xdr:row>
      <xdr:rowOff>104775</xdr:rowOff>
    </xdr:to>
    <xdr:cxnSp macro="">
      <xdr:nvCxnSpPr>
        <xdr:cNvPr id="310" name="Conector recto de flecha 309"/>
        <xdr:cNvCxnSpPr/>
      </xdr:nvCxnSpPr>
      <xdr:spPr>
        <a:xfrm>
          <a:off x="85314865" y="61737128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466</xdr:row>
      <xdr:rowOff>140074</xdr:rowOff>
    </xdr:from>
    <xdr:to>
      <xdr:col>91</xdr:col>
      <xdr:colOff>9619</xdr:colOff>
      <xdr:row>467</xdr:row>
      <xdr:rowOff>95250</xdr:rowOff>
    </xdr:to>
    <xdr:cxnSp macro="">
      <xdr:nvCxnSpPr>
        <xdr:cNvPr id="311" name="Conector recto de flecha 310"/>
        <xdr:cNvCxnSpPr/>
      </xdr:nvCxnSpPr>
      <xdr:spPr>
        <a:xfrm flipV="1">
          <a:off x="82629118" y="75310344"/>
          <a:ext cx="762866" cy="135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466</xdr:row>
      <xdr:rowOff>104775</xdr:rowOff>
    </xdr:from>
    <xdr:to>
      <xdr:col>92</xdr:col>
      <xdr:colOff>742950</xdr:colOff>
      <xdr:row>466</xdr:row>
      <xdr:rowOff>104775</xdr:rowOff>
    </xdr:to>
    <xdr:cxnSp macro="">
      <xdr:nvCxnSpPr>
        <xdr:cNvPr id="312" name="Conector recto de flecha 311"/>
        <xdr:cNvCxnSpPr/>
      </xdr:nvCxnSpPr>
      <xdr:spPr>
        <a:xfrm>
          <a:off x="84527424" y="7527504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106913</xdr:colOff>
      <xdr:row>469</xdr:row>
      <xdr:rowOff>114303</xdr:rowOff>
    </xdr:from>
    <xdr:to>
      <xdr:col>87</xdr:col>
      <xdr:colOff>2171700</xdr:colOff>
      <xdr:row>470</xdr:row>
      <xdr:rowOff>174949</xdr:rowOff>
    </xdr:to>
    <xdr:cxnSp macro="">
      <xdr:nvCxnSpPr>
        <xdr:cNvPr id="313" name="Conector recto de flecha 312"/>
        <xdr:cNvCxnSpPr/>
      </xdr:nvCxnSpPr>
      <xdr:spPr>
        <a:xfrm flipV="1">
          <a:off x="73191981" y="75825181"/>
          <a:ext cx="7881730" cy="240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466</xdr:row>
      <xdr:rowOff>140074</xdr:rowOff>
    </xdr:from>
    <xdr:to>
      <xdr:col>90</xdr:col>
      <xdr:colOff>1106581</xdr:colOff>
      <xdr:row>467</xdr:row>
      <xdr:rowOff>95250</xdr:rowOff>
    </xdr:to>
    <xdr:cxnSp macro="">
      <xdr:nvCxnSpPr>
        <xdr:cNvPr id="314" name="Conector recto de flecha 313"/>
        <xdr:cNvCxnSpPr/>
      </xdr:nvCxnSpPr>
      <xdr:spPr>
        <a:xfrm flipV="1">
          <a:off x="82629118" y="75310344"/>
          <a:ext cx="744631" cy="135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38100</xdr:colOff>
      <xdr:row>466</xdr:row>
      <xdr:rowOff>104775</xdr:rowOff>
    </xdr:from>
    <xdr:to>
      <xdr:col>92</xdr:col>
      <xdr:colOff>742950</xdr:colOff>
      <xdr:row>466</xdr:row>
      <xdr:rowOff>104775</xdr:rowOff>
    </xdr:to>
    <xdr:cxnSp macro="">
      <xdr:nvCxnSpPr>
        <xdr:cNvPr id="315" name="Conector recto de flecha 314"/>
        <xdr:cNvCxnSpPr/>
      </xdr:nvCxnSpPr>
      <xdr:spPr>
        <a:xfrm>
          <a:off x="84527424" y="7527504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84044</xdr:colOff>
      <xdr:row>291</xdr:row>
      <xdr:rowOff>97693</xdr:rowOff>
    </xdr:from>
    <xdr:to>
      <xdr:col>70</xdr:col>
      <xdr:colOff>0</xdr:colOff>
      <xdr:row>296</xdr:row>
      <xdr:rowOff>168088</xdr:rowOff>
    </xdr:to>
    <xdr:cxnSp macro="">
      <xdr:nvCxnSpPr>
        <xdr:cNvPr id="417" name="Conector recto de flecha 416"/>
        <xdr:cNvCxnSpPr/>
      </xdr:nvCxnSpPr>
      <xdr:spPr>
        <a:xfrm flipV="1">
          <a:off x="56005319" y="66363118"/>
          <a:ext cx="13831981" cy="1080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40342</xdr:colOff>
      <xdr:row>298</xdr:row>
      <xdr:rowOff>86591</xdr:rowOff>
    </xdr:from>
    <xdr:to>
      <xdr:col>57</xdr:col>
      <xdr:colOff>1515341</xdr:colOff>
      <xdr:row>299</xdr:row>
      <xdr:rowOff>110379</xdr:rowOff>
    </xdr:to>
    <xdr:cxnSp macro="">
      <xdr:nvCxnSpPr>
        <xdr:cNvPr id="418" name="Conector recto de flecha 417"/>
        <xdr:cNvCxnSpPr/>
      </xdr:nvCxnSpPr>
      <xdr:spPr>
        <a:xfrm flipV="1">
          <a:off x="52656442" y="67837916"/>
          <a:ext cx="1474999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70036</xdr:colOff>
      <xdr:row>298</xdr:row>
      <xdr:rowOff>84044</xdr:rowOff>
    </xdr:from>
    <xdr:to>
      <xdr:col>54</xdr:col>
      <xdr:colOff>1190624</xdr:colOff>
      <xdr:row>302</xdr:row>
      <xdr:rowOff>140074</xdr:rowOff>
    </xdr:to>
    <xdr:cxnSp macro="">
      <xdr:nvCxnSpPr>
        <xdr:cNvPr id="419" name="Conector recto de flecha 418"/>
        <xdr:cNvCxnSpPr/>
      </xdr:nvCxnSpPr>
      <xdr:spPr>
        <a:xfrm>
          <a:off x="48142711" y="67835369"/>
          <a:ext cx="1120588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40342</xdr:colOff>
      <xdr:row>293</xdr:row>
      <xdr:rowOff>28015</xdr:rowOff>
    </xdr:from>
    <xdr:to>
      <xdr:col>45</xdr:col>
      <xdr:colOff>994522</xdr:colOff>
      <xdr:row>294</xdr:row>
      <xdr:rowOff>110378</xdr:rowOff>
    </xdr:to>
    <xdr:cxnSp macro="">
      <xdr:nvCxnSpPr>
        <xdr:cNvPr id="420" name="Conector recto de flecha 419"/>
        <xdr:cNvCxnSpPr/>
      </xdr:nvCxnSpPr>
      <xdr:spPr>
        <a:xfrm flipV="1">
          <a:off x="40197742" y="66674440"/>
          <a:ext cx="725580" cy="27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136045</xdr:colOff>
      <xdr:row>298</xdr:row>
      <xdr:rowOff>26096</xdr:rowOff>
    </xdr:from>
    <xdr:to>
      <xdr:col>52</xdr:col>
      <xdr:colOff>1239555</xdr:colOff>
      <xdr:row>300</xdr:row>
      <xdr:rowOff>18421</xdr:rowOff>
    </xdr:to>
    <xdr:cxnSp macro="">
      <xdr:nvCxnSpPr>
        <xdr:cNvPr id="421" name="Conector recto de flecha 420"/>
        <xdr:cNvCxnSpPr/>
      </xdr:nvCxnSpPr>
      <xdr:spPr>
        <a:xfrm flipV="1">
          <a:off x="46179895" y="67777421"/>
          <a:ext cx="8939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116158</xdr:colOff>
      <xdr:row>292</xdr:row>
      <xdr:rowOff>162622</xdr:rowOff>
    </xdr:from>
    <xdr:to>
      <xdr:col>49</xdr:col>
      <xdr:colOff>1208969</xdr:colOff>
      <xdr:row>299</xdr:row>
      <xdr:rowOff>143657</xdr:rowOff>
    </xdr:to>
    <xdr:cxnSp macro="">
      <xdr:nvCxnSpPr>
        <xdr:cNvPr id="422" name="Conector recto de flecha 421"/>
        <xdr:cNvCxnSpPr/>
      </xdr:nvCxnSpPr>
      <xdr:spPr>
        <a:xfrm>
          <a:off x="42350008" y="66618547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34847</xdr:colOff>
      <xdr:row>293</xdr:row>
      <xdr:rowOff>34847</xdr:rowOff>
    </xdr:from>
    <xdr:to>
      <xdr:col>58</xdr:col>
      <xdr:colOff>1</xdr:colOff>
      <xdr:row>293</xdr:row>
      <xdr:rowOff>35406</xdr:rowOff>
    </xdr:to>
    <xdr:cxnSp macro="">
      <xdr:nvCxnSpPr>
        <xdr:cNvPr id="423" name="Conector recto de flecha 422"/>
        <xdr:cNvCxnSpPr/>
      </xdr:nvCxnSpPr>
      <xdr:spPr>
        <a:xfrm flipH="1" flipV="1">
          <a:off x="52650947" y="66681272"/>
          <a:ext cx="150820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19050</xdr:colOff>
      <xdr:row>48</xdr:row>
      <xdr:rowOff>140074</xdr:rowOff>
    </xdr:from>
    <xdr:to>
      <xdr:col>86</xdr:col>
      <xdr:colOff>1106581</xdr:colOff>
      <xdr:row>49</xdr:row>
      <xdr:rowOff>95250</xdr:rowOff>
    </xdr:to>
    <xdr:cxnSp macro="">
      <xdr:nvCxnSpPr>
        <xdr:cNvPr id="3" name="Conector recto de flecha 2"/>
        <xdr:cNvCxnSpPr/>
      </xdr:nvCxnSpPr>
      <xdr:spPr>
        <a:xfrm flipV="1">
          <a:off x="69299418" y="1905000"/>
          <a:ext cx="1087531" cy="151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48</xdr:row>
      <xdr:rowOff>104775</xdr:rowOff>
    </xdr:from>
    <xdr:to>
      <xdr:col>88</xdr:col>
      <xdr:colOff>742950</xdr:colOff>
      <xdr:row>48</xdr:row>
      <xdr:rowOff>104775</xdr:rowOff>
    </xdr:to>
    <xdr:cxnSp macro="">
      <xdr:nvCxnSpPr>
        <xdr:cNvPr id="5" name="Conector recto de flecha 4"/>
        <xdr:cNvCxnSpPr/>
      </xdr:nvCxnSpPr>
      <xdr:spPr>
        <a:xfrm>
          <a:off x="65046225" y="10572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84044</xdr:colOff>
      <xdr:row>52</xdr:row>
      <xdr:rowOff>133351</xdr:rowOff>
    </xdr:from>
    <xdr:to>
      <xdr:col>84</xdr:col>
      <xdr:colOff>276225</xdr:colOff>
      <xdr:row>55</xdr:row>
      <xdr:rowOff>168088</xdr:rowOff>
    </xdr:to>
    <xdr:cxnSp macro="">
      <xdr:nvCxnSpPr>
        <xdr:cNvPr id="7" name="Conector recto de flecha 6"/>
        <xdr:cNvCxnSpPr/>
      </xdr:nvCxnSpPr>
      <xdr:spPr>
        <a:xfrm flipV="1">
          <a:off x="64027610" y="2682689"/>
          <a:ext cx="3651997" cy="623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47065</xdr:colOff>
      <xdr:row>43</xdr:row>
      <xdr:rowOff>193302</xdr:rowOff>
    </xdr:from>
    <xdr:to>
      <xdr:col>86</xdr:col>
      <xdr:colOff>1134596</xdr:colOff>
      <xdr:row>47</xdr:row>
      <xdr:rowOff>112059</xdr:rowOff>
    </xdr:to>
    <xdr:cxnSp macro="">
      <xdr:nvCxnSpPr>
        <xdr:cNvPr id="8" name="Conector recto de flecha 7"/>
        <xdr:cNvCxnSpPr/>
      </xdr:nvCxnSpPr>
      <xdr:spPr>
        <a:xfrm>
          <a:off x="69327433" y="977714"/>
          <a:ext cx="1087531" cy="703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53</xdr:row>
      <xdr:rowOff>0</xdr:rowOff>
    </xdr:from>
    <xdr:to>
      <xdr:col>79</xdr:col>
      <xdr:colOff>1472045</xdr:colOff>
      <xdr:row>56</xdr:row>
      <xdr:rowOff>0</xdr:rowOff>
    </xdr:to>
    <xdr:cxnSp macro="">
      <xdr:nvCxnSpPr>
        <xdr:cNvPr id="13" name="Conector recto de flecha 12"/>
        <xdr:cNvCxnSpPr/>
      </xdr:nvCxnSpPr>
      <xdr:spPr>
        <a:xfrm>
          <a:off x="66506912" y="10455852"/>
          <a:ext cx="1402008" cy="584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57</xdr:row>
      <xdr:rowOff>86591</xdr:rowOff>
    </xdr:from>
    <xdr:to>
      <xdr:col>79</xdr:col>
      <xdr:colOff>1515341</xdr:colOff>
      <xdr:row>58</xdr:row>
      <xdr:rowOff>110379</xdr:rowOff>
    </xdr:to>
    <xdr:cxnSp macro="">
      <xdr:nvCxnSpPr>
        <xdr:cNvPr id="15" name="Conector recto de flecha 14"/>
        <xdr:cNvCxnSpPr/>
      </xdr:nvCxnSpPr>
      <xdr:spPr>
        <a:xfrm flipV="1">
          <a:off x="66477217" y="11321761"/>
          <a:ext cx="1474999" cy="218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70036</xdr:colOff>
      <xdr:row>57</xdr:row>
      <xdr:rowOff>84044</xdr:rowOff>
    </xdr:from>
    <xdr:to>
      <xdr:col>76</xdr:col>
      <xdr:colOff>1190624</xdr:colOff>
      <xdr:row>61</xdr:row>
      <xdr:rowOff>140074</xdr:rowOff>
    </xdr:to>
    <xdr:cxnSp macro="">
      <xdr:nvCxnSpPr>
        <xdr:cNvPr id="22" name="Conector recto de flecha 21"/>
        <xdr:cNvCxnSpPr/>
      </xdr:nvCxnSpPr>
      <xdr:spPr>
        <a:xfrm>
          <a:off x="58312610" y="3613897"/>
          <a:ext cx="1120588" cy="840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70037</xdr:colOff>
      <xdr:row>53</xdr:row>
      <xdr:rowOff>0</xdr:rowOff>
    </xdr:from>
    <xdr:to>
      <xdr:col>74</xdr:col>
      <xdr:colOff>1200411</xdr:colOff>
      <xdr:row>56</xdr:row>
      <xdr:rowOff>39144</xdr:rowOff>
    </xdr:to>
    <xdr:cxnSp macro="">
      <xdr:nvCxnSpPr>
        <xdr:cNvPr id="30" name="Conector recto de flecha 29"/>
        <xdr:cNvCxnSpPr/>
      </xdr:nvCxnSpPr>
      <xdr:spPr>
        <a:xfrm>
          <a:off x="58616167" y="2870548"/>
          <a:ext cx="1130374" cy="626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53662</xdr:colOff>
      <xdr:row>58</xdr:row>
      <xdr:rowOff>95092</xdr:rowOff>
    </xdr:from>
    <xdr:to>
      <xdr:col>65</xdr:col>
      <xdr:colOff>296916</xdr:colOff>
      <xdr:row>61</xdr:row>
      <xdr:rowOff>80493</xdr:rowOff>
    </xdr:to>
    <xdr:cxnSp macro="">
      <xdr:nvCxnSpPr>
        <xdr:cNvPr id="31" name="Conector recto de flecha 30"/>
        <xdr:cNvCxnSpPr/>
      </xdr:nvCxnSpPr>
      <xdr:spPr>
        <a:xfrm flipV="1">
          <a:off x="49758063" y="3663613"/>
          <a:ext cx="1007938" cy="548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182096</xdr:colOff>
      <xdr:row>50</xdr:row>
      <xdr:rowOff>149412</xdr:rowOff>
    </xdr:from>
    <xdr:to>
      <xdr:col>71</xdr:col>
      <xdr:colOff>1568823</xdr:colOff>
      <xdr:row>51</xdr:row>
      <xdr:rowOff>14008</xdr:rowOff>
    </xdr:to>
    <xdr:cxnSp macro="">
      <xdr:nvCxnSpPr>
        <xdr:cNvPr id="32" name="Conector recto de flecha 31"/>
        <xdr:cNvCxnSpPr/>
      </xdr:nvCxnSpPr>
      <xdr:spPr>
        <a:xfrm flipV="1">
          <a:off x="55240331" y="9637059"/>
          <a:ext cx="2918198" cy="5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70037</xdr:colOff>
      <xdr:row>48</xdr:row>
      <xdr:rowOff>0</xdr:rowOff>
    </xdr:from>
    <xdr:to>
      <xdr:col>67</xdr:col>
      <xdr:colOff>994523</xdr:colOff>
      <xdr:row>50</xdr:row>
      <xdr:rowOff>168089</xdr:rowOff>
    </xdr:to>
    <xdr:cxnSp macro="">
      <xdr:nvCxnSpPr>
        <xdr:cNvPr id="38" name="Conector recto de flecha 37"/>
        <xdr:cNvCxnSpPr/>
      </xdr:nvCxnSpPr>
      <xdr:spPr>
        <a:xfrm>
          <a:off x="58340625" y="2745441"/>
          <a:ext cx="924486" cy="560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40342</xdr:colOff>
      <xdr:row>52</xdr:row>
      <xdr:rowOff>28015</xdr:rowOff>
    </xdr:from>
    <xdr:to>
      <xdr:col>67</xdr:col>
      <xdr:colOff>994522</xdr:colOff>
      <xdr:row>53</xdr:row>
      <xdr:rowOff>110378</xdr:rowOff>
    </xdr:to>
    <xdr:cxnSp macro="">
      <xdr:nvCxnSpPr>
        <xdr:cNvPr id="39" name="Conector recto de flecha 38"/>
        <xdr:cNvCxnSpPr/>
      </xdr:nvCxnSpPr>
      <xdr:spPr>
        <a:xfrm flipV="1">
          <a:off x="58310930" y="3557868"/>
          <a:ext cx="954180" cy="278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104639</xdr:colOff>
      <xdr:row>45</xdr:row>
      <xdr:rowOff>94361</xdr:rowOff>
    </xdr:from>
    <xdr:to>
      <xdr:col>64</xdr:col>
      <xdr:colOff>575956</xdr:colOff>
      <xdr:row>45</xdr:row>
      <xdr:rowOff>110011</xdr:rowOff>
    </xdr:to>
    <xdr:cxnSp macro="">
      <xdr:nvCxnSpPr>
        <xdr:cNvPr id="44" name="Conector recto de flecha 43"/>
        <xdr:cNvCxnSpPr/>
      </xdr:nvCxnSpPr>
      <xdr:spPr>
        <a:xfrm flipV="1">
          <a:off x="47925358" y="1268676"/>
          <a:ext cx="1228098" cy="1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78288</xdr:colOff>
      <xdr:row>45</xdr:row>
      <xdr:rowOff>89802</xdr:rowOff>
    </xdr:from>
    <xdr:to>
      <xdr:col>61</xdr:col>
      <xdr:colOff>596300</xdr:colOff>
      <xdr:row>45</xdr:row>
      <xdr:rowOff>104384</xdr:rowOff>
    </xdr:to>
    <xdr:cxnSp macro="">
      <xdr:nvCxnSpPr>
        <xdr:cNvPr id="54" name="Conector recto de flecha 53"/>
        <xdr:cNvCxnSpPr/>
      </xdr:nvCxnSpPr>
      <xdr:spPr>
        <a:xfrm flipV="1">
          <a:off x="46072295" y="1264117"/>
          <a:ext cx="1274793" cy="1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136045</xdr:colOff>
      <xdr:row>57</xdr:row>
      <xdr:rowOff>26096</xdr:rowOff>
    </xdr:from>
    <xdr:to>
      <xdr:col>74</xdr:col>
      <xdr:colOff>1239555</xdr:colOff>
      <xdr:row>59</xdr:row>
      <xdr:rowOff>18421</xdr:rowOff>
    </xdr:to>
    <xdr:cxnSp macro="">
      <xdr:nvCxnSpPr>
        <xdr:cNvPr id="61" name="Conector recto de flecha 60"/>
        <xdr:cNvCxnSpPr/>
      </xdr:nvCxnSpPr>
      <xdr:spPr>
        <a:xfrm flipV="1">
          <a:off x="58682175" y="3679521"/>
          <a:ext cx="1103510" cy="383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117432</xdr:colOff>
      <xdr:row>47</xdr:row>
      <xdr:rowOff>39144</xdr:rowOff>
    </xdr:from>
    <xdr:to>
      <xdr:col>76</xdr:col>
      <xdr:colOff>1343939</xdr:colOff>
      <xdr:row>48</xdr:row>
      <xdr:rowOff>182672</xdr:rowOff>
    </xdr:to>
    <xdr:cxnSp macro="">
      <xdr:nvCxnSpPr>
        <xdr:cNvPr id="65" name="Conector recto de flecha 64"/>
        <xdr:cNvCxnSpPr/>
      </xdr:nvCxnSpPr>
      <xdr:spPr>
        <a:xfrm>
          <a:off x="61442774" y="1604897"/>
          <a:ext cx="1226507" cy="378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595314</xdr:colOff>
      <xdr:row>63</xdr:row>
      <xdr:rowOff>119062</xdr:rowOff>
    </xdr:from>
    <xdr:to>
      <xdr:col>73</xdr:col>
      <xdr:colOff>1607344</xdr:colOff>
      <xdr:row>70</xdr:row>
      <xdr:rowOff>166687</xdr:rowOff>
    </xdr:to>
    <xdr:cxnSp macro="">
      <xdr:nvCxnSpPr>
        <xdr:cNvPr id="68" name="Conector recto de flecha 67"/>
        <xdr:cNvCxnSpPr/>
      </xdr:nvCxnSpPr>
      <xdr:spPr>
        <a:xfrm flipH="1" flipV="1">
          <a:off x="57983439" y="4833937"/>
          <a:ext cx="101203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47625</xdr:colOff>
      <xdr:row>63</xdr:row>
      <xdr:rowOff>155272</xdr:rowOff>
    </xdr:from>
    <xdr:to>
      <xdr:col>73</xdr:col>
      <xdr:colOff>337779</xdr:colOff>
      <xdr:row>70</xdr:row>
      <xdr:rowOff>59531</xdr:rowOff>
    </xdr:to>
    <xdr:cxnSp macro="">
      <xdr:nvCxnSpPr>
        <xdr:cNvPr id="73" name="Conector recto de flecha 72"/>
        <xdr:cNvCxnSpPr/>
      </xdr:nvCxnSpPr>
      <xdr:spPr>
        <a:xfrm flipV="1">
          <a:off x="57161906" y="4870147"/>
          <a:ext cx="1052154" cy="1237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74705</xdr:colOff>
      <xdr:row>50</xdr:row>
      <xdr:rowOff>0</xdr:rowOff>
    </xdr:from>
    <xdr:to>
      <xdr:col>61</xdr:col>
      <xdr:colOff>728383</xdr:colOff>
      <xdr:row>53</xdr:row>
      <xdr:rowOff>37353</xdr:rowOff>
    </xdr:to>
    <xdr:cxnSp macro="">
      <xdr:nvCxnSpPr>
        <xdr:cNvPr id="83" name="Conector recto de flecha 82"/>
        <xdr:cNvCxnSpPr/>
      </xdr:nvCxnSpPr>
      <xdr:spPr>
        <a:xfrm flipH="1">
          <a:off x="46989999" y="2203824"/>
          <a:ext cx="1419413" cy="597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432546</xdr:colOff>
      <xdr:row>50</xdr:row>
      <xdr:rowOff>77693</xdr:rowOff>
    </xdr:from>
    <xdr:to>
      <xdr:col>61</xdr:col>
      <xdr:colOff>283135</xdr:colOff>
      <xdr:row>54</xdr:row>
      <xdr:rowOff>21665</xdr:rowOff>
    </xdr:to>
    <xdr:grpSp>
      <xdr:nvGrpSpPr>
        <xdr:cNvPr id="91" name="Grupo 90"/>
        <xdr:cNvGrpSpPr/>
      </xdr:nvGrpSpPr>
      <xdr:grpSpPr>
        <a:xfrm>
          <a:off x="48284332" y="9285193"/>
          <a:ext cx="621660" cy="669686"/>
          <a:chOff x="52088676" y="6928970"/>
          <a:chExt cx="616324" cy="691030"/>
        </a:xfrm>
      </xdr:grpSpPr>
      <xdr:cxnSp macro="">
        <xdr:nvCxnSpPr>
          <xdr:cNvPr id="92" name="Conector recto 9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ctor recto 9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ector recto 9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93383</xdr:colOff>
      <xdr:row>57</xdr:row>
      <xdr:rowOff>112058</xdr:rowOff>
    </xdr:from>
    <xdr:to>
      <xdr:col>70</xdr:col>
      <xdr:colOff>635000</xdr:colOff>
      <xdr:row>70</xdr:row>
      <xdr:rowOff>130735</xdr:rowOff>
    </xdr:to>
    <xdr:cxnSp macro="">
      <xdr:nvCxnSpPr>
        <xdr:cNvPr id="98" name="Conector angular 97"/>
        <xdr:cNvCxnSpPr/>
      </xdr:nvCxnSpPr>
      <xdr:spPr>
        <a:xfrm>
          <a:off x="45533236" y="3623234"/>
          <a:ext cx="10589558" cy="2446619"/>
        </a:xfrm>
        <a:prstGeom prst="bentConnector3">
          <a:avLst>
            <a:gd name="adj1" fmla="val 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149412</xdr:colOff>
      <xdr:row>35</xdr:row>
      <xdr:rowOff>112059</xdr:rowOff>
    </xdr:from>
    <xdr:to>
      <xdr:col>83</xdr:col>
      <xdr:colOff>1336116</xdr:colOff>
      <xdr:row>41</xdr:row>
      <xdr:rowOff>161367</xdr:rowOff>
    </xdr:to>
    <xdr:cxnSp macro="">
      <xdr:nvCxnSpPr>
        <xdr:cNvPr id="124" name="Conector recto de flecha 123"/>
        <xdr:cNvCxnSpPr/>
      </xdr:nvCxnSpPr>
      <xdr:spPr>
        <a:xfrm>
          <a:off x="70410294" y="6648824"/>
          <a:ext cx="3241116" cy="1169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70037</xdr:colOff>
      <xdr:row>32</xdr:row>
      <xdr:rowOff>0</xdr:rowOff>
    </xdr:from>
    <xdr:to>
      <xdr:col>79</xdr:col>
      <xdr:colOff>1494118</xdr:colOff>
      <xdr:row>35</xdr:row>
      <xdr:rowOff>18676</xdr:rowOff>
    </xdr:to>
    <xdr:cxnSp macro="">
      <xdr:nvCxnSpPr>
        <xdr:cNvPr id="132" name="Conector recto de flecha 131"/>
        <xdr:cNvCxnSpPr/>
      </xdr:nvCxnSpPr>
      <xdr:spPr>
        <a:xfrm>
          <a:off x="66670331" y="5976471"/>
          <a:ext cx="1424081" cy="5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40342</xdr:colOff>
      <xdr:row>35</xdr:row>
      <xdr:rowOff>168088</xdr:rowOff>
    </xdr:from>
    <xdr:to>
      <xdr:col>79</xdr:col>
      <xdr:colOff>1494118</xdr:colOff>
      <xdr:row>37</xdr:row>
      <xdr:rowOff>110378</xdr:rowOff>
    </xdr:to>
    <xdr:cxnSp macro="">
      <xdr:nvCxnSpPr>
        <xdr:cNvPr id="133" name="Conector recto de flecha 132"/>
        <xdr:cNvCxnSpPr/>
      </xdr:nvCxnSpPr>
      <xdr:spPr>
        <a:xfrm flipV="1">
          <a:off x="66640636" y="6704853"/>
          <a:ext cx="1453776" cy="315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69273</xdr:colOff>
      <xdr:row>38</xdr:row>
      <xdr:rowOff>155864</xdr:rowOff>
    </xdr:from>
    <xdr:to>
      <xdr:col>76</xdr:col>
      <xdr:colOff>1333500</xdr:colOff>
      <xdr:row>39</xdr:row>
      <xdr:rowOff>138545</xdr:rowOff>
    </xdr:to>
    <xdr:cxnSp macro="">
      <xdr:nvCxnSpPr>
        <xdr:cNvPr id="137" name="Conector recto de flecha 136"/>
        <xdr:cNvCxnSpPr/>
      </xdr:nvCxnSpPr>
      <xdr:spPr>
        <a:xfrm>
          <a:off x="62657182" y="739486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70962</xdr:colOff>
      <xdr:row>28</xdr:row>
      <xdr:rowOff>111724</xdr:rowOff>
    </xdr:from>
    <xdr:to>
      <xdr:col>76</xdr:col>
      <xdr:colOff>1335189</xdr:colOff>
      <xdr:row>29</xdr:row>
      <xdr:rowOff>94405</xdr:rowOff>
    </xdr:to>
    <xdr:cxnSp macro="">
      <xdr:nvCxnSpPr>
        <xdr:cNvPr id="145" name="Conector recto de flecha 144"/>
        <xdr:cNvCxnSpPr/>
      </xdr:nvCxnSpPr>
      <xdr:spPr>
        <a:xfrm>
          <a:off x="62982425" y="5315626"/>
          <a:ext cx="1264227" cy="168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58079</xdr:colOff>
      <xdr:row>28</xdr:row>
      <xdr:rowOff>82789</xdr:rowOff>
    </xdr:from>
    <xdr:to>
      <xdr:col>74</xdr:col>
      <xdr:colOff>1265493</xdr:colOff>
      <xdr:row>29</xdr:row>
      <xdr:rowOff>69695</xdr:rowOff>
    </xdr:to>
    <xdr:cxnSp macro="">
      <xdr:nvCxnSpPr>
        <xdr:cNvPr id="146" name="Conector recto de flecha 145"/>
        <xdr:cNvCxnSpPr/>
      </xdr:nvCxnSpPr>
      <xdr:spPr>
        <a:xfrm flipV="1">
          <a:off x="60181738" y="5286691"/>
          <a:ext cx="1207414" cy="172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33227</xdr:colOff>
      <xdr:row>27</xdr:row>
      <xdr:rowOff>177209</xdr:rowOff>
    </xdr:from>
    <xdr:to>
      <xdr:col>70</xdr:col>
      <xdr:colOff>728773</xdr:colOff>
      <xdr:row>28</xdr:row>
      <xdr:rowOff>5638</xdr:rowOff>
    </xdr:to>
    <xdr:cxnSp macro="">
      <xdr:nvCxnSpPr>
        <xdr:cNvPr id="150" name="Conector recto de flecha 149"/>
        <xdr:cNvCxnSpPr/>
      </xdr:nvCxnSpPr>
      <xdr:spPr>
        <a:xfrm>
          <a:off x="55411134" y="5260901"/>
          <a:ext cx="695546" cy="16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111718</xdr:colOff>
      <xdr:row>46</xdr:row>
      <xdr:rowOff>30726</xdr:rowOff>
    </xdr:from>
    <xdr:to>
      <xdr:col>56</xdr:col>
      <xdr:colOff>604274</xdr:colOff>
      <xdr:row>48</xdr:row>
      <xdr:rowOff>224813</xdr:rowOff>
    </xdr:to>
    <xdr:cxnSp macro="">
      <xdr:nvCxnSpPr>
        <xdr:cNvPr id="152" name="Conector recto de flecha 151"/>
        <xdr:cNvCxnSpPr/>
      </xdr:nvCxnSpPr>
      <xdr:spPr>
        <a:xfrm flipV="1">
          <a:off x="42021718" y="8603226"/>
          <a:ext cx="1254556" cy="575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47065</xdr:colOff>
      <xdr:row>110</xdr:row>
      <xdr:rowOff>7182</xdr:rowOff>
    </xdr:from>
    <xdr:to>
      <xdr:col>81</xdr:col>
      <xdr:colOff>897759</xdr:colOff>
      <xdr:row>112</xdr:row>
      <xdr:rowOff>109482</xdr:rowOff>
    </xdr:to>
    <xdr:cxnSp macro="">
      <xdr:nvCxnSpPr>
        <xdr:cNvPr id="96" name="Conector recto de flecha 95"/>
        <xdr:cNvCxnSpPr/>
      </xdr:nvCxnSpPr>
      <xdr:spPr>
        <a:xfrm>
          <a:off x="68090599" y="20655630"/>
          <a:ext cx="4518367" cy="474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149412</xdr:colOff>
      <xdr:row>101</xdr:row>
      <xdr:rowOff>112059</xdr:rowOff>
    </xdr:from>
    <xdr:to>
      <xdr:col>76</xdr:col>
      <xdr:colOff>1336116</xdr:colOff>
      <xdr:row>107</xdr:row>
      <xdr:rowOff>161367</xdr:rowOff>
    </xdr:to>
    <xdr:cxnSp macro="">
      <xdr:nvCxnSpPr>
        <xdr:cNvPr id="103" name="Conector recto de flecha 102"/>
        <xdr:cNvCxnSpPr/>
      </xdr:nvCxnSpPr>
      <xdr:spPr>
        <a:xfrm>
          <a:off x="73082337" y="18552459"/>
          <a:ext cx="3244104" cy="1201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70037</xdr:colOff>
      <xdr:row>98</xdr:row>
      <xdr:rowOff>0</xdr:rowOff>
    </xdr:from>
    <xdr:to>
      <xdr:col>72</xdr:col>
      <xdr:colOff>1494118</xdr:colOff>
      <xdr:row>101</xdr:row>
      <xdr:rowOff>18676</xdr:rowOff>
    </xdr:to>
    <xdr:cxnSp macro="">
      <xdr:nvCxnSpPr>
        <xdr:cNvPr id="104" name="Conector recto de flecha 103"/>
        <xdr:cNvCxnSpPr/>
      </xdr:nvCxnSpPr>
      <xdr:spPr>
        <a:xfrm>
          <a:off x="69183437" y="17868900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40342</xdr:colOff>
      <xdr:row>101</xdr:row>
      <xdr:rowOff>168088</xdr:rowOff>
    </xdr:from>
    <xdr:to>
      <xdr:col>72</xdr:col>
      <xdr:colOff>1494118</xdr:colOff>
      <xdr:row>103</xdr:row>
      <xdr:rowOff>110378</xdr:rowOff>
    </xdr:to>
    <xdr:cxnSp macro="">
      <xdr:nvCxnSpPr>
        <xdr:cNvPr id="105" name="Conector recto de flecha 104"/>
        <xdr:cNvCxnSpPr/>
      </xdr:nvCxnSpPr>
      <xdr:spPr>
        <a:xfrm flipV="1">
          <a:off x="69153742" y="18608488"/>
          <a:ext cx="1453776" cy="332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69273</xdr:colOff>
      <xdr:row>104</xdr:row>
      <xdr:rowOff>155864</xdr:rowOff>
    </xdr:from>
    <xdr:to>
      <xdr:col>69</xdr:col>
      <xdr:colOff>1333500</xdr:colOff>
      <xdr:row>105</xdr:row>
      <xdr:rowOff>138545</xdr:rowOff>
    </xdr:to>
    <xdr:cxnSp macro="">
      <xdr:nvCxnSpPr>
        <xdr:cNvPr id="106" name="Conector recto de flecha 105"/>
        <xdr:cNvCxnSpPr/>
      </xdr:nvCxnSpPr>
      <xdr:spPr>
        <a:xfrm>
          <a:off x="64810698" y="1917728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70962</xdr:colOff>
      <xdr:row>94</xdr:row>
      <xdr:rowOff>111724</xdr:rowOff>
    </xdr:from>
    <xdr:to>
      <xdr:col>69</xdr:col>
      <xdr:colOff>1335189</xdr:colOff>
      <xdr:row>95</xdr:row>
      <xdr:rowOff>94405</xdr:rowOff>
    </xdr:to>
    <xdr:cxnSp macro="">
      <xdr:nvCxnSpPr>
        <xdr:cNvPr id="107" name="Conector recto de flecha 106"/>
        <xdr:cNvCxnSpPr/>
      </xdr:nvCxnSpPr>
      <xdr:spPr>
        <a:xfrm>
          <a:off x="64812387" y="17218624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58079</xdr:colOff>
      <xdr:row>94</xdr:row>
      <xdr:rowOff>82789</xdr:rowOff>
    </xdr:from>
    <xdr:to>
      <xdr:col>67</xdr:col>
      <xdr:colOff>1265493</xdr:colOff>
      <xdr:row>95</xdr:row>
      <xdr:rowOff>69695</xdr:rowOff>
    </xdr:to>
    <xdr:cxnSp macro="">
      <xdr:nvCxnSpPr>
        <xdr:cNvPr id="108" name="Conector recto de flecha 107"/>
        <xdr:cNvCxnSpPr/>
      </xdr:nvCxnSpPr>
      <xdr:spPr>
        <a:xfrm flipV="1">
          <a:off x="60884729" y="17189689"/>
          <a:ext cx="1207414" cy="17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33227</xdr:colOff>
      <xdr:row>93</xdr:row>
      <xdr:rowOff>177209</xdr:rowOff>
    </xdr:from>
    <xdr:to>
      <xdr:col>63</xdr:col>
      <xdr:colOff>728773</xdr:colOff>
      <xdr:row>94</xdr:row>
      <xdr:rowOff>5638</xdr:rowOff>
    </xdr:to>
    <xdr:cxnSp macro="">
      <xdr:nvCxnSpPr>
        <xdr:cNvPr id="109" name="Conector recto de flecha 108"/>
        <xdr:cNvCxnSpPr/>
      </xdr:nvCxnSpPr>
      <xdr:spPr>
        <a:xfrm>
          <a:off x="55859252" y="17093609"/>
          <a:ext cx="695546" cy="18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34848</xdr:colOff>
      <xdr:row>101</xdr:row>
      <xdr:rowOff>46464</xdr:rowOff>
    </xdr:from>
    <xdr:to>
      <xdr:col>72</xdr:col>
      <xdr:colOff>1482161</xdr:colOff>
      <xdr:row>101</xdr:row>
      <xdr:rowOff>88372</xdr:rowOff>
    </xdr:to>
    <xdr:cxnSp macro="">
      <xdr:nvCxnSpPr>
        <xdr:cNvPr id="110" name="Conector recto de flecha 109"/>
        <xdr:cNvCxnSpPr/>
      </xdr:nvCxnSpPr>
      <xdr:spPr>
        <a:xfrm>
          <a:off x="69148248" y="18486864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801494</xdr:colOff>
      <xdr:row>100</xdr:row>
      <xdr:rowOff>145303</xdr:rowOff>
    </xdr:from>
    <xdr:to>
      <xdr:col>68</xdr:col>
      <xdr:colOff>2065721</xdr:colOff>
      <xdr:row>102</xdr:row>
      <xdr:rowOff>81311</xdr:rowOff>
    </xdr:to>
    <xdr:cxnSp macro="">
      <xdr:nvCxnSpPr>
        <xdr:cNvPr id="111" name="Conector recto de flecha 110"/>
        <xdr:cNvCxnSpPr/>
      </xdr:nvCxnSpPr>
      <xdr:spPr>
        <a:xfrm flipV="1">
          <a:off x="58637294" y="18395203"/>
          <a:ext cx="5979102" cy="317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74705</xdr:colOff>
      <xdr:row>85</xdr:row>
      <xdr:rowOff>37353</xdr:rowOff>
    </xdr:from>
    <xdr:to>
      <xdr:col>68</xdr:col>
      <xdr:colOff>1695914</xdr:colOff>
      <xdr:row>88</xdr:row>
      <xdr:rowOff>162622</xdr:rowOff>
    </xdr:to>
    <xdr:cxnSp macro="">
      <xdr:nvCxnSpPr>
        <xdr:cNvPr id="112" name="Conector recto de flecha 111"/>
        <xdr:cNvCxnSpPr/>
      </xdr:nvCxnSpPr>
      <xdr:spPr>
        <a:xfrm flipH="1" flipV="1">
          <a:off x="62625380" y="15429753"/>
          <a:ext cx="1621209" cy="696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25991</xdr:colOff>
      <xdr:row>86</xdr:row>
      <xdr:rowOff>77694</xdr:rowOff>
    </xdr:from>
    <xdr:to>
      <xdr:col>68</xdr:col>
      <xdr:colOff>1243301</xdr:colOff>
      <xdr:row>90</xdr:row>
      <xdr:rowOff>21665</xdr:rowOff>
    </xdr:to>
    <xdr:grpSp>
      <xdr:nvGrpSpPr>
        <xdr:cNvPr id="113" name="Grupo 112"/>
        <xdr:cNvGrpSpPr/>
      </xdr:nvGrpSpPr>
      <xdr:grpSpPr>
        <a:xfrm>
          <a:off x="56268848" y="15816623"/>
          <a:ext cx="1217310" cy="669685"/>
          <a:chOff x="52088676" y="6928970"/>
          <a:chExt cx="616324" cy="691030"/>
        </a:xfrm>
      </xdr:grpSpPr>
      <xdr:cxnSp macro="">
        <xdr:nvCxnSpPr>
          <xdr:cNvPr id="114" name="Conector recto 113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ector recto 114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cto 115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198864</xdr:colOff>
      <xdr:row>89</xdr:row>
      <xdr:rowOff>94322</xdr:rowOff>
    </xdr:from>
    <xdr:to>
      <xdr:col>67</xdr:col>
      <xdr:colOff>1266128</xdr:colOff>
      <xdr:row>91</xdr:row>
      <xdr:rowOff>69695</xdr:rowOff>
    </xdr:to>
    <xdr:cxnSp macro="">
      <xdr:nvCxnSpPr>
        <xdr:cNvPr id="117" name="Conector recto de flecha 116"/>
        <xdr:cNvCxnSpPr/>
      </xdr:nvCxnSpPr>
      <xdr:spPr>
        <a:xfrm>
          <a:off x="61025514" y="16248722"/>
          <a:ext cx="1067264" cy="3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19050</xdr:colOff>
      <xdr:row>168</xdr:row>
      <xdr:rowOff>140074</xdr:rowOff>
    </xdr:from>
    <xdr:to>
      <xdr:col>79</xdr:col>
      <xdr:colOff>1106581</xdr:colOff>
      <xdr:row>169</xdr:row>
      <xdr:rowOff>95250</xdr:rowOff>
    </xdr:to>
    <xdr:cxnSp macro="">
      <xdr:nvCxnSpPr>
        <xdr:cNvPr id="172" name="Conector recto de flecha 171"/>
        <xdr:cNvCxnSpPr/>
      </xdr:nvCxnSpPr>
      <xdr:spPr>
        <a:xfrm flipV="1">
          <a:off x="80514825" y="32715574"/>
          <a:ext cx="10875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38100</xdr:colOff>
      <xdr:row>168</xdr:row>
      <xdr:rowOff>104775</xdr:rowOff>
    </xdr:from>
    <xdr:to>
      <xdr:col>81</xdr:col>
      <xdr:colOff>742950</xdr:colOff>
      <xdr:row>168</xdr:row>
      <xdr:rowOff>104775</xdr:rowOff>
    </xdr:to>
    <xdr:cxnSp macro="">
      <xdr:nvCxnSpPr>
        <xdr:cNvPr id="173" name="Conector recto de flecha 172"/>
        <xdr:cNvCxnSpPr/>
      </xdr:nvCxnSpPr>
      <xdr:spPr>
        <a:xfrm>
          <a:off x="82686525" y="326802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84044</xdr:colOff>
      <xdr:row>172</xdr:row>
      <xdr:rowOff>133351</xdr:rowOff>
    </xdr:from>
    <xdr:to>
      <xdr:col>77</xdr:col>
      <xdr:colOff>276225</xdr:colOff>
      <xdr:row>175</xdr:row>
      <xdr:rowOff>168088</xdr:rowOff>
    </xdr:to>
    <xdr:cxnSp macro="">
      <xdr:nvCxnSpPr>
        <xdr:cNvPr id="174" name="Conector recto de flecha 173"/>
        <xdr:cNvCxnSpPr/>
      </xdr:nvCxnSpPr>
      <xdr:spPr>
        <a:xfrm flipV="1">
          <a:off x="73855169" y="33470851"/>
          <a:ext cx="366880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47065</xdr:colOff>
      <xdr:row>163</xdr:row>
      <xdr:rowOff>193302</xdr:rowOff>
    </xdr:from>
    <xdr:to>
      <xdr:col>79</xdr:col>
      <xdr:colOff>1134596</xdr:colOff>
      <xdr:row>167</xdr:row>
      <xdr:rowOff>112059</xdr:rowOff>
    </xdr:to>
    <xdr:cxnSp macro="">
      <xdr:nvCxnSpPr>
        <xdr:cNvPr id="175" name="Conector recto de flecha 174"/>
        <xdr:cNvCxnSpPr/>
      </xdr:nvCxnSpPr>
      <xdr:spPr>
        <a:xfrm>
          <a:off x="80542840" y="31806777"/>
          <a:ext cx="1087531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149412</xdr:colOff>
      <xdr:row>155</xdr:row>
      <xdr:rowOff>112059</xdr:rowOff>
    </xdr:from>
    <xdr:to>
      <xdr:col>76</xdr:col>
      <xdr:colOff>1336116</xdr:colOff>
      <xdr:row>161</xdr:row>
      <xdr:rowOff>161367</xdr:rowOff>
    </xdr:to>
    <xdr:cxnSp macro="">
      <xdr:nvCxnSpPr>
        <xdr:cNvPr id="178" name="Conector recto de flecha 177"/>
        <xdr:cNvCxnSpPr/>
      </xdr:nvCxnSpPr>
      <xdr:spPr>
        <a:xfrm>
          <a:off x="73920537" y="30201534"/>
          <a:ext cx="3244104" cy="119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70037</xdr:colOff>
      <xdr:row>152</xdr:row>
      <xdr:rowOff>0</xdr:rowOff>
    </xdr:from>
    <xdr:to>
      <xdr:col>72</xdr:col>
      <xdr:colOff>1494118</xdr:colOff>
      <xdr:row>155</xdr:row>
      <xdr:rowOff>18676</xdr:rowOff>
    </xdr:to>
    <xdr:cxnSp macro="">
      <xdr:nvCxnSpPr>
        <xdr:cNvPr id="179" name="Conector recto de flecha 178"/>
        <xdr:cNvCxnSpPr/>
      </xdr:nvCxnSpPr>
      <xdr:spPr>
        <a:xfrm>
          <a:off x="69850187" y="29517975"/>
          <a:ext cx="1424081" cy="59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40342</xdr:colOff>
      <xdr:row>155</xdr:row>
      <xdr:rowOff>168088</xdr:rowOff>
    </xdr:from>
    <xdr:to>
      <xdr:col>72</xdr:col>
      <xdr:colOff>1494118</xdr:colOff>
      <xdr:row>157</xdr:row>
      <xdr:rowOff>110378</xdr:rowOff>
    </xdr:to>
    <xdr:cxnSp macro="">
      <xdr:nvCxnSpPr>
        <xdr:cNvPr id="180" name="Conector recto de flecha 179"/>
        <xdr:cNvCxnSpPr/>
      </xdr:nvCxnSpPr>
      <xdr:spPr>
        <a:xfrm flipV="1">
          <a:off x="69820492" y="30257563"/>
          <a:ext cx="1453776" cy="323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69273</xdr:colOff>
      <xdr:row>158</xdr:row>
      <xdr:rowOff>155864</xdr:rowOff>
    </xdr:from>
    <xdr:to>
      <xdr:col>69</xdr:col>
      <xdr:colOff>1333500</xdr:colOff>
      <xdr:row>159</xdr:row>
      <xdr:rowOff>138545</xdr:rowOff>
    </xdr:to>
    <xdr:cxnSp macro="">
      <xdr:nvCxnSpPr>
        <xdr:cNvPr id="181" name="Conector recto de flecha 180"/>
        <xdr:cNvCxnSpPr/>
      </xdr:nvCxnSpPr>
      <xdr:spPr>
        <a:xfrm>
          <a:off x="65020248" y="3081683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70962</xdr:colOff>
      <xdr:row>148</xdr:row>
      <xdr:rowOff>111724</xdr:rowOff>
    </xdr:from>
    <xdr:to>
      <xdr:col>69</xdr:col>
      <xdr:colOff>1335189</xdr:colOff>
      <xdr:row>149</xdr:row>
      <xdr:rowOff>94405</xdr:rowOff>
    </xdr:to>
    <xdr:cxnSp macro="">
      <xdr:nvCxnSpPr>
        <xdr:cNvPr id="182" name="Conector recto de flecha 181"/>
        <xdr:cNvCxnSpPr/>
      </xdr:nvCxnSpPr>
      <xdr:spPr>
        <a:xfrm>
          <a:off x="65021937" y="28867699"/>
          <a:ext cx="1264227" cy="173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111125</xdr:colOff>
      <xdr:row>148</xdr:row>
      <xdr:rowOff>142875</xdr:rowOff>
    </xdr:from>
    <xdr:to>
      <xdr:col>67</xdr:col>
      <xdr:colOff>1587500</xdr:colOff>
      <xdr:row>149</xdr:row>
      <xdr:rowOff>15875</xdr:rowOff>
    </xdr:to>
    <xdr:cxnSp macro="">
      <xdr:nvCxnSpPr>
        <xdr:cNvPr id="183" name="Conector recto de flecha 182"/>
        <xdr:cNvCxnSpPr/>
      </xdr:nvCxnSpPr>
      <xdr:spPr>
        <a:xfrm flipV="1">
          <a:off x="59347100" y="28898850"/>
          <a:ext cx="32766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34848</xdr:colOff>
      <xdr:row>155</xdr:row>
      <xdr:rowOff>46464</xdr:rowOff>
    </xdr:from>
    <xdr:to>
      <xdr:col>72</xdr:col>
      <xdr:colOff>1482161</xdr:colOff>
      <xdr:row>155</xdr:row>
      <xdr:rowOff>88372</xdr:rowOff>
    </xdr:to>
    <xdr:cxnSp macro="">
      <xdr:nvCxnSpPr>
        <xdr:cNvPr id="184" name="Conector recto de flecha 183"/>
        <xdr:cNvCxnSpPr/>
      </xdr:nvCxnSpPr>
      <xdr:spPr>
        <a:xfrm>
          <a:off x="69814998" y="30135939"/>
          <a:ext cx="1447313" cy="4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101023</xdr:colOff>
      <xdr:row>154</xdr:row>
      <xdr:rowOff>145304</xdr:rowOff>
    </xdr:from>
    <xdr:to>
      <xdr:col>68</xdr:col>
      <xdr:colOff>2065721</xdr:colOff>
      <xdr:row>156</xdr:row>
      <xdr:rowOff>129886</xdr:rowOff>
    </xdr:to>
    <xdr:cxnSp macro="">
      <xdr:nvCxnSpPr>
        <xdr:cNvPr id="185" name="Conector recto de flecha 184"/>
        <xdr:cNvCxnSpPr/>
      </xdr:nvCxnSpPr>
      <xdr:spPr>
        <a:xfrm flipV="1">
          <a:off x="59336998" y="30044279"/>
          <a:ext cx="5488948" cy="365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283</xdr:row>
      <xdr:rowOff>140074</xdr:rowOff>
    </xdr:from>
    <xdr:to>
      <xdr:col>88</xdr:col>
      <xdr:colOff>1106581</xdr:colOff>
      <xdr:row>284</xdr:row>
      <xdr:rowOff>95250</xdr:rowOff>
    </xdr:to>
    <xdr:cxnSp macro="">
      <xdr:nvCxnSpPr>
        <xdr:cNvPr id="187" name="Conector recto de flecha 186"/>
        <xdr:cNvCxnSpPr/>
      </xdr:nvCxnSpPr>
      <xdr:spPr>
        <a:xfrm flipV="1">
          <a:off x="81248250" y="4926049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283</xdr:row>
      <xdr:rowOff>104775</xdr:rowOff>
    </xdr:from>
    <xdr:to>
      <xdr:col>90</xdr:col>
      <xdr:colOff>742950</xdr:colOff>
      <xdr:row>283</xdr:row>
      <xdr:rowOff>104775</xdr:rowOff>
    </xdr:to>
    <xdr:cxnSp macro="">
      <xdr:nvCxnSpPr>
        <xdr:cNvPr id="188" name="Conector recto de flecha 187"/>
        <xdr:cNvCxnSpPr/>
      </xdr:nvCxnSpPr>
      <xdr:spPr>
        <a:xfrm>
          <a:off x="82791300" y="49225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83552</xdr:colOff>
      <xdr:row>287</xdr:row>
      <xdr:rowOff>19052</xdr:rowOff>
    </xdr:from>
    <xdr:to>
      <xdr:col>86</xdr:col>
      <xdr:colOff>19050</xdr:colOff>
      <xdr:row>291</xdr:row>
      <xdr:rowOff>33421</xdr:rowOff>
    </xdr:to>
    <xdr:cxnSp macro="">
      <xdr:nvCxnSpPr>
        <xdr:cNvPr id="189" name="Conector recto de flecha 188"/>
        <xdr:cNvCxnSpPr/>
      </xdr:nvCxnSpPr>
      <xdr:spPr>
        <a:xfrm flipV="1">
          <a:off x="73576447" y="52957999"/>
          <a:ext cx="5650498" cy="749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279</xdr:row>
      <xdr:rowOff>2802</xdr:rowOff>
    </xdr:from>
    <xdr:to>
      <xdr:col>88</xdr:col>
      <xdr:colOff>1134596</xdr:colOff>
      <xdr:row>282</xdr:row>
      <xdr:rowOff>112059</xdr:rowOff>
    </xdr:to>
    <xdr:cxnSp macro="">
      <xdr:nvCxnSpPr>
        <xdr:cNvPr id="190" name="Conector recto de flecha 189"/>
        <xdr:cNvCxnSpPr/>
      </xdr:nvCxnSpPr>
      <xdr:spPr>
        <a:xfrm>
          <a:off x="81276265" y="4836122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260</xdr:row>
      <xdr:rowOff>92927</xdr:rowOff>
    </xdr:from>
    <xdr:to>
      <xdr:col>85</xdr:col>
      <xdr:colOff>2014251</xdr:colOff>
      <xdr:row>277</xdr:row>
      <xdr:rowOff>108857</xdr:rowOff>
    </xdr:to>
    <xdr:cxnSp macro="">
      <xdr:nvCxnSpPr>
        <xdr:cNvPr id="193" name="Conector recto de flecha 192"/>
        <xdr:cNvCxnSpPr/>
      </xdr:nvCxnSpPr>
      <xdr:spPr>
        <a:xfrm>
          <a:off x="67292492" y="50478797"/>
          <a:ext cx="11115020" cy="330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263</xdr:row>
      <xdr:rowOff>142875</xdr:rowOff>
    </xdr:from>
    <xdr:to>
      <xdr:col>76</xdr:col>
      <xdr:colOff>1587500</xdr:colOff>
      <xdr:row>264</xdr:row>
      <xdr:rowOff>15875</xdr:rowOff>
    </xdr:to>
    <xdr:cxnSp macro="">
      <xdr:nvCxnSpPr>
        <xdr:cNvPr id="194" name="Conector recto de flecha 193"/>
        <xdr:cNvCxnSpPr/>
      </xdr:nvCxnSpPr>
      <xdr:spPr>
        <a:xfrm flipV="1">
          <a:off x="63776225" y="45453300"/>
          <a:ext cx="2847975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656664</xdr:colOff>
      <xdr:row>197</xdr:row>
      <xdr:rowOff>21664</xdr:rowOff>
    </xdr:from>
    <xdr:to>
      <xdr:col>67</xdr:col>
      <xdr:colOff>115047</xdr:colOff>
      <xdr:row>200</xdr:row>
      <xdr:rowOff>133724</xdr:rowOff>
    </xdr:to>
    <xdr:grpSp>
      <xdr:nvGrpSpPr>
        <xdr:cNvPr id="195" name="Grupo 194"/>
        <xdr:cNvGrpSpPr/>
      </xdr:nvGrpSpPr>
      <xdr:grpSpPr>
        <a:xfrm>
          <a:off x="53543093" y="35899164"/>
          <a:ext cx="1862311" cy="656346"/>
          <a:chOff x="52088676" y="6928970"/>
          <a:chExt cx="616324" cy="691030"/>
        </a:xfrm>
      </xdr:grpSpPr>
      <xdr:cxnSp macro="">
        <xdr:nvCxnSpPr>
          <xdr:cNvPr id="196" name="Conector recto 195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Conector recto 196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Conector recto 197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66</xdr:col>
      <xdr:colOff>204109</xdr:colOff>
      <xdr:row>206</xdr:row>
      <xdr:rowOff>22678</xdr:rowOff>
    </xdr:from>
    <xdr:to>
      <xdr:col>66</xdr:col>
      <xdr:colOff>247651</xdr:colOff>
      <xdr:row>241</xdr:row>
      <xdr:rowOff>57149</xdr:rowOff>
    </xdr:to>
    <xdr:cxnSp macro="">
      <xdr:nvCxnSpPr>
        <xdr:cNvPr id="199" name="Conector angular 198"/>
        <xdr:cNvCxnSpPr/>
      </xdr:nvCxnSpPr>
      <xdr:spPr>
        <a:xfrm rot="16200000" flipH="1">
          <a:off x="49671969" y="37803818"/>
          <a:ext cx="6701971" cy="435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284</xdr:row>
      <xdr:rowOff>38100</xdr:rowOff>
    </xdr:from>
    <xdr:to>
      <xdr:col>89</xdr:col>
      <xdr:colOff>57150</xdr:colOff>
      <xdr:row>288</xdr:row>
      <xdr:rowOff>38100</xdr:rowOff>
    </xdr:to>
    <xdr:cxnSp macro="">
      <xdr:nvCxnSpPr>
        <xdr:cNvPr id="200" name="Conector recto de flecha 199"/>
        <xdr:cNvCxnSpPr/>
      </xdr:nvCxnSpPr>
      <xdr:spPr>
        <a:xfrm flipV="1">
          <a:off x="81267300" y="4934902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285</xdr:row>
      <xdr:rowOff>152400</xdr:rowOff>
    </xdr:from>
    <xdr:to>
      <xdr:col>89</xdr:col>
      <xdr:colOff>19050</xdr:colOff>
      <xdr:row>292</xdr:row>
      <xdr:rowOff>95250</xdr:rowOff>
    </xdr:to>
    <xdr:cxnSp macro="">
      <xdr:nvCxnSpPr>
        <xdr:cNvPr id="201" name="Conector recto de flecha 200"/>
        <xdr:cNvCxnSpPr/>
      </xdr:nvCxnSpPr>
      <xdr:spPr>
        <a:xfrm flipV="1">
          <a:off x="82010250" y="4965382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284</xdr:row>
      <xdr:rowOff>114300</xdr:rowOff>
    </xdr:from>
    <xdr:to>
      <xdr:col>89</xdr:col>
      <xdr:colOff>590550</xdr:colOff>
      <xdr:row>297</xdr:row>
      <xdr:rowOff>114300</xdr:rowOff>
    </xdr:to>
    <xdr:cxnSp macro="">
      <xdr:nvCxnSpPr>
        <xdr:cNvPr id="202" name="Conector recto de flecha 201"/>
        <xdr:cNvCxnSpPr/>
      </xdr:nvCxnSpPr>
      <xdr:spPr>
        <a:xfrm flipV="1">
          <a:off x="82029300" y="4942522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252</xdr:row>
      <xdr:rowOff>27213</xdr:rowOff>
    </xdr:from>
    <xdr:to>
      <xdr:col>87</xdr:col>
      <xdr:colOff>27215</xdr:colOff>
      <xdr:row>298</xdr:row>
      <xdr:rowOff>81646</xdr:rowOff>
    </xdr:to>
    <xdr:cxnSp macro="">
      <xdr:nvCxnSpPr>
        <xdr:cNvPr id="203" name="Conector angular 202"/>
        <xdr:cNvCxnSpPr/>
      </xdr:nvCxnSpPr>
      <xdr:spPr>
        <a:xfrm>
          <a:off x="56657423" y="43242138"/>
          <a:ext cx="2383699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140369</xdr:colOff>
      <xdr:row>253</xdr:row>
      <xdr:rowOff>33421</xdr:rowOff>
    </xdr:from>
    <xdr:to>
      <xdr:col>86</xdr:col>
      <xdr:colOff>1040423</xdr:colOff>
      <xdr:row>297</xdr:row>
      <xdr:rowOff>158750</xdr:rowOff>
    </xdr:to>
    <xdr:cxnSp macro="">
      <xdr:nvCxnSpPr>
        <xdr:cNvPr id="204" name="Conector angular 203"/>
        <xdr:cNvCxnSpPr/>
      </xdr:nvCxnSpPr>
      <xdr:spPr>
        <a:xfrm>
          <a:off x="52083369" y="48388671"/>
          <a:ext cx="27728804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293</xdr:row>
      <xdr:rowOff>81311</xdr:rowOff>
    </xdr:from>
    <xdr:to>
      <xdr:col>86</xdr:col>
      <xdr:colOff>1033811</xdr:colOff>
      <xdr:row>293</xdr:row>
      <xdr:rowOff>92927</xdr:rowOff>
    </xdr:to>
    <xdr:cxnSp macro="">
      <xdr:nvCxnSpPr>
        <xdr:cNvPr id="205" name="Conector recto de flecha 204"/>
        <xdr:cNvCxnSpPr/>
      </xdr:nvCxnSpPr>
      <xdr:spPr>
        <a:xfrm>
          <a:off x="79229879" y="5110673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289</xdr:row>
      <xdr:rowOff>71088</xdr:rowOff>
    </xdr:from>
    <xdr:to>
      <xdr:col>86</xdr:col>
      <xdr:colOff>1393</xdr:colOff>
      <xdr:row>291</xdr:row>
      <xdr:rowOff>58079</xdr:rowOff>
    </xdr:to>
    <xdr:cxnSp macro="">
      <xdr:nvCxnSpPr>
        <xdr:cNvPr id="206" name="Conector recto de flecha 205"/>
        <xdr:cNvCxnSpPr/>
      </xdr:nvCxnSpPr>
      <xdr:spPr>
        <a:xfrm flipV="1">
          <a:off x="79174820" y="50334513"/>
          <a:ext cx="0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246</xdr:row>
      <xdr:rowOff>139390</xdr:rowOff>
    </xdr:from>
    <xdr:to>
      <xdr:col>77</xdr:col>
      <xdr:colOff>766647</xdr:colOff>
      <xdr:row>256</xdr:row>
      <xdr:rowOff>162622</xdr:rowOff>
    </xdr:to>
    <xdr:cxnSp macro="">
      <xdr:nvCxnSpPr>
        <xdr:cNvPr id="207" name="Conector recto de flecha 206"/>
        <xdr:cNvCxnSpPr/>
      </xdr:nvCxnSpPr>
      <xdr:spPr>
        <a:xfrm flipH="1" flipV="1">
          <a:off x="63711563" y="42211315"/>
          <a:ext cx="38253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325244</xdr:colOff>
      <xdr:row>233</xdr:row>
      <xdr:rowOff>92927</xdr:rowOff>
    </xdr:from>
    <xdr:to>
      <xdr:col>72</xdr:col>
      <xdr:colOff>756425</xdr:colOff>
      <xdr:row>244</xdr:row>
      <xdr:rowOff>175633</xdr:rowOff>
    </xdr:to>
    <xdr:cxnSp macro="">
      <xdr:nvCxnSpPr>
        <xdr:cNvPr id="208" name="Conector recto de flecha 207"/>
        <xdr:cNvCxnSpPr/>
      </xdr:nvCxnSpPr>
      <xdr:spPr>
        <a:xfrm flipH="1" flipV="1">
          <a:off x="53122319" y="39688352"/>
          <a:ext cx="5974731" cy="2178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244</xdr:row>
      <xdr:rowOff>0</xdr:rowOff>
    </xdr:from>
    <xdr:to>
      <xdr:col>75</xdr:col>
      <xdr:colOff>721446</xdr:colOff>
      <xdr:row>247</xdr:row>
      <xdr:rowOff>134472</xdr:rowOff>
    </xdr:to>
    <xdr:grpSp>
      <xdr:nvGrpSpPr>
        <xdr:cNvPr id="209" name="Grupo 208"/>
        <xdr:cNvGrpSpPr/>
      </xdr:nvGrpSpPr>
      <xdr:grpSpPr>
        <a:xfrm>
          <a:off x="65586429" y="44404643"/>
          <a:ext cx="721446" cy="678758"/>
          <a:chOff x="52088676" y="6928970"/>
          <a:chExt cx="616324" cy="691030"/>
        </a:xfrm>
      </xdr:grpSpPr>
      <xdr:cxnSp macro="">
        <xdr:nvCxnSpPr>
          <xdr:cNvPr id="210" name="Conector recto 209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Conector recto 210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Conector recto 211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336175</xdr:colOff>
      <xdr:row>144</xdr:row>
      <xdr:rowOff>56029</xdr:rowOff>
    </xdr:from>
    <xdr:to>
      <xdr:col>66</xdr:col>
      <xdr:colOff>392206</xdr:colOff>
      <xdr:row>202</xdr:row>
      <xdr:rowOff>-1</xdr:rowOff>
    </xdr:to>
    <xdr:cxnSp macro="">
      <xdr:nvCxnSpPr>
        <xdr:cNvPr id="10" name="Conector angular 9"/>
        <xdr:cNvCxnSpPr/>
      </xdr:nvCxnSpPr>
      <xdr:spPr>
        <a:xfrm rot="16200000" flipH="1">
          <a:off x="46952647" y="27454410"/>
          <a:ext cx="9693088" cy="38660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336860</xdr:colOff>
      <xdr:row>144</xdr:row>
      <xdr:rowOff>34848</xdr:rowOff>
    </xdr:from>
    <xdr:to>
      <xdr:col>68</xdr:col>
      <xdr:colOff>11616</xdr:colOff>
      <xdr:row>144</xdr:row>
      <xdr:rowOff>46464</xdr:rowOff>
    </xdr:to>
    <xdr:cxnSp macro="">
      <xdr:nvCxnSpPr>
        <xdr:cNvPr id="20" name="Conector recto 19"/>
        <xdr:cNvCxnSpPr/>
      </xdr:nvCxnSpPr>
      <xdr:spPr>
        <a:xfrm flipV="1">
          <a:off x="48844665" y="26983628"/>
          <a:ext cx="5029664" cy="11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359</xdr:row>
      <xdr:rowOff>140074</xdr:rowOff>
    </xdr:from>
    <xdr:to>
      <xdr:col>88</xdr:col>
      <xdr:colOff>1106581</xdr:colOff>
      <xdr:row>360</xdr:row>
      <xdr:rowOff>95250</xdr:rowOff>
    </xdr:to>
    <xdr:cxnSp macro="">
      <xdr:nvCxnSpPr>
        <xdr:cNvPr id="213" name="Conector recto de flecha 212"/>
        <xdr:cNvCxnSpPr/>
      </xdr:nvCxnSpPr>
      <xdr:spPr>
        <a:xfrm flipV="1">
          <a:off x="85486875" y="6604354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359</xdr:row>
      <xdr:rowOff>104775</xdr:rowOff>
    </xdr:from>
    <xdr:to>
      <xdr:col>90</xdr:col>
      <xdr:colOff>742950</xdr:colOff>
      <xdr:row>359</xdr:row>
      <xdr:rowOff>104775</xdr:rowOff>
    </xdr:to>
    <xdr:cxnSp macro="">
      <xdr:nvCxnSpPr>
        <xdr:cNvPr id="214" name="Conector recto de flecha 213"/>
        <xdr:cNvCxnSpPr/>
      </xdr:nvCxnSpPr>
      <xdr:spPr>
        <a:xfrm>
          <a:off x="87744300" y="66008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95250</xdr:colOff>
      <xdr:row>362</xdr:row>
      <xdr:rowOff>38100</xdr:rowOff>
    </xdr:from>
    <xdr:to>
      <xdr:col>85</xdr:col>
      <xdr:colOff>2171700</xdr:colOff>
      <xdr:row>362</xdr:row>
      <xdr:rowOff>114303</xdr:rowOff>
    </xdr:to>
    <xdr:cxnSp macro="">
      <xdr:nvCxnSpPr>
        <xdr:cNvPr id="215" name="Conector recto de flecha 214"/>
        <xdr:cNvCxnSpPr/>
      </xdr:nvCxnSpPr>
      <xdr:spPr>
        <a:xfrm>
          <a:off x="76981050" y="665130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355</xdr:row>
      <xdr:rowOff>2802</xdr:rowOff>
    </xdr:from>
    <xdr:to>
      <xdr:col>88</xdr:col>
      <xdr:colOff>1134596</xdr:colOff>
      <xdr:row>358</xdr:row>
      <xdr:rowOff>112059</xdr:rowOff>
    </xdr:to>
    <xdr:cxnSp macro="">
      <xdr:nvCxnSpPr>
        <xdr:cNvPr id="216" name="Conector recto de flecha 215"/>
        <xdr:cNvCxnSpPr/>
      </xdr:nvCxnSpPr>
      <xdr:spPr>
        <a:xfrm>
          <a:off x="85514890" y="6514427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336</xdr:row>
      <xdr:rowOff>92927</xdr:rowOff>
    </xdr:from>
    <xdr:to>
      <xdr:col>85</xdr:col>
      <xdr:colOff>2014251</xdr:colOff>
      <xdr:row>353</xdr:row>
      <xdr:rowOff>108857</xdr:rowOff>
    </xdr:to>
    <xdr:cxnSp macro="">
      <xdr:nvCxnSpPr>
        <xdr:cNvPr id="217" name="Conector recto de flecha 216"/>
        <xdr:cNvCxnSpPr/>
      </xdr:nvCxnSpPr>
      <xdr:spPr>
        <a:xfrm>
          <a:off x="69586360" y="616149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339</xdr:row>
      <xdr:rowOff>142875</xdr:rowOff>
    </xdr:from>
    <xdr:to>
      <xdr:col>76</xdr:col>
      <xdr:colOff>1587500</xdr:colOff>
      <xdr:row>340</xdr:row>
      <xdr:rowOff>15875</xdr:rowOff>
    </xdr:to>
    <xdr:cxnSp macro="">
      <xdr:nvCxnSpPr>
        <xdr:cNvPr id="218" name="Conector recto de flecha 217"/>
        <xdr:cNvCxnSpPr/>
      </xdr:nvCxnSpPr>
      <xdr:spPr>
        <a:xfrm flipV="1">
          <a:off x="63738125" y="622363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360</xdr:row>
      <xdr:rowOff>38100</xdr:rowOff>
    </xdr:from>
    <xdr:to>
      <xdr:col>89</xdr:col>
      <xdr:colOff>57150</xdr:colOff>
      <xdr:row>364</xdr:row>
      <xdr:rowOff>38100</xdr:rowOff>
    </xdr:to>
    <xdr:cxnSp macro="">
      <xdr:nvCxnSpPr>
        <xdr:cNvPr id="219" name="Conector recto de flecha 218"/>
        <xdr:cNvCxnSpPr/>
      </xdr:nvCxnSpPr>
      <xdr:spPr>
        <a:xfrm flipV="1">
          <a:off x="85505925" y="66132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361</xdr:row>
      <xdr:rowOff>152400</xdr:rowOff>
    </xdr:from>
    <xdr:to>
      <xdr:col>89</xdr:col>
      <xdr:colOff>19050</xdr:colOff>
      <xdr:row>368</xdr:row>
      <xdr:rowOff>95250</xdr:rowOff>
    </xdr:to>
    <xdr:cxnSp macro="">
      <xdr:nvCxnSpPr>
        <xdr:cNvPr id="220" name="Conector recto de flecha 219"/>
        <xdr:cNvCxnSpPr/>
      </xdr:nvCxnSpPr>
      <xdr:spPr>
        <a:xfrm flipV="1">
          <a:off x="86248875" y="66436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360</xdr:row>
      <xdr:rowOff>114300</xdr:rowOff>
    </xdr:from>
    <xdr:to>
      <xdr:col>89</xdr:col>
      <xdr:colOff>590550</xdr:colOff>
      <xdr:row>373</xdr:row>
      <xdr:rowOff>114300</xdr:rowOff>
    </xdr:to>
    <xdr:cxnSp macro="">
      <xdr:nvCxnSpPr>
        <xdr:cNvPr id="221" name="Conector recto de flecha 220"/>
        <xdr:cNvCxnSpPr/>
      </xdr:nvCxnSpPr>
      <xdr:spPr>
        <a:xfrm flipV="1">
          <a:off x="86267925" y="66208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328</xdr:row>
      <xdr:rowOff>27213</xdr:rowOff>
    </xdr:from>
    <xdr:to>
      <xdr:col>87</xdr:col>
      <xdr:colOff>27215</xdr:colOff>
      <xdr:row>374</xdr:row>
      <xdr:rowOff>81646</xdr:rowOff>
    </xdr:to>
    <xdr:cxnSp macro="">
      <xdr:nvCxnSpPr>
        <xdr:cNvPr id="222" name="Conector angular 221"/>
        <xdr:cNvCxnSpPr/>
      </xdr:nvCxnSpPr>
      <xdr:spPr>
        <a:xfrm>
          <a:off x="57019373" y="60025188"/>
          <a:ext cx="2688499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329</xdr:row>
      <xdr:rowOff>33421</xdr:rowOff>
    </xdr:from>
    <xdr:to>
      <xdr:col>87</xdr:col>
      <xdr:colOff>24423</xdr:colOff>
      <xdr:row>373</xdr:row>
      <xdr:rowOff>158750</xdr:rowOff>
    </xdr:to>
    <xdr:cxnSp macro="">
      <xdr:nvCxnSpPr>
        <xdr:cNvPr id="223" name="Conector angular 222"/>
        <xdr:cNvCxnSpPr/>
      </xdr:nvCxnSpPr>
      <xdr:spPr>
        <a:xfrm>
          <a:off x="53226369" y="60221896"/>
          <a:ext cx="30675204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369</xdr:row>
      <xdr:rowOff>81311</xdr:rowOff>
    </xdr:from>
    <xdr:to>
      <xdr:col>86</xdr:col>
      <xdr:colOff>1033811</xdr:colOff>
      <xdr:row>369</xdr:row>
      <xdr:rowOff>92927</xdr:rowOff>
    </xdr:to>
    <xdr:cxnSp macro="">
      <xdr:nvCxnSpPr>
        <xdr:cNvPr id="224" name="Conector recto de flecha 223"/>
        <xdr:cNvCxnSpPr/>
      </xdr:nvCxnSpPr>
      <xdr:spPr>
        <a:xfrm>
          <a:off x="82639829" y="67889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364</xdr:row>
      <xdr:rowOff>186542</xdr:rowOff>
    </xdr:from>
    <xdr:to>
      <xdr:col>86</xdr:col>
      <xdr:colOff>1393</xdr:colOff>
      <xdr:row>366</xdr:row>
      <xdr:rowOff>173533</xdr:rowOff>
    </xdr:to>
    <xdr:cxnSp macro="">
      <xdr:nvCxnSpPr>
        <xdr:cNvPr id="225" name="Conector recto de flecha 224"/>
        <xdr:cNvCxnSpPr/>
      </xdr:nvCxnSpPr>
      <xdr:spPr>
        <a:xfrm flipV="1">
          <a:off x="81422720" y="67042517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322</xdr:row>
      <xdr:rowOff>139390</xdr:rowOff>
    </xdr:from>
    <xdr:to>
      <xdr:col>77</xdr:col>
      <xdr:colOff>766647</xdr:colOff>
      <xdr:row>332</xdr:row>
      <xdr:rowOff>162622</xdr:rowOff>
    </xdr:to>
    <xdr:cxnSp macro="">
      <xdr:nvCxnSpPr>
        <xdr:cNvPr id="226" name="Conector recto de flecha 225"/>
        <xdr:cNvCxnSpPr/>
      </xdr:nvCxnSpPr>
      <xdr:spPr>
        <a:xfrm flipH="1" flipV="1">
          <a:off x="63673463" y="589943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320</xdr:row>
      <xdr:rowOff>148442</xdr:rowOff>
    </xdr:from>
    <xdr:to>
      <xdr:col>72</xdr:col>
      <xdr:colOff>756425</xdr:colOff>
      <xdr:row>320</xdr:row>
      <xdr:rowOff>175634</xdr:rowOff>
    </xdr:to>
    <xdr:cxnSp macro="">
      <xdr:nvCxnSpPr>
        <xdr:cNvPr id="227" name="Conector recto de flecha 226"/>
        <xdr:cNvCxnSpPr/>
      </xdr:nvCxnSpPr>
      <xdr:spPr>
        <a:xfrm flipH="1" flipV="1">
          <a:off x="54100763" y="58622417"/>
          <a:ext cx="5567787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320</xdr:row>
      <xdr:rowOff>0</xdr:rowOff>
    </xdr:from>
    <xdr:to>
      <xdr:col>75</xdr:col>
      <xdr:colOff>721446</xdr:colOff>
      <xdr:row>323</xdr:row>
      <xdr:rowOff>134472</xdr:rowOff>
    </xdr:to>
    <xdr:grpSp>
      <xdr:nvGrpSpPr>
        <xdr:cNvPr id="228" name="Grupo 227"/>
        <xdr:cNvGrpSpPr/>
      </xdr:nvGrpSpPr>
      <xdr:grpSpPr>
        <a:xfrm>
          <a:off x="65586429" y="58193214"/>
          <a:ext cx="721446" cy="678758"/>
          <a:chOff x="52088676" y="6928970"/>
          <a:chExt cx="616324" cy="691030"/>
        </a:xfrm>
      </xdr:grpSpPr>
      <xdr:cxnSp macro="">
        <xdr:nvCxnSpPr>
          <xdr:cNvPr id="229" name="Conector recto 228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Conector recto 229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Conector recto 230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144318</xdr:colOff>
      <xdr:row>349</xdr:row>
      <xdr:rowOff>115455</xdr:rowOff>
    </xdr:from>
    <xdr:to>
      <xdr:col>89</xdr:col>
      <xdr:colOff>528443</xdr:colOff>
      <xdr:row>358</xdr:row>
      <xdr:rowOff>152553</xdr:rowOff>
    </xdr:to>
    <xdr:cxnSp macro="">
      <xdr:nvCxnSpPr>
        <xdr:cNvPr id="232" name="Conector recto de flecha 231"/>
        <xdr:cNvCxnSpPr/>
      </xdr:nvCxnSpPr>
      <xdr:spPr>
        <a:xfrm>
          <a:off x="85612143" y="64113930"/>
          <a:ext cx="1146125" cy="175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343</xdr:row>
      <xdr:rowOff>101022</xdr:rowOff>
    </xdr:from>
    <xdr:to>
      <xdr:col>86</xdr:col>
      <xdr:colOff>3857</xdr:colOff>
      <xdr:row>346</xdr:row>
      <xdr:rowOff>129886</xdr:rowOff>
    </xdr:to>
    <xdr:cxnSp macro="">
      <xdr:nvCxnSpPr>
        <xdr:cNvPr id="233" name="Conector recto de flecha 232"/>
        <xdr:cNvCxnSpPr/>
      </xdr:nvCxnSpPr>
      <xdr:spPr>
        <a:xfrm>
          <a:off x="81627229" y="629564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433</xdr:row>
      <xdr:rowOff>140074</xdr:rowOff>
    </xdr:from>
    <xdr:to>
      <xdr:col>89</xdr:col>
      <xdr:colOff>9619</xdr:colOff>
      <xdr:row>434</xdr:row>
      <xdr:rowOff>95250</xdr:rowOff>
    </xdr:to>
    <xdr:cxnSp macro="">
      <xdr:nvCxnSpPr>
        <xdr:cNvPr id="236" name="Conector recto de flecha 235"/>
        <xdr:cNvCxnSpPr/>
      </xdr:nvCxnSpPr>
      <xdr:spPr>
        <a:xfrm flipV="1">
          <a:off x="85486875" y="80140549"/>
          <a:ext cx="7525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433</xdr:row>
      <xdr:rowOff>104775</xdr:rowOff>
    </xdr:from>
    <xdr:to>
      <xdr:col>90</xdr:col>
      <xdr:colOff>742950</xdr:colOff>
      <xdr:row>433</xdr:row>
      <xdr:rowOff>104775</xdr:rowOff>
    </xdr:to>
    <xdr:cxnSp macro="">
      <xdr:nvCxnSpPr>
        <xdr:cNvPr id="237" name="Conector recto de flecha 236"/>
        <xdr:cNvCxnSpPr/>
      </xdr:nvCxnSpPr>
      <xdr:spPr>
        <a:xfrm>
          <a:off x="88382475" y="80105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436</xdr:row>
      <xdr:rowOff>114303</xdr:rowOff>
    </xdr:from>
    <xdr:to>
      <xdr:col>85</xdr:col>
      <xdr:colOff>2171700</xdr:colOff>
      <xdr:row>437</xdr:row>
      <xdr:rowOff>174949</xdr:rowOff>
    </xdr:to>
    <xdr:cxnSp macro="">
      <xdr:nvCxnSpPr>
        <xdr:cNvPr id="238" name="Conector recto de flecha 237"/>
        <xdr:cNvCxnSpPr/>
      </xdr:nvCxnSpPr>
      <xdr:spPr>
        <a:xfrm flipV="1">
          <a:off x="73601813" y="806862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429</xdr:row>
      <xdr:rowOff>2802</xdr:rowOff>
    </xdr:from>
    <xdr:to>
      <xdr:col>89</xdr:col>
      <xdr:colOff>9059</xdr:colOff>
      <xdr:row>432</xdr:row>
      <xdr:rowOff>112059</xdr:rowOff>
    </xdr:to>
    <xdr:cxnSp macro="">
      <xdr:nvCxnSpPr>
        <xdr:cNvPr id="239" name="Conector recto de flecha 238"/>
        <xdr:cNvCxnSpPr/>
      </xdr:nvCxnSpPr>
      <xdr:spPr>
        <a:xfrm>
          <a:off x="85514890" y="79241277"/>
          <a:ext cx="7239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410</xdr:row>
      <xdr:rowOff>92927</xdr:rowOff>
    </xdr:from>
    <xdr:to>
      <xdr:col>85</xdr:col>
      <xdr:colOff>2014251</xdr:colOff>
      <xdr:row>427</xdr:row>
      <xdr:rowOff>108857</xdr:rowOff>
    </xdr:to>
    <xdr:cxnSp macro="">
      <xdr:nvCxnSpPr>
        <xdr:cNvPr id="240" name="Conector recto de flecha 239"/>
        <xdr:cNvCxnSpPr/>
      </xdr:nvCxnSpPr>
      <xdr:spPr>
        <a:xfrm>
          <a:off x="69586360" y="757119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413</xdr:row>
      <xdr:rowOff>142875</xdr:rowOff>
    </xdr:from>
    <xdr:to>
      <xdr:col>76</xdr:col>
      <xdr:colOff>1368425</xdr:colOff>
      <xdr:row>414</xdr:row>
      <xdr:rowOff>15875</xdr:rowOff>
    </xdr:to>
    <xdr:cxnSp macro="">
      <xdr:nvCxnSpPr>
        <xdr:cNvPr id="241" name="Conector recto de flecha 240"/>
        <xdr:cNvCxnSpPr/>
      </xdr:nvCxnSpPr>
      <xdr:spPr>
        <a:xfrm flipV="1">
          <a:off x="63738125" y="763333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434</xdr:row>
      <xdr:rowOff>38100</xdr:rowOff>
    </xdr:from>
    <xdr:to>
      <xdr:col>89</xdr:col>
      <xdr:colOff>57150</xdr:colOff>
      <xdr:row>438</xdr:row>
      <xdr:rowOff>38100</xdr:rowOff>
    </xdr:to>
    <xdr:cxnSp macro="">
      <xdr:nvCxnSpPr>
        <xdr:cNvPr id="242" name="Conector recto de flecha 241"/>
        <xdr:cNvCxnSpPr/>
      </xdr:nvCxnSpPr>
      <xdr:spPr>
        <a:xfrm flipV="1">
          <a:off x="85505925" y="80229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435</xdr:row>
      <xdr:rowOff>152400</xdr:rowOff>
    </xdr:from>
    <xdr:to>
      <xdr:col>89</xdr:col>
      <xdr:colOff>19050</xdr:colOff>
      <xdr:row>442</xdr:row>
      <xdr:rowOff>95250</xdr:rowOff>
    </xdr:to>
    <xdr:cxnSp macro="">
      <xdr:nvCxnSpPr>
        <xdr:cNvPr id="243" name="Conector recto de flecha 242"/>
        <xdr:cNvCxnSpPr/>
      </xdr:nvCxnSpPr>
      <xdr:spPr>
        <a:xfrm flipV="1">
          <a:off x="86248875" y="80533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434</xdr:row>
      <xdr:rowOff>114300</xdr:rowOff>
    </xdr:from>
    <xdr:to>
      <xdr:col>89</xdr:col>
      <xdr:colOff>590550</xdr:colOff>
      <xdr:row>447</xdr:row>
      <xdr:rowOff>114300</xdr:rowOff>
    </xdr:to>
    <xdr:cxnSp macro="">
      <xdr:nvCxnSpPr>
        <xdr:cNvPr id="244" name="Conector recto de flecha 243"/>
        <xdr:cNvCxnSpPr/>
      </xdr:nvCxnSpPr>
      <xdr:spPr>
        <a:xfrm flipV="1">
          <a:off x="86267925" y="80305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402</xdr:row>
      <xdr:rowOff>27213</xdr:rowOff>
    </xdr:from>
    <xdr:to>
      <xdr:col>87</xdr:col>
      <xdr:colOff>27215</xdr:colOff>
      <xdr:row>448</xdr:row>
      <xdr:rowOff>81646</xdr:rowOff>
    </xdr:to>
    <xdr:cxnSp macro="">
      <xdr:nvCxnSpPr>
        <xdr:cNvPr id="245" name="Conector angular 244"/>
        <xdr:cNvCxnSpPr/>
      </xdr:nvCxnSpPr>
      <xdr:spPr>
        <a:xfrm>
          <a:off x="57019373" y="74122188"/>
          <a:ext cx="2688499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403</xdr:row>
      <xdr:rowOff>33421</xdr:rowOff>
    </xdr:from>
    <xdr:to>
      <xdr:col>87</xdr:col>
      <xdr:colOff>24423</xdr:colOff>
      <xdr:row>447</xdr:row>
      <xdr:rowOff>158750</xdr:rowOff>
    </xdr:to>
    <xdr:cxnSp macro="">
      <xdr:nvCxnSpPr>
        <xdr:cNvPr id="246" name="Conector angular 245"/>
        <xdr:cNvCxnSpPr/>
      </xdr:nvCxnSpPr>
      <xdr:spPr>
        <a:xfrm>
          <a:off x="53226369" y="74318896"/>
          <a:ext cx="30675204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443</xdr:row>
      <xdr:rowOff>81311</xdr:rowOff>
    </xdr:from>
    <xdr:to>
      <xdr:col>86</xdr:col>
      <xdr:colOff>1033811</xdr:colOff>
      <xdr:row>443</xdr:row>
      <xdr:rowOff>92927</xdr:rowOff>
    </xdr:to>
    <xdr:cxnSp macro="">
      <xdr:nvCxnSpPr>
        <xdr:cNvPr id="247" name="Conector recto de flecha 246"/>
        <xdr:cNvCxnSpPr/>
      </xdr:nvCxnSpPr>
      <xdr:spPr>
        <a:xfrm>
          <a:off x="82639829" y="81986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396</xdr:row>
      <xdr:rowOff>139390</xdr:rowOff>
    </xdr:from>
    <xdr:to>
      <xdr:col>77</xdr:col>
      <xdr:colOff>766647</xdr:colOff>
      <xdr:row>406</xdr:row>
      <xdr:rowOff>162622</xdr:rowOff>
    </xdr:to>
    <xdr:cxnSp macro="">
      <xdr:nvCxnSpPr>
        <xdr:cNvPr id="248" name="Conector recto de flecha 247"/>
        <xdr:cNvCxnSpPr/>
      </xdr:nvCxnSpPr>
      <xdr:spPr>
        <a:xfrm flipH="1" flipV="1">
          <a:off x="63673463" y="730913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394</xdr:row>
      <xdr:rowOff>148442</xdr:rowOff>
    </xdr:from>
    <xdr:to>
      <xdr:col>72</xdr:col>
      <xdr:colOff>756425</xdr:colOff>
      <xdr:row>394</xdr:row>
      <xdr:rowOff>175634</xdr:rowOff>
    </xdr:to>
    <xdr:cxnSp macro="">
      <xdr:nvCxnSpPr>
        <xdr:cNvPr id="249" name="Conector recto de flecha 248"/>
        <xdr:cNvCxnSpPr/>
      </xdr:nvCxnSpPr>
      <xdr:spPr>
        <a:xfrm flipH="1" flipV="1">
          <a:off x="54100763" y="72719417"/>
          <a:ext cx="5567787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394</xdr:row>
      <xdr:rowOff>0</xdr:rowOff>
    </xdr:from>
    <xdr:to>
      <xdr:col>75</xdr:col>
      <xdr:colOff>721446</xdr:colOff>
      <xdr:row>397</xdr:row>
      <xdr:rowOff>134472</xdr:rowOff>
    </xdr:to>
    <xdr:grpSp>
      <xdr:nvGrpSpPr>
        <xdr:cNvPr id="250" name="Grupo 249"/>
        <xdr:cNvGrpSpPr/>
      </xdr:nvGrpSpPr>
      <xdr:grpSpPr>
        <a:xfrm>
          <a:off x="65586429" y="71755000"/>
          <a:ext cx="721446" cy="678758"/>
          <a:chOff x="52088676" y="6928970"/>
          <a:chExt cx="616324" cy="691030"/>
        </a:xfrm>
      </xdr:grpSpPr>
      <xdr:cxnSp macro="">
        <xdr:nvCxnSpPr>
          <xdr:cNvPr id="251" name="Conector recto 250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Conector recto 251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Conector recto 252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423</xdr:row>
      <xdr:rowOff>125605</xdr:rowOff>
    </xdr:from>
    <xdr:to>
      <xdr:col>89</xdr:col>
      <xdr:colOff>528443</xdr:colOff>
      <xdr:row>432</xdr:row>
      <xdr:rowOff>152553</xdr:rowOff>
    </xdr:to>
    <xdr:cxnSp macro="">
      <xdr:nvCxnSpPr>
        <xdr:cNvPr id="254" name="Conector recto de flecha 253"/>
        <xdr:cNvCxnSpPr/>
      </xdr:nvCxnSpPr>
      <xdr:spPr>
        <a:xfrm>
          <a:off x="85520160" y="78221080"/>
          <a:ext cx="12381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417</xdr:row>
      <xdr:rowOff>101022</xdr:rowOff>
    </xdr:from>
    <xdr:to>
      <xdr:col>86</xdr:col>
      <xdr:colOff>3857</xdr:colOff>
      <xdr:row>420</xdr:row>
      <xdr:rowOff>129886</xdr:rowOff>
    </xdr:to>
    <xdr:cxnSp macro="">
      <xdr:nvCxnSpPr>
        <xdr:cNvPr id="255" name="Conector recto de flecha 254"/>
        <xdr:cNvCxnSpPr/>
      </xdr:nvCxnSpPr>
      <xdr:spPr>
        <a:xfrm>
          <a:off x="81627229" y="770534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433</xdr:row>
      <xdr:rowOff>140074</xdr:rowOff>
    </xdr:from>
    <xdr:to>
      <xdr:col>88</xdr:col>
      <xdr:colOff>1106581</xdr:colOff>
      <xdr:row>434</xdr:row>
      <xdr:rowOff>95250</xdr:rowOff>
    </xdr:to>
    <xdr:cxnSp macro="">
      <xdr:nvCxnSpPr>
        <xdr:cNvPr id="256" name="Conector recto de flecha 255"/>
        <xdr:cNvCxnSpPr/>
      </xdr:nvCxnSpPr>
      <xdr:spPr>
        <a:xfrm flipV="1">
          <a:off x="85486875" y="8014054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433</xdr:row>
      <xdr:rowOff>104775</xdr:rowOff>
    </xdr:from>
    <xdr:to>
      <xdr:col>90</xdr:col>
      <xdr:colOff>742950</xdr:colOff>
      <xdr:row>433</xdr:row>
      <xdr:rowOff>104775</xdr:rowOff>
    </xdr:to>
    <xdr:cxnSp macro="">
      <xdr:nvCxnSpPr>
        <xdr:cNvPr id="257" name="Conector recto de flecha 256"/>
        <xdr:cNvCxnSpPr/>
      </xdr:nvCxnSpPr>
      <xdr:spPr>
        <a:xfrm>
          <a:off x="88382475" y="80105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429</xdr:row>
      <xdr:rowOff>2802</xdr:rowOff>
    </xdr:from>
    <xdr:to>
      <xdr:col>88</xdr:col>
      <xdr:colOff>1134596</xdr:colOff>
      <xdr:row>432</xdr:row>
      <xdr:rowOff>112059</xdr:rowOff>
    </xdr:to>
    <xdr:cxnSp macro="">
      <xdr:nvCxnSpPr>
        <xdr:cNvPr id="258" name="Conector recto de flecha 257"/>
        <xdr:cNvCxnSpPr/>
      </xdr:nvCxnSpPr>
      <xdr:spPr>
        <a:xfrm>
          <a:off x="85514890" y="7924127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434</xdr:row>
      <xdr:rowOff>38100</xdr:rowOff>
    </xdr:from>
    <xdr:to>
      <xdr:col>89</xdr:col>
      <xdr:colOff>57150</xdr:colOff>
      <xdr:row>438</xdr:row>
      <xdr:rowOff>38100</xdr:rowOff>
    </xdr:to>
    <xdr:cxnSp macro="">
      <xdr:nvCxnSpPr>
        <xdr:cNvPr id="259" name="Conector recto de flecha 258"/>
        <xdr:cNvCxnSpPr/>
      </xdr:nvCxnSpPr>
      <xdr:spPr>
        <a:xfrm flipV="1">
          <a:off x="85505925" y="80229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435</xdr:row>
      <xdr:rowOff>152400</xdr:rowOff>
    </xdr:from>
    <xdr:to>
      <xdr:col>89</xdr:col>
      <xdr:colOff>19050</xdr:colOff>
      <xdr:row>442</xdr:row>
      <xdr:rowOff>95250</xdr:rowOff>
    </xdr:to>
    <xdr:cxnSp macro="">
      <xdr:nvCxnSpPr>
        <xdr:cNvPr id="260" name="Conector recto de flecha 259"/>
        <xdr:cNvCxnSpPr/>
      </xdr:nvCxnSpPr>
      <xdr:spPr>
        <a:xfrm flipV="1">
          <a:off x="86248875" y="80533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434</xdr:row>
      <xdr:rowOff>114300</xdr:rowOff>
    </xdr:from>
    <xdr:to>
      <xdr:col>89</xdr:col>
      <xdr:colOff>590550</xdr:colOff>
      <xdr:row>447</xdr:row>
      <xdr:rowOff>114300</xdr:rowOff>
    </xdr:to>
    <xdr:cxnSp macro="">
      <xdr:nvCxnSpPr>
        <xdr:cNvPr id="261" name="Conector recto de flecha 260"/>
        <xdr:cNvCxnSpPr/>
      </xdr:nvCxnSpPr>
      <xdr:spPr>
        <a:xfrm flipV="1">
          <a:off x="86267925" y="80305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443</xdr:row>
      <xdr:rowOff>81311</xdr:rowOff>
    </xdr:from>
    <xdr:to>
      <xdr:col>86</xdr:col>
      <xdr:colOff>1033811</xdr:colOff>
      <xdr:row>443</xdr:row>
      <xdr:rowOff>92927</xdr:rowOff>
    </xdr:to>
    <xdr:cxnSp macro="">
      <xdr:nvCxnSpPr>
        <xdr:cNvPr id="262" name="Conector recto de flecha 261"/>
        <xdr:cNvCxnSpPr/>
      </xdr:nvCxnSpPr>
      <xdr:spPr>
        <a:xfrm>
          <a:off x="82639829" y="81986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439</xdr:row>
      <xdr:rowOff>71088</xdr:rowOff>
    </xdr:from>
    <xdr:to>
      <xdr:col>86</xdr:col>
      <xdr:colOff>1393</xdr:colOff>
      <xdr:row>441</xdr:row>
      <xdr:rowOff>58079</xdr:rowOff>
    </xdr:to>
    <xdr:cxnSp macro="">
      <xdr:nvCxnSpPr>
        <xdr:cNvPr id="263" name="Conector recto de flecha 262"/>
        <xdr:cNvCxnSpPr/>
      </xdr:nvCxnSpPr>
      <xdr:spPr>
        <a:xfrm flipV="1">
          <a:off x="81422720" y="812145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425</xdr:row>
      <xdr:rowOff>10468</xdr:rowOff>
    </xdr:from>
    <xdr:to>
      <xdr:col>89</xdr:col>
      <xdr:colOff>1151860</xdr:colOff>
      <xdr:row>432</xdr:row>
      <xdr:rowOff>158414</xdr:rowOff>
    </xdr:to>
    <xdr:cxnSp macro="">
      <xdr:nvCxnSpPr>
        <xdr:cNvPr id="264" name="Conector recto de flecha 263"/>
        <xdr:cNvCxnSpPr/>
      </xdr:nvCxnSpPr>
      <xdr:spPr>
        <a:xfrm>
          <a:off x="87381199" y="784869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417</xdr:row>
      <xdr:rowOff>101022</xdr:rowOff>
    </xdr:from>
    <xdr:to>
      <xdr:col>89</xdr:col>
      <xdr:colOff>3857</xdr:colOff>
      <xdr:row>420</xdr:row>
      <xdr:rowOff>129886</xdr:rowOff>
    </xdr:to>
    <xdr:cxnSp macro="">
      <xdr:nvCxnSpPr>
        <xdr:cNvPr id="265" name="Conector recto de flecha 264"/>
        <xdr:cNvCxnSpPr/>
      </xdr:nvCxnSpPr>
      <xdr:spPr>
        <a:xfrm>
          <a:off x="86227804" y="77053497"/>
          <a:ext cx="58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510</xdr:row>
      <xdr:rowOff>140074</xdr:rowOff>
    </xdr:from>
    <xdr:to>
      <xdr:col>89</xdr:col>
      <xdr:colOff>9619</xdr:colOff>
      <xdr:row>511</xdr:row>
      <xdr:rowOff>95250</xdr:rowOff>
    </xdr:to>
    <xdr:cxnSp macro="">
      <xdr:nvCxnSpPr>
        <xdr:cNvPr id="266" name="Conector recto de flecha 265"/>
        <xdr:cNvCxnSpPr/>
      </xdr:nvCxnSpPr>
      <xdr:spPr>
        <a:xfrm flipV="1">
          <a:off x="85486875" y="94618549"/>
          <a:ext cx="752569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510</xdr:row>
      <xdr:rowOff>104775</xdr:rowOff>
    </xdr:from>
    <xdr:to>
      <xdr:col>90</xdr:col>
      <xdr:colOff>742950</xdr:colOff>
      <xdr:row>510</xdr:row>
      <xdr:rowOff>104775</xdr:rowOff>
    </xdr:to>
    <xdr:cxnSp macro="">
      <xdr:nvCxnSpPr>
        <xdr:cNvPr id="267" name="Conector recto de flecha 266"/>
        <xdr:cNvCxnSpPr/>
      </xdr:nvCxnSpPr>
      <xdr:spPr>
        <a:xfrm>
          <a:off x="88382475" y="94583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106913</xdr:colOff>
      <xdr:row>513</xdr:row>
      <xdr:rowOff>114303</xdr:rowOff>
    </xdr:from>
    <xdr:to>
      <xdr:col>85</xdr:col>
      <xdr:colOff>2171700</xdr:colOff>
      <xdr:row>514</xdr:row>
      <xdr:rowOff>174949</xdr:rowOff>
    </xdr:to>
    <xdr:cxnSp macro="">
      <xdr:nvCxnSpPr>
        <xdr:cNvPr id="268" name="Conector recto de flecha 267"/>
        <xdr:cNvCxnSpPr/>
      </xdr:nvCxnSpPr>
      <xdr:spPr>
        <a:xfrm flipV="1">
          <a:off x="73601813" y="95164278"/>
          <a:ext cx="8970412" cy="25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506</xdr:row>
      <xdr:rowOff>2802</xdr:rowOff>
    </xdr:from>
    <xdr:to>
      <xdr:col>89</xdr:col>
      <xdr:colOff>9059</xdr:colOff>
      <xdr:row>509</xdr:row>
      <xdr:rowOff>112059</xdr:rowOff>
    </xdr:to>
    <xdr:cxnSp macro="">
      <xdr:nvCxnSpPr>
        <xdr:cNvPr id="269" name="Conector recto de flecha 268"/>
        <xdr:cNvCxnSpPr/>
      </xdr:nvCxnSpPr>
      <xdr:spPr>
        <a:xfrm>
          <a:off x="85514890" y="93719277"/>
          <a:ext cx="723994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120535</xdr:colOff>
      <xdr:row>487</xdr:row>
      <xdr:rowOff>92927</xdr:rowOff>
    </xdr:from>
    <xdr:to>
      <xdr:col>85</xdr:col>
      <xdr:colOff>2014251</xdr:colOff>
      <xdr:row>504</xdr:row>
      <xdr:rowOff>108857</xdr:rowOff>
    </xdr:to>
    <xdr:cxnSp macro="">
      <xdr:nvCxnSpPr>
        <xdr:cNvPr id="270" name="Conector recto de flecha 269"/>
        <xdr:cNvCxnSpPr/>
      </xdr:nvCxnSpPr>
      <xdr:spPr>
        <a:xfrm>
          <a:off x="69586360" y="901899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111125</xdr:colOff>
      <xdr:row>490</xdr:row>
      <xdr:rowOff>142875</xdr:rowOff>
    </xdr:from>
    <xdr:to>
      <xdr:col>76</xdr:col>
      <xdr:colOff>1368425</xdr:colOff>
      <xdr:row>491</xdr:row>
      <xdr:rowOff>15875</xdr:rowOff>
    </xdr:to>
    <xdr:cxnSp macro="">
      <xdr:nvCxnSpPr>
        <xdr:cNvPr id="271" name="Conector recto de flecha 270"/>
        <xdr:cNvCxnSpPr/>
      </xdr:nvCxnSpPr>
      <xdr:spPr>
        <a:xfrm flipV="1">
          <a:off x="63738125" y="908113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511</xdr:row>
      <xdr:rowOff>38100</xdr:rowOff>
    </xdr:from>
    <xdr:to>
      <xdr:col>89</xdr:col>
      <xdr:colOff>57150</xdr:colOff>
      <xdr:row>515</xdr:row>
      <xdr:rowOff>38100</xdr:rowOff>
    </xdr:to>
    <xdr:cxnSp macro="">
      <xdr:nvCxnSpPr>
        <xdr:cNvPr id="272" name="Conector recto de flecha 271"/>
        <xdr:cNvCxnSpPr/>
      </xdr:nvCxnSpPr>
      <xdr:spPr>
        <a:xfrm flipV="1">
          <a:off x="85505925" y="94707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512</xdr:row>
      <xdr:rowOff>152400</xdr:rowOff>
    </xdr:from>
    <xdr:to>
      <xdr:col>89</xdr:col>
      <xdr:colOff>19050</xdr:colOff>
      <xdr:row>519</xdr:row>
      <xdr:rowOff>95250</xdr:rowOff>
    </xdr:to>
    <xdr:cxnSp macro="">
      <xdr:nvCxnSpPr>
        <xdr:cNvPr id="273" name="Conector recto de flecha 272"/>
        <xdr:cNvCxnSpPr/>
      </xdr:nvCxnSpPr>
      <xdr:spPr>
        <a:xfrm flipV="1">
          <a:off x="86248875" y="95011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511</xdr:row>
      <xdr:rowOff>114300</xdr:rowOff>
    </xdr:from>
    <xdr:to>
      <xdr:col>89</xdr:col>
      <xdr:colOff>590550</xdr:colOff>
      <xdr:row>524</xdr:row>
      <xdr:rowOff>114300</xdr:rowOff>
    </xdr:to>
    <xdr:cxnSp macro="">
      <xdr:nvCxnSpPr>
        <xdr:cNvPr id="274" name="Conector recto de flecha 273"/>
        <xdr:cNvCxnSpPr/>
      </xdr:nvCxnSpPr>
      <xdr:spPr>
        <a:xfrm flipV="1">
          <a:off x="86267925" y="94783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326573</xdr:colOff>
      <xdr:row>479</xdr:row>
      <xdr:rowOff>27213</xdr:rowOff>
    </xdr:from>
    <xdr:to>
      <xdr:col>87</xdr:col>
      <xdr:colOff>27215</xdr:colOff>
      <xdr:row>525</xdr:row>
      <xdr:rowOff>81646</xdr:rowOff>
    </xdr:to>
    <xdr:cxnSp macro="">
      <xdr:nvCxnSpPr>
        <xdr:cNvPr id="275" name="Conector angular 274"/>
        <xdr:cNvCxnSpPr/>
      </xdr:nvCxnSpPr>
      <xdr:spPr>
        <a:xfrm>
          <a:off x="57019373" y="88600188"/>
          <a:ext cx="2688499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267369</xdr:colOff>
      <xdr:row>480</xdr:row>
      <xdr:rowOff>33421</xdr:rowOff>
    </xdr:from>
    <xdr:to>
      <xdr:col>87</xdr:col>
      <xdr:colOff>24423</xdr:colOff>
      <xdr:row>524</xdr:row>
      <xdr:rowOff>158750</xdr:rowOff>
    </xdr:to>
    <xdr:cxnSp macro="">
      <xdr:nvCxnSpPr>
        <xdr:cNvPr id="276" name="Conector angular 275"/>
        <xdr:cNvCxnSpPr/>
      </xdr:nvCxnSpPr>
      <xdr:spPr>
        <a:xfrm>
          <a:off x="53226369" y="88796896"/>
          <a:ext cx="30675204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520</xdr:row>
      <xdr:rowOff>81311</xdr:rowOff>
    </xdr:from>
    <xdr:to>
      <xdr:col>86</xdr:col>
      <xdr:colOff>1033811</xdr:colOff>
      <xdr:row>520</xdr:row>
      <xdr:rowOff>92927</xdr:rowOff>
    </xdr:to>
    <xdr:cxnSp macro="">
      <xdr:nvCxnSpPr>
        <xdr:cNvPr id="277" name="Conector recto de flecha 276"/>
        <xdr:cNvCxnSpPr/>
      </xdr:nvCxnSpPr>
      <xdr:spPr>
        <a:xfrm>
          <a:off x="82639829" y="96464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46463</xdr:colOff>
      <xdr:row>473</xdr:row>
      <xdr:rowOff>139390</xdr:rowOff>
    </xdr:from>
    <xdr:to>
      <xdr:col>77</xdr:col>
      <xdr:colOff>766647</xdr:colOff>
      <xdr:row>483</xdr:row>
      <xdr:rowOff>162622</xdr:rowOff>
    </xdr:to>
    <xdr:cxnSp macro="">
      <xdr:nvCxnSpPr>
        <xdr:cNvPr id="278" name="Conector recto de flecha 277"/>
        <xdr:cNvCxnSpPr/>
      </xdr:nvCxnSpPr>
      <xdr:spPr>
        <a:xfrm flipH="1" flipV="1">
          <a:off x="63673463" y="875693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284513</xdr:colOff>
      <xdr:row>471</xdr:row>
      <xdr:rowOff>148442</xdr:rowOff>
    </xdr:from>
    <xdr:to>
      <xdr:col>72</xdr:col>
      <xdr:colOff>756425</xdr:colOff>
      <xdr:row>471</xdr:row>
      <xdr:rowOff>175634</xdr:rowOff>
    </xdr:to>
    <xdr:cxnSp macro="">
      <xdr:nvCxnSpPr>
        <xdr:cNvPr id="279" name="Conector recto de flecha 278"/>
        <xdr:cNvCxnSpPr/>
      </xdr:nvCxnSpPr>
      <xdr:spPr>
        <a:xfrm flipH="1" flipV="1">
          <a:off x="54100763" y="87197417"/>
          <a:ext cx="5567787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471</xdr:row>
      <xdr:rowOff>0</xdr:rowOff>
    </xdr:from>
    <xdr:to>
      <xdr:col>75</xdr:col>
      <xdr:colOff>721446</xdr:colOff>
      <xdr:row>474</xdr:row>
      <xdr:rowOff>134472</xdr:rowOff>
    </xdr:to>
    <xdr:grpSp>
      <xdr:nvGrpSpPr>
        <xdr:cNvPr id="280" name="Grupo 279"/>
        <xdr:cNvGrpSpPr/>
      </xdr:nvGrpSpPr>
      <xdr:grpSpPr>
        <a:xfrm>
          <a:off x="65586429" y="85725000"/>
          <a:ext cx="721446" cy="678758"/>
          <a:chOff x="52088676" y="6928970"/>
          <a:chExt cx="616324" cy="691030"/>
        </a:xfrm>
      </xdr:grpSpPr>
      <xdr:cxnSp macro="">
        <xdr:nvCxnSpPr>
          <xdr:cNvPr id="281" name="Conector recto 280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Conector recto 281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Conector recto 282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52335</xdr:colOff>
      <xdr:row>500</xdr:row>
      <xdr:rowOff>125605</xdr:rowOff>
    </xdr:from>
    <xdr:to>
      <xdr:col>89</xdr:col>
      <xdr:colOff>528443</xdr:colOff>
      <xdr:row>509</xdr:row>
      <xdr:rowOff>152553</xdr:rowOff>
    </xdr:to>
    <xdr:cxnSp macro="">
      <xdr:nvCxnSpPr>
        <xdr:cNvPr id="284" name="Conector recto de flecha 283"/>
        <xdr:cNvCxnSpPr/>
      </xdr:nvCxnSpPr>
      <xdr:spPr>
        <a:xfrm>
          <a:off x="85520160" y="92699080"/>
          <a:ext cx="1238108" cy="174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1226704</xdr:colOff>
      <xdr:row>494</xdr:row>
      <xdr:rowOff>101022</xdr:rowOff>
    </xdr:from>
    <xdr:to>
      <xdr:col>86</xdr:col>
      <xdr:colOff>3857</xdr:colOff>
      <xdr:row>497</xdr:row>
      <xdr:rowOff>129886</xdr:rowOff>
    </xdr:to>
    <xdr:cxnSp macro="">
      <xdr:nvCxnSpPr>
        <xdr:cNvPr id="285" name="Conector recto de flecha 284"/>
        <xdr:cNvCxnSpPr/>
      </xdr:nvCxnSpPr>
      <xdr:spPr>
        <a:xfrm>
          <a:off x="81627229" y="915314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510</xdr:row>
      <xdr:rowOff>140074</xdr:rowOff>
    </xdr:from>
    <xdr:to>
      <xdr:col>88</xdr:col>
      <xdr:colOff>1106581</xdr:colOff>
      <xdr:row>511</xdr:row>
      <xdr:rowOff>95250</xdr:rowOff>
    </xdr:to>
    <xdr:cxnSp macro="">
      <xdr:nvCxnSpPr>
        <xdr:cNvPr id="286" name="Conector recto de flecha 285"/>
        <xdr:cNvCxnSpPr/>
      </xdr:nvCxnSpPr>
      <xdr:spPr>
        <a:xfrm flipV="1">
          <a:off x="85486875" y="9461854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510</xdr:row>
      <xdr:rowOff>104775</xdr:rowOff>
    </xdr:from>
    <xdr:to>
      <xdr:col>90</xdr:col>
      <xdr:colOff>742950</xdr:colOff>
      <xdr:row>510</xdr:row>
      <xdr:rowOff>104775</xdr:rowOff>
    </xdr:to>
    <xdr:cxnSp macro="">
      <xdr:nvCxnSpPr>
        <xdr:cNvPr id="287" name="Conector recto de flecha 286"/>
        <xdr:cNvCxnSpPr/>
      </xdr:nvCxnSpPr>
      <xdr:spPr>
        <a:xfrm>
          <a:off x="88382475" y="94583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47065</xdr:colOff>
      <xdr:row>506</xdr:row>
      <xdr:rowOff>2802</xdr:rowOff>
    </xdr:from>
    <xdr:to>
      <xdr:col>88</xdr:col>
      <xdr:colOff>1134596</xdr:colOff>
      <xdr:row>509</xdr:row>
      <xdr:rowOff>112059</xdr:rowOff>
    </xdr:to>
    <xdr:cxnSp macro="">
      <xdr:nvCxnSpPr>
        <xdr:cNvPr id="288" name="Conector recto de flecha 287"/>
        <xdr:cNvCxnSpPr/>
      </xdr:nvCxnSpPr>
      <xdr:spPr>
        <a:xfrm>
          <a:off x="85514890" y="9371927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511</xdr:row>
      <xdr:rowOff>38100</xdr:rowOff>
    </xdr:from>
    <xdr:to>
      <xdr:col>89</xdr:col>
      <xdr:colOff>57150</xdr:colOff>
      <xdr:row>515</xdr:row>
      <xdr:rowOff>38100</xdr:rowOff>
    </xdr:to>
    <xdr:cxnSp macro="">
      <xdr:nvCxnSpPr>
        <xdr:cNvPr id="289" name="Conector recto de flecha 288"/>
        <xdr:cNvCxnSpPr/>
      </xdr:nvCxnSpPr>
      <xdr:spPr>
        <a:xfrm flipV="1">
          <a:off x="85505925" y="94707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</xdr:colOff>
      <xdr:row>512</xdr:row>
      <xdr:rowOff>152400</xdr:rowOff>
    </xdr:from>
    <xdr:to>
      <xdr:col>89</xdr:col>
      <xdr:colOff>19050</xdr:colOff>
      <xdr:row>519</xdr:row>
      <xdr:rowOff>95250</xdr:rowOff>
    </xdr:to>
    <xdr:cxnSp macro="">
      <xdr:nvCxnSpPr>
        <xdr:cNvPr id="290" name="Conector recto de flecha 289"/>
        <xdr:cNvCxnSpPr/>
      </xdr:nvCxnSpPr>
      <xdr:spPr>
        <a:xfrm flipV="1">
          <a:off x="86248875" y="95011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511</xdr:row>
      <xdr:rowOff>114300</xdr:rowOff>
    </xdr:from>
    <xdr:to>
      <xdr:col>89</xdr:col>
      <xdr:colOff>590550</xdr:colOff>
      <xdr:row>524</xdr:row>
      <xdr:rowOff>114300</xdr:rowOff>
    </xdr:to>
    <xdr:cxnSp macro="">
      <xdr:nvCxnSpPr>
        <xdr:cNvPr id="291" name="Conector recto de flecha 290"/>
        <xdr:cNvCxnSpPr/>
      </xdr:nvCxnSpPr>
      <xdr:spPr>
        <a:xfrm flipV="1">
          <a:off x="86267925" y="94783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58079</xdr:colOff>
      <xdr:row>520</xdr:row>
      <xdr:rowOff>81311</xdr:rowOff>
    </xdr:from>
    <xdr:to>
      <xdr:col>86</xdr:col>
      <xdr:colOff>1033811</xdr:colOff>
      <xdr:row>520</xdr:row>
      <xdr:rowOff>92927</xdr:rowOff>
    </xdr:to>
    <xdr:cxnSp macro="">
      <xdr:nvCxnSpPr>
        <xdr:cNvPr id="292" name="Conector recto de flecha 291"/>
        <xdr:cNvCxnSpPr/>
      </xdr:nvCxnSpPr>
      <xdr:spPr>
        <a:xfrm>
          <a:off x="82639829" y="96464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1022195</xdr:colOff>
      <xdr:row>516</xdr:row>
      <xdr:rowOff>71088</xdr:rowOff>
    </xdr:from>
    <xdr:to>
      <xdr:col>86</xdr:col>
      <xdr:colOff>1393</xdr:colOff>
      <xdr:row>518</xdr:row>
      <xdr:rowOff>58079</xdr:rowOff>
    </xdr:to>
    <xdr:cxnSp macro="">
      <xdr:nvCxnSpPr>
        <xdr:cNvPr id="293" name="Conector recto de flecha 292"/>
        <xdr:cNvCxnSpPr/>
      </xdr:nvCxnSpPr>
      <xdr:spPr>
        <a:xfrm flipV="1">
          <a:off x="81422720" y="95692563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1151374</xdr:colOff>
      <xdr:row>502</xdr:row>
      <xdr:rowOff>10468</xdr:rowOff>
    </xdr:from>
    <xdr:to>
      <xdr:col>89</xdr:col>
      <xdr:colOff>1151860</xdr:colOff>
      <xdr:row>509</xdr:row>
      <xdr:rowOff>158414</xdr:rowOff>
    </xdr:to>
    <xdr:cxnSp macro="">
      <xdr:nvCxnSpPr>
        <xdr:cNvPr id="294" name="Conector recto de flecha 293"/>
        <xdr:cNvCxnSpPr/>
      </xdr:nvCxnSpPr>
      <xdr:spPr>
        <a:xfrm>
          <a:off x="87381199" y="92964943"/>
          <a:ext cx="486" cy="1481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1226704</xdr:colOff>
      <xdr:row>494</xdr:row>
      <xdr:rowOff>101022</xdr:rowOff>
    </xdr:from>
    <xdr:to>
      <xdr:col>89</xdr:col>
      <xdr:colOff>3857</xdr:colOff>
      <xdr:row>497</xdr:row>
      <xdr:rowOff>129886</xdr:rowOff>
    </xdr:to>
    <xdr:cxnSp macro="">
      <xdr:nvCxnSpPr>
        <xdr:cNvPr id="295" name="Conector recto de flecha 294"/>
        <xdr:cNvCxnSpPr/>
      </xdr:nvCxnSpPr>
      <xdr:spPr>
        <a:xfrm>
          <a:off x="86227804" y="91531497"/>
          <a:ext cx="58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588</xdr:row>
      <xdr:rowOff>140074</xdr:rowOff>
    </xdr:from>
    <xdr:to>
      <xdr:col>87</xdr:col>
      <xdr:colOff>1106581</xdr:colOff>
      <xdr:row>589</xdr:row>
      <xdr:rowOff>95250</xdr:rowOff>
    </xdr:to>
    <xdr:cxnSp macro="">
      <xdr:nvCxnSpPr>
        <xdr:cNvPr id="296" name="Conector recto de flecha 295"/>
        <xdr:cNvCxnSpPr/>
      </xdr:nvCxnSpPr>
      <xdr:spPr>
        <a:xfrm flipV="1">
          <a:off x="85486875" y="109477549"/>
          <a:ext cx="74463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38100</xdr:colOff>
      <xdr:row>588</xdr:row>
      <xdr:rowOff>104775</xdr:rowOff>
    </xdr:from>
    <xdr:to>
      <xdr:col>89</xdr:col>
      <xdr:colOff>742950</xdr:colOff>
      <xdr:row>588</xdr:row>
      <xdr:rowOff>104775</xdr:rowOff>
    </xdr:to>
    <xdr:cxnSp macro="">
      <xdr:nvCxnSpPr>
        <xdr:cNvPr id="297" name="Conector recto de flecha 296"/>
        <xdr:cNvCxnSpPr/>
      </xdr:nvCxnSpPr>
      <xdr:spPr>
        <a:xfrm>
          <a:off x="88382475" y="109442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95250</xdr:colOff>
      <xdr:row>591</xdr:row>
      <xdr:rowOff>38100</xdr:rowOff>
    </xdr:from>
    <xdr:to>
      <xdr:col>84</xdr:col>
      <xdr:colOff>2171700</xdr:colOff>
      <xdr:row>591</xdr:row>
      <xdr:rowOff>114303</xdr:rowOff>
    </xdr:to>
    <xdr:cxnSp macro="">
      <xdr:nvCxnSpPr>
        <xdr:cNvPr id="298" name="Conector recto de flecha 297"/>
        <xdr:cNvCxnSpPr/>
      </xdr:nvCxnSpPr>
      <xdr:spPr>
        <a:xfrm>
          <a:off x="76981050" y="109947075"/>
          <a:ext cx="5591175" cy="76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47065</xdr:colOff>
      <xdr:row>584</xdr:row>
      <xdr:rowOff>2802</xdr:rowOff>
    </xdr:from>
    <xdr:to>
      <xdr:col>87</xdr:col>
      <xdr:colOff>1134596</xdr:colOff>
      <xdr:row>587</xdr:row>
      <xdr:rowOff>112059</xdr:rowOff>
    </xdr:to>
    <xdr:cxnSp macro="">
      <xdr:nvCxnSpPr>
        <xdr:cNvPr id="299" name="Conector recto de flecha 298"/>
        <xdr:cNvCxnSpPr/>
      </xdr:nvCxnSpPr>
      <xdr:spPr>
        <a:xfrm>
          <a:off x="85514890" y="108578277"/>
          <a:ext cx="716056" cy="68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120535</xdr:colOff>
      <xdr:row>565</xdr:row>
      <xdr:rowOff>92927</xdr:rowOff>
    </xdr:from>
    <xdr:to>
      <xdr:col>84</xdr:col>
      <xdr:colOff>2014251</xdr:colOff>
      <xdr:row>582</xdr:row>
      <xdr:rowOff>108857</xdr:rowOff>
    </xdr:to>
    <xdr:cxnSp macro="">
      <xdr:nvCxnSpPr>
        <xdr:cNvPr id="300" name="Conector recto de flecha 299"/>
        <xdr:cNvCxnSpPr/>
      </xdr:nvCxnSpPr>
      <xdr:spPr>
        <a:xfrm>
          <a:off x="69586360" y="105048902"/>
          <a:ext cx="12828416" cy="32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111125</xdr:colOff>
      <xdr:row>568</xdr:row>
      <xdr:rowOff>142875</xdr:rowOff>
    </xdr:from>
    <xdr:to>
      <xdr:col>75</xdr:col>
      <xdr:colOff>1587500</xdr:colOff>
      <xdr:row>569</xdr:row>
      <xdr:rowOff>15875</xdr:rowOff>
    </xdr:to>
    <xdr:cxnSp macro="">
      <xdr:nvCxnSpPr>
        <xdr:cNvPr id="301" name="Conector recto de flecha 300"/>
        <xdr:cNvCxnSpPr/>
      </xdr:nvCxnSpPr>
      <xdr:spPr>
        <a:xfrm flipV="1">
          <a:off x="63738125" y="105670350"/>
          <a:ext cx="344805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</xdr:colOff>
      <xdr:row>589</xdr:row>
      <xdr:rowOff>38100</xdr:rowOff>
    </xdr:from>
    <xdr:to>
      <xdr:col>88</xdr:col>
      <xdr:colOff>57150</xdr:colOff>
      <xdr:row>593</xdr:row>
      <xdr:rowOff>38100</xdr:rowOff>
    </xdr:to>
    <xdr:cxnSp macro="">
      <xdr:nvCxnSpPr>
        <xdr:cNvPr id="302" name="Conector recto de flecha 301"/>
        <xdr:cNvCxnSpPr/>
      </xdr:nvCxnSpPr>
      <xdr:spPr>
        <a:xfrm flipV="1">
          <a:off x="85505925" y="109566075"/>
          <a:ext cx="781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19050</xdr:colOff>
      <xdr:row>590</xdr:row>
      <xdr:rowOff>152400</xdr:rowOff>
    </xdr:from>
    <xdr:to>
      <xdr:col>88</xdr:col>
      <xdr:colOff>19050</xdr:colOff>
      <xdr:row>597</xdr:row>
      <xdr:rowOff>95250</xdr:rowOff>
    </xdr:to>
    <xdr:cxnSp macro="">
      <xdr:nvCxnSpPr>
        <xdr:cNvPr id="303" name="Conector recto de flecha 302"/>
        <xdr:cNvCxnSpPr/>
      </xdr:nvCxnSpPr>
      <xdr:spPr>
        <a:xfrm flipV="1">
          <a:off x="86248875" y="109870875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38100</xdr:colOff>
      <xdr:row>589</xdr:row>
      <xdr:rowOff>114300</xdr:rowOff>
    </xdr:from>
    <xdr:to>
      <xdr:col>88</xdr:col>
      <xdr:colOff>590550</xdr:colOff>
      <xdr:row>602</xdr:row>
      <xdr:rowOff>114300</xdr:rowOff>
    </xdr:to>
    <xdr:cxnSp macro="">
      <xdr:nvCxnSpPr>
        <xdr:cNvPr id="304" name="Conector recto de flecha 303"/>
        <xdr:cNvCxnSpPr/>
      </xdr:nvCxnSpPr>
      <xdr:spPr>
        <a:xfrm flipV="1">
          <a:off x="86267925" y="109642275"/>
          <a:ext cx="5524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326573</xdr:colOff>
      <xdr:row>557</xdr:row>
      <xdr:rowOff>27213</xdr:rowOff>
    </xdr:from>
    <xdr:to>
      <xdr:col>86</xdr:col>
      <xdr:colOff>27215</xdr:colOff>
      <xdr:row>603</xdr:row>
      <xdr:rowOff>81646</xdr:rowOff>
    </xdr:to>
    <xdr:cxnSp macro="">
      <xdr:nvCxnSpPr>
        <xdr:cNvPr id="305" name="Conector angular 304"/>
        <xdr:cNvCxnSpPr/>
      </xdr:nvCxnSpPr>
      <xdr:spPr>
        <a:xfrm>
          <a:off x="57019373" y="103459188"/>
          <a:ext cx="26884992" cy="8817433"/>
        </a:xfrm>
        <a:prstGeom prst="bentConnector3">
          <a:avLst>
            <a:gd name="adj1" fmla="val -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267369</xdr:colOff>
      <xdr:row>558</xdr:row>
      <xdr:rowOff>33421</xdr:rowOff>
    </xdr:from>
    <xdr:to>
      <xdr:col>86</xdr:col>
      <xdr:colOff>24423</xdr:colOff>
      <xdr:row>602</xdr:row>
      <xdr:rowOff>158750</xdr:rowOff>
    </xdr:to>
    <xdr:cxnSp macro="">
      <xdr:nvCxnSpPr>
        <xdr:cNvPr id="306" name="Conector angular 305"/>
        <xdr:cNvCxnSpPr/>
      </xdr:nvCxnSpPr>
      <xdr:spPr>
        <a:xfrm>
          <a:off x="53226369" y="103655896"/>
          <a:ext cx="30675204" cy="8507329"/>
        </a:xfrm>
        <a:prstGeom prst="bentConnector3">
          <a:avLst>
            <a:gd name="adj1" fmla="val 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58079</xdr:colOff>
      <xdr:row>598</xdr:row>
      <xdr:rowOff>81311</xdr:rowOff>
    </xdr:from>
    <xdr:to>
      <xdr:col>85</xdr:col>
      <xdr:colOff>1033811</xdr:colOff>
      <xdr:row>598</xdr:row>
      <xdr:rowOff>92927</xdr:rowOff>
    </xdr:to>
    <xdr:cxnSp macro="">
      <xdr:nvCxnSpPr>
        <xdr:cNvPr id="307" name="Conector recto de flecha 306"/>
        <xdr:cNvCxnSpPr/>
      </xdr:nvCxnSpPr>
      <xdr:spPr>
        <a:xfrm>
          <a:off x="82639829" y="111323786"/>
          <a:ext cx="975732" cy="1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1022195</xdr:colOff>
      <xdr:row>593</xdr:row>
      <xdr:rowOff>186542</xdr:rowOff>
    </xdr:from>
    <xdr:to>
      <xdr:col>85</xdr:col>
      <xdr:colOff>1393</xdr:colOff>
      <xdr:row>595</xdr:row>
      <xdr:rowOff>173533</xdr:rowOff>
    </xdr:to>
    <xdr:cxnSp macro="">
      <xdr:nvCxnSpPr>
        <xdr:cNvPr id="308" name="Conector recto de flecha 307"/>
        <xdr:cNvCxnSpPr/>
      </xdr:nvCxnSpPr>
      <xdr:spPr>
        <a:xfrm flipV="1">
          <a:off x="81422720" y="110476517"/>
          <a:ext cx="1160423" cy="367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46463</xdr:colOff>
      <xdr:row>551</xdr:row>
      <xdr:rowOff>139390</xdr:rowOff>
    </xdr:from>
    <xdr:to>
      <xdr:col>76</xdr:col>
      <xdr:colOff>766647</xdr:colOff>
      <xdr:row>561</xdr:row>
      <xdr:rowOff>162622</xdr:rowOff>
    </xdr:to>
    <xdr:cxnSp macro="">
      <xdr:nvCxnSpPr>
        <xdr:cNvPr id="309" name="Conector recto de flecha 308"/>
        <xdr:cNvCxnSpPr/>
      </xdr:nvCxnSpPr>
      <xdr:spPr>
        <a:xfrm flipH="1" flipV="1">
          <a:off x="63673463" y="102428365"/>
          <a:ext cx="4282534" cy="1928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284513</xdr:colOff>
      <xdr:row>549</xdr:row>
      <xdr:rowOff>148442</xdr:rowOff>
    </xdr:from>
    <xdr:to>
      <xdr:col>71</xdr:col>
      <xdr:colOff>756425</xdr:colOff>
      <xdr:row>549</xdr:row>
      <xdr:rowOff>175634</xdr:rowOff>
    </xdr:to>
    <xdr:cxnSp macro="">
      <xdr:nvCxnSpPr>
        <xdr:cNvPr id="310" name="Conector recto de flecha 309"/>
        <xdr:cNvCxnSpPr/>
      </xdr:nvCxnSpPr>
      <xdr:spPr>
        <a:xfrm flipH="1" flipV="1">
          <a:off x="54100763" y="102056417"/>
          <a:ext cx="5567787" cy="27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549</xdr:row>
      <xdr:rowOff>0</xdr:rowOff>
    </xdr:from>
    <xdr:to>
      <xdr:col>74</xdr:col>
      <xdr:colOff>721446</xdr:colOff>
      <xdr:row>552</xdr:row>
      <xdr:rowOff>134472</xdr:rowOff>
    </xdr:to>
    <xdr:grpSp>
      <xdr:nvGrpSpPr>
        <xdr:cNvPr id="311" name="Grupo 310"/>
        <xdr:cNvGrpSpPr/>
      </xdr:nvGrpSpPr>
      <xdr:grpSpPr>
        <a:xfrm>
          <a:off x="64271071" y="99876429"/>
          <a:ext cx="721446" cy="678757"/>
          <a:chOff x="52088676" y="6928970"/>
          <a:chExt cx="616324" cy="691030"/>
        </a:xfrm>
      </xdr:grpSpPr>
      <xdr:cxnSp macro="">
        <xdr:nvCxnSpPr>
          <xdr:cNvPr id="312" name="Conector recto 311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Conector recto 312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Conector recto 313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87</xdr:col>
      <xdr:colOff>144318</xdr:colOff>
      <xdr:row>578</xdr:row>
      <xdr:rowOff>115455</xdr:rowOff>
    </xdr:from>
    <xdr:to>
      <xdr:col>88</xdr:col>
      <xdr:colOff>528443</xdr:colOff>
      <xdr:row>587</xdr:row>
      <xdr:rowOff>152553</xdr:rowOff>
    </xdr:to>
    <xdr:cxnSp macro="">
      <xdr:nvCxnSpPr>
        <xdr:cNvPr id="315" name="Conector recto de flecha 314"/>
        <xdr:cNvCxnSpPr/>
      </xdr:nvCxnSpPr>
      <xdr:spPr>
        <a:xfrm>
          <a:off x="85612143" y="107547930"/>
          <a:ext cx="1146125" cy="175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1226704</xdr:colOff>
      <xdr:row>572</xdr:row>
      <xdr:rowOff>101022</xdr:rowOff>
    </xdr:from>
    <xdr:to>
      <xdr:col>85</xdr:col>
      <xdr:colOff>3857</xdr:colOff>
      <xdr:row>575</xdr:row>
      <xdr:rowOff>129886</xdr:rowOff>
    </xdr:to>
    <xdr:cxnSp macro="">
      <xdr:nvCxnSpPr>
        <xdr:cNvPr id="316" name="Conector recto de flecha 315"/>
        <xdr:cNvCxnSpPr/>
      </xdr:nvCxnSpPr>
      <xdr:spPr>
        <a:xfrm>
          <a:off x="81627229" y="106390497"/>
          <a:ext cx="958378" cy="60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111125</xdr:colOff>
      <xdr:row>339</xdr:row>
      <xdr:rowOff>170962</xdr:rowOff>
    </xdr:from>
    <xdr:to>
      <xdr:col>72</xdr:col>
      <xdr:colOff>1367692</xdr:colOff>
      <xdr:row>343</xdr:row>
      <xdr:rowOff>15876</xdr:rowOff>
    </xdr:to>
    <xdr:cxnSp macro="">
      <xdr:nvCxnSpPr>
        <xdr:cNvPr id="334" name="Conector recto de flecha 333"/>
        <xdr:cNvCxnSpPr/>
      </xdr:nvCxnSpPr>
      <xdr:spPr>
        <a:xfrm flipV="1">
          <a:off x="55502663" y="66552885"/>
          <a:ext cx="5848106" cy="67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346</xdr:row>
      <xdr:rowOff>119063</xdr:rowOff>
    </xdr:from>
    <xdr:to>
      <xdr:col>62</xdr:col>
      <xdr:colOff>1413867</xdr:colOff>
      <xdr:row>347</xdr:row>
      <xdr:rowOff>86593</xdr:rowOff>
    </xdr:to>
    <xdr:cxnSp macro="">
      <xdr:nvCxnSpPr>
        <xdr:cNvPr id="335" name="Conector recto de flecha 334"/>
        <xdr:cNvCxnSpPr/>
      </xdr:nvCxnSpPr>
      <xdr:spPr>
        <a:xfrm flipV="1">
          <a:off x="43264336" y="67329844"/>
          <a:ext cx="6191250" cy="161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40342</xdr:colOff>
      <xdr:row>347</xdr:row>
      <xdr:rowOff>86591</xdr:rowOff>
    </xdr:from>
    <xdr:to>
      <xdr:col>34</xdr:col>
      <xdr:colOff>1515341</xdr:colOff>
      <xdr:row>348</xdr:row>
      <xdr:rowOff>110379</xdr:rowOff>
    </xdr:to>
    <xdr:cxnSp macro="">
      <xdr:nvCxnSpPr>
        <xdr:cNvPr id="337" name="Conector recto de flecha 336"/>
        <xdr:cNvCxnSpPr/>
      </xdr:nvCxnSpPr>
      <xdr:spPr>
        <a:xfrm flipV="1">
          <a:off x="32387242" y="63294491"/>
          <a:ext cx="722524" cy="2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70036</xdr:colOff>
      <xdr:row>347</xdr:row>
      <xdr:rowOff>84044</xdr:rowOff>
    </xdr:from>
    <xdr:to>
      <xdr:col>31</xdr:col>
      <xdr:colOff>1190624</xdr:colOff>
      <xdr:row>351</xdr:row>
      <xdr:rowOff>140074</xdr:rowOff>
    </xdr:to>
    <xdr:cxnSp macro="">
      <xdr:nvCxnSpPr>
        <xdr:cNvPr id="338" name="Conector recto de flecha 337"/>
        <xdr:cNvCxnSpPr/>
      </xdr:nvCxnSpPr>
      <xdr:spPr>
        <a:xfrm>
          <a:off x="30130936" y="63291944"/>
          <a:ext cx="691963" cy="818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40342</xdr:colOff>
      <xdr:row>342</xdr:row>
      <xdr:rowOff>28015</xdr:rowOff>
    </xdr:from>
    <xdr:to>
      <xdr:col>22</xdr:col>
      <xdr:colOff>994522</xdr:colOff>
      <xdr:row>343</xdr:row>
      <xdr:rowOff>110378</xdr:rowOff>
    </xdr:to>
    <xdr:cxnSp macro="">
      <xdr:nvCxnSpPr>
        <xdr:cNvPr id="339" name="Conector recto de flecha 338"/>
        <xdr:cNvCxnSpPr/>
      </xdr:nvCxnSpPr>
      <xdr:spPr>
        <a:xfrm flipV="1">
          <a:off x="22138342" y="62131015"/>
          <a:ext cx="725580" cy="32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136045</xdr:colOff>
      <xdr:row>347</xdr:row>
      <xdr:rowOff>26096</xdr:rowOff>
    </xdr:from>
    <xdr:to>
      <xdr:col>29</xdr:col>
      <xdr:colOff>1239555</xdr:colOff>
      <xdr:row>349</xdr:row>
      <xdr:rowOff>18421</xdr:rowOff>
    </xdr:to>
    <xdr:cxnSp macro="">
      <xdr:nvCxnSpPr>
        <xdr:cNvPr id="340" name="Conector recto de flecha 339"/>
        <xdr:cNvCxnSpPr/>
      </xdr:nvCxnSpPr>
      <xdr:spPr>
        <a:xfrm flipV="1">
          <a:off x="28244320" y="63233996"/>
          <a:ext cx="627260" cy="37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116158</xdr:colOff>
      <xdr:row>341</xdr:row>
      <xdr:rowOff>162622</xdr:rowOff>
    </xdr:from>
    <xdr:to>
      <xdr:col>26</xdr:col>
      <xdr:colOff>1208969</xdr:colOff>
      <xdr:row>348</xdr:row>
      <xdr:rowOff>143657</xdr:rowOff>
    </xdr:to>
    <xdr:cxnSp macro="">
      <xdr:nvCxnSpPr>
        <xdr:cNvPr id="341" name="Conector recto de flecha 340"/>
        <xdr:cNvCxnSpPr/>
      </xdr:nvCxnSpPr>
      <xdr:spPr>
        <a:xfrm>
          <a:off x="24414433" y="62075122"/>
          <a:ext cx="2169136" cy="146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34847</xdr:colOff>
      <xdr:row>342</xdr:row>
      <xdr:rowOff>34847</xdr:rowOff>
    </xdr:from>
    <xdr:to>
      <xdr:col>35</xdr:col>
      <xdr:colOff>1</xdr:colOff>
      <xdr:row>342</xdr:row>
      <xdr:rowOff>35406</xdr:rowOff>
    </xdr:to>
    <xdr:cxnSp macro="">
      <xdr:nvCxnSpPr>
        <xdr:cNvPr id="342" name="Conector recto de flecha 341"/>
        <xdr:cNvCxnSpPr/>
      </xdr:nvCxnSpPr>
      <xdr:spPr>
        <a:xfrm flipH="1" flipV="1">
          <a:off x="32381747" y="62137847"/>
          <a:ext cx="727154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48846</xdr:colOff>
      <xdr:row>341</xdr:row>
      <xdr:rowOff>122116</xdr:rowOff>
    </xdr:from>
    <xdr:to>
      <xdr:col>54</xdr:col>
      <xdr:colOff>4090</xdr:colOff>
      <xdr:row>345</xdr:row>
      <xdr:rowOff>80543</xdr:rowOff>
    </xdr:to>
    <xdr:cxnSp macro="">
      <xdr:nvCxnSpPr>
        <xdr:cNvPr id="343" name="Conector recto de flecha 342"/>
        <xdr:cNvCxnSpPr/>
      </xdr:nvCxnSpPr>
      <xdr:spPr>
        <a:xfrm>
          <a:off x="49597896" y="62034616"/>
          <a:ext cx="1555444" cy="825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266700</xdr:colOff>
      <xdr:row>340</xdr:row>
      <xdr:rowOff>114300</xdr:rowOff>
    </xdr:from>
    <xdr:to>
      <xdr:col>48</xdr:col>
      <xdr:colOff>42190</xdr:colOff>
      <xdr:row>342</xdr:row>
      <xdr:rowOff>175793</xdr:rowOff>
    </xdr:to>
    <xdr:cxnSp macro="">
      <xdr:nvCxnSpPr>
        <xdr:cNvPr id="345" name="Conector recto de flecha 344"/>
        <xdr:cNvCxnSpPr/>
      </xdr:nvCxnSpPr>
      <xdr:spPr>
        <a:xfrm>
          <a:off x="42500550" y="61836300"/>
          <a:ext cx="2061490" cy="442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341</xdr:row>
      <xdr:rowOff>26097</xdr:rowOff>
    </xdr:from>
    <xdr:to>
      <xdr:col>51</xdr:col>
      <xdr:colOff>1001430</xdr:colOff>
      <xdr:row>342</xdr:row>
      <xdr:rowOff>209550</xdr:rowOff>
    </xdr:to>
    <xdr:cxnSp macro="">
      <xdr:nvCxnSpPr>
        <xdr:cNvPr id="346" name="Conector recto de flecha 345"/>
        <xdr:cNvCxnSpPr/>
      </xdr:nvCxnSpPr>
      <xdr:spPr>
        <a:xfrm flipV="1">
          <a:off x="47110650" y="61938597"/>
          <a:ext cx="963330" cy="373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723900</xdr:colOff>
      <xdr:row>339</xdr:row>
      <xdr:rowOff>76200</xdr:rowOff>
    </xdr:from>
    <xdr:to>
      <xdr:col>43</xdr:col>
      <xdr:colOff>431601</xdr:colOff>
      <xdr:row>340</xdr:row>
      <xdr:rowOff>74414</xdr:rowOff>
    </xdr:to>
    <xdr:cxnSp macro="">
      <xdr:nvCxnSpPr>
        <xdr:cNvPr id="347" name="Conector recto de flecha 346"/>
        <xdr:cNvCxnSpPr/>
      </xdr:nvCxnSpPr>
      <xdr:spPr>
        <a:xfrm>
          <a:off x="38595300" y="61607700"/>
          <a:ext cx="1993701" cy="18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753667</xdr:colOff>
      <xdr:row>340</xdr:row>
      <xdr:rowOff>178594</xdr:rowOff>
    </xdr:from>
    <xdr:to>
      <xdr:col>38</xdr:col>
      <xdr:colOff>625078</xdr:colOff>
      <xdr:row>346</xdr:row>
      <xdr:rowOff>76199</xdr:rowOff>
    </xdr:to>
    <xdr:cxnSp macro="">
      <xdr:nvCxnSpPr>
        <xdr:cNvPr id="348" name="Conector recto de flecha 347"/>
        <xdr:cNvCxnSpPr/>
      </xdr:nvCxnSpPr>
      <xdr:spPr>
        <a:xfrm flipV="1">
          <a:off x="33862567" y="61900594"/>
          <a:ext cx="3109911" cy="1193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730250</xdr:colOff>
      <xdr:row>329</xdr:row>
      <xdr:rowOff>5603</xdr:rowOff>
    </xdr:from>
    <xdr:to>
      <xdr:col>44</xdr:col>
      <xdr:colOff>741455</xdr:colOff>
      <xdr:row>331</xdr:row>
      <xdr:rowOff>127000</xdr:rowOff>
    </xdr:to>
    <xdr:cxnSp macro="">
      <xdr:nvCxnSpPr>
        <xdr:cNvPr id="399" name="Conector recto de flecha 398"/>
        <xdr:cNvCxnSpPr/>
      </xdr:nvCxnSpPr>
      <xdr:spPr>
        <a:xfrm flipV="1">
          <a:off x="41649650" y="59622578"/>
          <a:ext cx="11205" cy="502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400796</xdr:colOff>
      <xdr:row>330</xdr:row>
      <xdr:rowOff>14193</xdr:rowOff>
    </xdr:from>
    <xdr:to>
      <xdr:col>44</xdr:col>
      <xdr:colOff>1013385</xdr:colOff>
      <xdr:row>333</xdr:row>
      <xdr:rowOff>148665</xdr:rowOff>
    </xdr:to>
    <xdr:grpSp>
      <xdr:nvGrpSpPr>
        <xdr:cNvPr id="400" name="Grupo 399"/>
        <xdr:cNvGrpSpPr/>
      </xdr:nvGrpSpPr>
      <xdr:grpSpPr>
        <a:xfrm>
          <a:off x="34327939" y="60021693"/>
          <a:ext cx="612589" cy="678758"/>
          <a:chOff x="52088676" y="6928970"/>
          <a:chExt cx="616324" cy="691030"/>
        </a:xfrm>
      </xdr:grpSpPr>
      <xdr:cxnSp macro="">
        <xdr:nvCxnSpPr>
          <xdr:cNvPr id="401" name="Conector recto 400"/>
          <xdr:cNvCxnSpPr/>
        </xdr:nvCxnSpPr>
        <xdr:spPr>
          <a:xfrm flipH="1">
            <a:off x="52406176" y="6928970"/>
            <a:ext cx="1" cy="691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2" name="Conector recto 401"/>
          <xdr:cNvCxnSpPr/>
        </xdr:nvCxnSpPr>
        <xdr:spPr>
          <a:xfrm flipV="1">
            <a:off x="52088676" y="6928971"/>
            <a:ext cx="616324" cy="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3" name="Conector recto 402"/>
          <xdr:cNvCxnSpPr/>
        </xdr:nvCxnSpPr>
        <xdr:spPr>
          <a:xfrm>
            <a:off x="52163382" y="7153088"/>
            <a:ext cx="48558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840441</xdr:colOff>
      <xdr:row>72</xdr:row>
      <xdr:rowOff>112059</xdr:rowOff>
    </xdr:from>
    <xdr:to>
      <xdr:col>70</xdr:col>
      <xdr:colOff>448238</xdr:colOff>
      <xdr:row>324</xdr:row>
      <xdr:rowOff>112059</xdr:rowOff>
    </xdr:to>
    <xdr:cxnSp macro="">
      <xdr:nvCxnSpPr>
        <xdr:cNvPr id="404" name="Conector angular 403"/>
        <xdr:cNvCxnSpPr/>
      </xdr:nvCxnSpPr>
      <xdr:spPr>
        <a:xfrm rot="5400000" flipH="1" flipV="1">
          <a:off x="26165737" y="21571322"/>
          <a:ext cx="42470294" cy="24092650"/>
        </a:xfrm>
        <a:prstGeom prst="bentConnector3">
          <a:avLst>
            <a:gd name="adj1" fmla="val 981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Y1:ED850"/>
  <sheetViews>
    <sheetView topLeftCell="BX28" zoomScale="44" zoomScaleNormal="44" workbookViewId="0">
      <selection activeCell="CN65" sqref="CN65"/>
    </sheetView>
  </sheetViews>
  <sheetFormatPr baseColWidth="10" defaultRowHeight="15" x14ac:dyDescent="0.25"/>
  <cols>
    <col min="31" max="31" width="21.5703125" customWidth="1"/>
    <col min="38" max="38" width="17.85546875" customWidth="1"/>
    <col min="43" max="43" width="19.28515625" customWidth="1"/>
    <col min="45" max="45" width="17.85546875" customWidth="1"/>
    <col min="52" max="52" width="19.7109375" customWidth="1"/>
    <col min="58" max="58" width="15.42578125" customWidth="1"/>
    <col min="59" max="59" width="18.7109375" customWidth="1"/>
    <col min="60" max="60" width="22.140625" customWidth="1"/>
    <col min="61" max="61" width="24" customWidth="1"/>
    <col min="62" max="62" width="22" customWidth="1"/>
    <col min="63" max="63" width="23.140625" customWidth="1"/>
    <col min="64" max="64" width="26.42578125" customWidth="1"/>
    <col min="65" max="65" width="16" customWidth="1"/>
    <col min="66" max="66" width="20.42578125" customWidth="1"/>
    <col min="67" max="67" width="12.85546875" customWidth="1"/>
    <col min="68" max="68" width="14.28515625" customWidth="1"/>
    <col min="69" max="69" width="20.28515625" customWidth="1"/>
    <col min="71" max="71" width="21.42578125" customWidth="1"/>
    <col min="72" max="72" width="30" customWidth="1"/>
    <col min="73" max="73" width="20.42578125" customWidth="1"/>
    <col min="74" max="74" width="27" customWidth="1"/>
    <col min="75" max="75" width="25.85546875" customWidth="1"/>
    <col min="76" max="76" width="32.85546875" customWidth="1"/>
    <col min="77" max="77" width="20.5703125" customWidth="1"/>
    <col min="78" max="78" width="34.140625" customWidth="1"/>
    <col min="79" max="79" width="21.7109375" customWidth="1"/>
    <col min="80" max="80" width="38.7109375" customWidth="1"/>
    <col min="81" max="81" width="35.42578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9.42578125" customWidth="1"/>
    <col min="88" max="88" width="23.85546875" customWidth="1"/>
    <col min="89" max="89" width="31.42578125" customWidth="1"/>
    <col min="90" max="90" width="31.7109375" customWidth="1"/>
    <col min="91" max="91" width="20.140625" customWidth="1"/>
    <col min="93" max="93" width="13.5703125" customWidth="1"/>
    <col min="104" max="104" width="31.85546875" customWidth="1"/>
    <col min="107" max="107" width="32.42578125" customWidth="1"/>
    <col min="108" max="108" width="18.42578125" customWidth="1"/>
    <col min="109" max="109" width="20" customWidth="1"/>
    <col min="110" max="110" width="22.5703125" customWidth="1"/>
    <col min="111" max="111" width="15.140625" customWidth="1"/>
    <col min="113" max="113" width="20.140625" customWidth="1"/>
    <col min="114" max="114" width="15.7109375" bestFit="1" customWidth="1"/>
    <col min="116" max="116" width="16.28515625" customWidth="1"/>
    <col min="118" max="118" width="28.5703125" customWidth="1"/>
    <col min="119" max="119" width="20.5703125" customWidth="1"/>
    <col min="120" max="120" width="18.140625" customWidth="1"/>
    <col min="121" max="121" width="14" customWidth="1"/>
    <col min="124" max="124" width="22.140625" customWidth="1"/>
    <col min="125" max="125" width="19.85546875" customWidth="1"/>
    <col min="126" max="126" width="15.85546875" customWidth="1"/>
    <col min="130" max="130" width="14" customWidth="1"/>
  </cols>
  <sheetData>
    <row r="1" spans="75:130" x14ac:dyDescent="0.25">
      <c r="DQ1" t="s">
        <v>181</v>
      </c>
    </row>
    <row r="2" spans="75:130" x14ac:dyDescent="0.25">
      <c r="DQ2" t="s">
        <v>181</v>
      </c>
    </row>
    <row r="3" spans="75:130" x14ac:dyDescent="0.25">
      <c r="CZ3" t="s">
        <v>37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Q3" t="s">
        <v>181</v>
      </c>
    </row>
    <row r="4" spans="75:130" x14ac:dyDescent="0.25">
      <c r="CZ4" t="s">
        <v>123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Q4" t="s">
        <v>172</v>
      </c>
    </row>
    <row r="5" spans="75:130" x14ac:dyDescent="0.25">
      <c r="CZ5" t="s">
        <v>150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Q5" t="s">
        <v>172</v>
      </c>
    </row>
    <row r="6" spans="75:130" x14ac:dyDescent="0.25">
      <c r="CZ6" t="s">
        <v>172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Q6" t="s">
        <v>172</v>
      </c>
    </row>
    <row r="7" spans="75:130" x14ac:dyDescent="0.25">
      <c r="CZ7" t="s">
        <v>240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 t="s">
        <v>172</v>
      </c>
    </row>
    <row r="8" spans="75:130" ht="15.75" thickBot="1" x14ac:dyDescent="0.3">
      <c r="CZ8" t="s">
        <v>181</v>
      </c>
      <c r="DA8">
        <v>1</v>
      </c>
      <c r="DB8">
        <v>1</v>
      </c>
      <c r="DC8">
        <v>1</v>
      </c>
      <c r="DD8">
        <v>1</v>
      </c>
      <c r="DQ8" t="s">
        <v>172</v>
      </c>
    </row>
    <row r="9" spans="75:130" x14ac:dyDescent="0.25">
      <c r="BW9" s="453" t="s">
        <v>105</v>
      </c>
      <c r="BX9" s="454"/>
      <c r="DC9" t="s">
        <v>123</v>
      </c>
      <c r="DQ9" t="s">
        <v>172</v>
      </c>
      <c r="DZ9" t="s">
        <v>181</v>
      </c>
    </row>
    <row r="10" spans="75:130" x14ac:dyDescent="0.25">
      <c r="BW10" s="455"/>
      <c r="BX10" s="456"/>
      <c r="DC10" t="s">
        <v>123</v>
      </c>
      <c r="DQ10" t="s">
        <v>172</v>
      </c>
      <c r="DW10" t="s">
        <v>181</v>
      </c>
      <c r="DZ10" t="s">
        <v>240</v>
      </c>
    </row>
    <row r="11" spans="75:130" x14ac:dyDescent="0.25">
      <c r="BW11" s="455"/>
      <c r="BX11" s="456"/>
      <c r="DA11" t="s">
        <v>123</v>
      </c>
      <c r="DC11" t="s">
        <v>123</v>
      </c>
      <c r="DQ11" t="s">
        <v>172</v>
      </c>
      <c r="DW11" t="s">
        <v>172</v>
      </c>
      <c r="DZ11" t="s">
        <v>172</v>
      </c>
    </row>
    <row r="12" spans="75:130" x14ac:dyDescent="0.25">
      <c r="BW12" s="455"/>
      <c r="BX12" s="456"/>
      <c r="DA12" t="s">
        <v>123</v>
      </c>
      <c r="DC12" t="s">
        <v>37</v>
      </c>
      <c r="DQ12" t="s">
        <v>150</v>
      </c>
      <c r="DW12" t="s">
        <v>150</v>
      </c>
      <c r="DZ12" t="s">
        <v>150</v>
      </c>
    </row>
    <row r="13" spans="75:130" x14ac:dyDescent="0.25">
      <c r="BW13" s="455"/>
      <c r="BX13" s="456"/>
      <c r="DA13" t="s">
        <v>37</v>
      </c>
      <c r="DC13" t="s">
        <v>37</v>
      </c>
      <c r="DD13" t="s">
        <v>240</v>
      </c>
      <c r="DH13" t="s">
        <v>240</v>
      </c>
      <c r="DJ13" t="s">
        <v>240</v>
      </c>
      <c r="DQ13" t="s">
        <v>150</v>
      </c>
      <c r="DR13" t="s">
        <v>240</v>
      </c>
      <c r="DS13" t="s">
        <v>240</v>
      </c>
      <c r="DV13" t="s">
        <v>240</v>
      </c>
      <c r="DW13" t="s">
        <v>123</v>
      </c>
      <c r="DZ13" t="s">
        <v>123</v>
      </c>
    </row>
    <row r="14" spans="75:130" ht="15.75" thickBot="1" x14ac:dyDescent="0.3">
      <c r="BW14" s="457"/>
      <c r="BX14" s="458"/>
      <c r="DA14" t="s">
        <v>37</v>
      </c>
      <c r="DC14" t="s">
        <v>37</v>
      </c>
      <c r="DD14" t="s">
        <v>37</v>
      </c>
      <c r="DG14" t="s">
        <v>240</v>
      </c>
      <c r="DH14" t="s">
        <v>240</v>
      </c>
      <c r="DJ14" t="s">
        <v>240</v>
      </c>
      <c r="DQ14" t="s">
        <v>150</v>
      </c>
      <c r="DR14" t="s">
        <v>240</v>
      </c>
      <c r="DS14" t="s">
        <v>37</v>
      </c>
      <c r="DU14" t="s">
        <v>150</v>
      </c>
      <c r="DV14" t="s">
        <v>37</v>
      </c>
      <c r="DW14" t="s">
        <v>37</v>
      </c>
      <c r="DZ14" t="s">
        <v>37</v>
      </c>
    </row>
    <row r="15" spans="75:130" ht="15.75" thickBot="1" x14ac:dyDescent="0.3">
      <c r="BW15" s="10"/>
      <c r="BX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G15" t="s">
        <v>37</v>
      </c>
      <c r="DH15" t="s">
        <v>37</v>
      </c>
      <c r="DI15" t="s">
        <v>240</v>
      </c>
      <c r="DJ15" t="s">
        <v>172</v>
      </c>
      <c r="DL15" t="s">
        <v>240</v>
      </c>
      <c r="DQ15" t="s">
        <v>150</v>
      </c>
      <c r="DR15" t="s">
        <v>37</v>
      </c>
      <c r="DT15" t="s">
        <v>88</v>
      </c>
      <c r="DU15" t="s">
        <v>88</v>
      </c>
      <c r="DV15" t="s">
        <v>88</v>
      </c>
      <c r="DW15" t="s">
        <v>88</v>
      </c>
      <c r="DX15" t="s">
        <v>88</v>
      </c>
      <c r="DY15" t="s">
        <v>88</v>
      </c>
      <c r="DZ15" t="s">
        <v>88</v>
      </c>
    </row>
    <row r="16" spans="75:130" ht="36" x14ac:dyDescent="0.55000000000000004">
      <c r="BW16" s="10"/>
      <c r="BX16" s="10"/>
      <c r="BZ16" s="10"/>
      <c r="CA16" s="10"/>
      <c r="CB16" s="453" t="s">
        <v>105</v>
      </c>
      <c r="CC16" s="454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DA16" s="183" t="s">
        <v>224</v>
      </c>
      <c r="DK16" t="s">
        <v>240</v>
      </c>
      <c r="DL16" t="s">
        <v>240</v>
      </c>
      <c r="DM16" t="s">
        <v>240</v>
      </c>
    </row>
    <row r="17" spans="75:134" x14ac:dyDescent="0.25">
      <c r="BW17" s="10"/>
      <c r="BX17" s="10"/>
      <c r="BZ17" s="10"/>
      <c r="CA17" s="10"/>
      <c r="CB17" s="455"/>
      <c r="CC17" s="456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Y17" s="189"/>
      <c r="CZ17" s="190" t="s">
        <v>227</v>
      </c>
      <c r="DA17" s="191" t="str">
        <f>CJ55</f>
        <v>Enfundado</v>
      </c>
      <c r="DB17" s="191" t="str">
        <f>CZ19</f>
        <v>Sellado</v>
      </c>
      <c r="DC17" s="191" t="str">
        <f>CZ20</f>
        <v>Confección funda sin cremallera</v>
      </c>
      <c r="DD17" s="191" t="str">
        <f>CZ21</f>
        <v>Corte tapa de tela</v>
      </c>
      <c r="DE17" s="191" t="str">
        <f>CZ22</f>
        <v>Rellenado - Pesado</v>
      </c>
      <c r="DF17" s="191" t="str">
        <f>CZ23</f>
        <v>Corte tapas de espuma</v>
      </c>
      <c r="DG17">
        <f>CZ24</f>
        <v>0</v>
      </c>
      <c r="DH17" t="str">
        <f>CZ25</f>
        <v>Compresor</v>
      </c>
      <c r="DI17" t="str">
        <f>CZ26</f>
        <v>Corte</v>
      </c>
      <c r="DJ17" t="str">
        <f>CZ27</f>
        <v>Curado-Almacen</v>
      </c>
      <c r="DK17" t="str">
        <f>CZ28</f>
        <v>Acolchado</v>
      </c>
      <c r="DL17" t="str">
        <f>CZ29</f>
        <v>Corte espuma continua</v>
      </c>
      <c r="DM17" t="str">
        <f>CZ30</f>
        <v>Perforación cilindro</v>
      </c>
      <c r="DN17" s="315" t="str">
        <f>CZ31</f>
        <v>Confección clchón algodón</v>
      </c>
      <c r="DO17" t="str">
        <f>CZ32</f>
        <v>Almacen madera</v>
      </c>
      <c r="DP17" t="str">
        <f>CZ33</f>
        <v>Corte madera</v>
      </c>
      <c r="DQ17" t="str">
        <f>CZ34</f>
        <v>Lijado</v>
      </c>
      <c r="DR17" t="str">
        <f>CZ35</f>
        <v>Barnizado</v>
      </c>
      <c r="DS17" t="str">
        <f>CZ36</f>
        <v>Ensamble base cama</v>
      </c>
      <c r="DU17" t="str">
        <f>CZ38</f>
        <v>Cerrado-confección-tapizado</v>
      </c>
      <c r="DV17" s="191">
        <f>CZ39</f>
        <v>0</v>
      </c>
      <c r="DW17" s="191">
        <f>CZ40</f>
        <v>0</v>
      </c>
      <c r="DX17" s="191" t="str">
        <f>CZ41</f>
        <v>Pegar tapas espuma</v>
      </c>
      <c r="DY17" s="191" t="str">
        <f>CZ42</f>
        <v>Triturado-Corte manual</v>
      </c>
      <c r="DZ17" s="191" t="str">
        <f>CZ43</f>
        <v>Desechos</v>
      </c>
      <c r="EA17" s="290" t="str">
        <f>CZ44</f>
        <v>Almacen PT</v>
      </c>
      <c r="EB17" s="191" t="str">
        <f>CZ45</f>
        <v>Almacen insumos/mp</v>
      </c>
      <c r="EC17" s="191"/>
      <c r="ED17" s="192" t="str">
        <f>CZ46</f>
        <v>Almacen reproceso</v>
      </c>
    </row>
    <row r="18" spans="75:134" x14ac:dyDescent="0.25">
      <c r="BW18" s="10"/>
      <c r="BX18" s="10"/>
      <c r="BZ18" s="10"/>
      <c r="CA18" s="10"/>
      <c r="CB18" s="455"/>
      <c r="CC18" s="456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W18" t="s">
        <v>123</v>
      </c>
      <c r="CX18" t="s">
        <v>37</v>
      </c>
      <c r="CY18" s="193" t="s">
        <v>88</v>
      </c>
      <c r="CZ18" s="10" t="str">
        <f>CJ55</f>
        <v>Enfundado</v>
      </c>
      <c r="DA18" s="10"/>
      <c r="DB18" s="10"/>
      <c r="DC18" s="10"/>
      <c r="DD18" s="10"/>
      <c r="DE18" s="10"/>
      <c r="DF18" s="10"/>
      <c r="DV18" s="10"/>
      <c r="DW18" s="10"/>
      <c r="DX18" s="10"/>
      <c r="DY18" s="10"/>
      <c r="DZ18" s="10"/>
      <c r="EA18" s="10">
        <f>CL56+CL117+CL178</f>
        <v>1966.2462567178998</v>
      </c>
      <c r="EB18" s="10"/>
      <c r="EC18" s="10"/>
      <c r="ED18" s="194"/>
    </row>
    <row r="19" spans="75:134" x14ac:dyDescent="0.25">
      <c r="BW19" s="10"/>
      <c r="BX19" s="10"/>
      <c r="BZ19" s="10"/>
      <c r="CA19" s="10"/>
      <c r="CB19" s="455"/>
      <c r="CC19" s="456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V19" t="s">
        <v>242</v>
      </c>
      <c r="CY19" s="193" t="s">
        <v>88</v>
      </c>
      <c r="CZ19" s="10" t="s">
        <v>29</v>
      </c>
      <c r="DA19" s="10">
        <f>CH58</f>
        <v>52.523865678024002</v>
      </c>
      <c r="DB19" s="10"/>
      <c r="DC19" s="10"/>
      <c r="DD19" s="10"/>
      <c r="DE19" s="10"/>
      <c r="DF19" s="10"/>
      <c r="DV19" s="10"/>
      <c r="DW19" s="10"/>
      <c r="DX19" s="10"/>
      <c r="DY19" s="10"/>
      <c r="DZ19" s="10"/>
      <c r="EA19" s="10"/>
      <c r="EB19" s="10"/>
      <c r="EC19" s="10"/>
      <c r="ED19" s="194"/>
    </row>
    <row r="20" spans="75:134" x14ac:dyDescent="0.25">
      <c r="BW20" s="441" t="s">
        <v>226</v>
      </c>
      <c r="BX20" s="442"/>
      <c r="BZ20" s="10"/>
      <c r="CA20" s="10"/>
      <c r="CB20" s="455"/>
      <c r="CC20" s="456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V20" t="s">
        <v>123</v>
      </c>
      <c r="CW20" t="s">
        <v>37</v>
      </c>
      <c r="CX20" t="s">
        <v>37</v>
      </c>
      <c r="CY20" s="193" t="s">
        <v>88</v>
      </c>
      <c r="CZ20" s="10" t="str">
        <f>CC42</f>
        <v>Confección funda sin cremallera</v>
      </c>
      <c r="DA20" s="10">
        <f>CH52+CH113+CH174</f>
        <v>296.27839103987611</v>
      </c>
      <c r="DB20" s="10"/>
      <c r="DC20" s="10"/>
      <c r="DD20" s="10"/>
      <c r="DE20" s="10"/>
      <c r="DF20" s="10"/>
      <c r="DV20" s="10"/>
      <c r="DW20" s="10"/>
      <c r="DX20" s="10"/>
      <c r="DY20" s="10"/>
      <c r="DZ20" s="222">
        <f>CB29+CC94</f>
        <v>1.0235403760689608</v>
      </c>
      <c r="EA20" s="10"/>
      <c r="EB20" s="10"/>
      <c r="EC20" s="10"/>
      <c r="ED20" s="207"/>
    </row>
    <row r="21" spans="75:134" ht="15.75" thickBot="1" x14ac:dyDescent="0.3">
      <c r="BW21" s="406" t="str">
        <f>BX29</f>
        <v>RETAZOS DE TELA</v>
      </c>
      <c r="BX21" s="407"/>
      <c r="BZ21" s="10"/>
      <c r="CA21" s="10"/>
      <c r="CB21" s="457"/>
      <c r="CC21" s="458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 t="s">
        <v>181</v>
      </c>
      <c r="CP21" t="s">
        <v>181</v>
      </c>
      <c r="CQ21" t="s">
        <v>172</v>
      </c>
      <c r="CR21" t="s">
        <v>172</v>
      </c>
      <c r="CS21" t="s">
        <v>150</v>
      </c>
      <c r="CT21" t="s">
        <v>150</v>
      </c>
      <c r="CU21" t="s">
        <v>123</v>
      </c>
      <c r="CV21" t="s">
        <v>123</v>
      </c>
      <c r="CW21" t="s">
        <v>37</v>
      </c>
      <c r="CX21" t="s">
        <v>37</v>
      </c>
      <c r="CY21" s="316" t="s">
        <v>88</v>
      </c>
      <c r="CZ21" s="317" t="str">
        <f>BX35</f>
        <v>Corte tapa de tela</v>
      </c>
      <c r="DA21" s="317"/>
      <c r="DB21" s="317"/>
      <c r="DC21" s="317">
        <f>CA38+CA99+CA160</f>
        <v>290.83754670035205</v>
      </c>
      <c r="DD21" s="317"/>
      <c r="DE21" s="317"/>
      <c r="DF21" s="317"/>
      <c r="DG21" s="318"/>
      <c r="DH21" s="318"/>
      <c r="DI21" s="318"/>
      <c r="DJ21" s="318"/>
      <c r="DK21" s="318"/>
      <c r="DL21" s="318"/>
      <c r="DM21" s="318"/>
      <c r="DN21" s="318">
        <f>CI779</f>
        <v>392.07331800000003</v>
      </c>
      <c r="DO21" s="318"/>
      <c r="DP21" s="318"/>
      <c r="DU21" s="318">
        <f>CJ349+CH230+CJ423+CJ499+CJ577+CI699</f>
        <v>333.24378341517325</v>
      </c>
      <c r="DV21" s="317"/>
      <c r="DW21" s="317"/>
      <c r="DX21" s="317"/>
      <c r="DY21" s="317"/>
      <c r="DZ21" s="320">
        <f>BW22</f>
        <v>6.5952000000000011</v>
      </c>
      <c r="EA21" s="317"/>
      <c r="EB21" s="317"/>
      <c r="EC21" s="317"/>
      <c r="ED21" s="321">
        <f>BX93+BM154+BT197+BZ329+BV390+BV466+BV544+BU666</f>
        <v>36.238666505776258</v>
      </c>
    </row>
    <row r="22" spans="75:134" x14ac:dyDescent="0.25">
      <c r="BW22" s="12">
        <f>BX32</f>
        <v>6.5952000000000011</v>
      </c>
      <c r="BX22" s="4" t="s">
        <v>18</v>
      </c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Y22" s="193" t="s">
        <v>88</v>
      </c>
      <c r="CZ22" s="10" t="s">
        <v>229</v>
      </c>
      <c r="DA22" s="10"/>
      <c r="DB22" s="10">
        <f>CA69</f>
        <v>52.484848919999997</v>
      </c>
      <c r="DC22" s="10"/>
      <c r="DD22" s="10"/>
      <c r="DE22" s="10"/>
      <c r="DF22" s="10"/>
      <c r="DV22" s="10"/>
      <c r="DW22" s="10"/>
      <c r="DX22" s="10"/>
      <c r="DY22" s="10"/>
      <c r="DZ22" s="10"/>
      <c r="EA22" s="10"/>
      <c r="EB22" s="10"/>
      <c r="EC22" s="10"/>
      <c r="ED22" s="194"/>
    </row>
    <row r="23" spans="75:134" x14ac:dyDescent="0.25">
      <c r="BW23" s="12">
        <f>BW22/CF77</f>
        <v>65.952000000000012</v>
      </c>
      <c r="BX23" s="4" t="s">
        <v>17</v>
      </c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Y23" s="316" t="s">
        <v>88</v>
      </c>
      <c r="CZ23" s="317" t="str">
        <f>BK52</f>
        <v>Corte tapas de espuma</v>
      </c>
      <c r="DA23" s="317"/>
      <c r="DB23" s="317"/>
      <c r="DC23" s="317"/>
      <c r="DD23" s="317"/>
      <c r="DE23" s="317"/>
      <c r="DF23" s="317"/>
      <c r="DG23" s="318"/>
      <c r="DH23" s="318"/>
      <c r="DI23" s="318"/>
      <c r="DJ23" s="318"/>
      <c r="DK23" s="318"/>
      <c r="DL23" s="318"/>
      <c r="DM23" s="318"/>
      <c r="DN23" s="318"/>
      <c r="DO23" s="318"/>
      <c r="DP23" s="318"/>
      <c r="DU23" s="318"/>
      <c r="DV23" s="317"/>
      <c r="DW23" s="317"/>
      <c r="DX23" s="317">
        <f>BO54</f>
        <v>4.8948749999999999</v>
      </c>
      <c r="DY23" s="317"/>
      <c r="DZ23" s="317"/>
      <c r="EA23" s="317"/>
      <c r="EB23" s="317"/>
      <c r="EC23" s="317"/>
      <c r="ED23" s="319">
        <f>BG62</f>
        <v>3.3285149999999999</v>
      </c>
    </row>
    <row r="24" spans="75:134" x14ac:dyDescent="0.25">
      <c r="BW24" s="10"/>
      <c r="BX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X24" t="s">
        <v>240</v>
      </c>
      <c r="CY24" s="203" t="s">
        <v>37</v>
      </c>
      <c r="CZ24">
        <f>BQ119</f>
        <v>0</v>
      </c>
    </row>
    <row r="25" spans="75:134" x14ac:dyDescent="0.25">
      <c r="BW25" s="10"/>
      <c r="BX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Z25" t="s">
        <v>235</v>
      </c>
    </row>
    <row r="26" spans="75:134" x14ac:dyDescent="0.25">
      <c r="BW26" s="10"/>
      <c r="BX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X26" t="s">
        <v>172</v>
      </c>
      <c r="CY26" t="s">
        <v>123</v>
      </c>
      <c r="CZ26" t="s">
        <v>142</v>
      </c>
      <c r="DA26" s="14"/>
      <c r="DU26" s="14"/>
    </row>
    <row r="27" spans="75:134" x14ac:dyDescent="0.25">
      <c r="BW27" s="10"/>
      <c r="BX27" s="10"/>
      <c r="BZ27" s="10"/>
      <c r="CA27" s="10"/>
      <c r="CB27" s="441" t="s">
        <v>226</v>
      </c>
      <c r="CC27" s="442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X27" t="s">
        <v>240</v>
      </c>
      <c r="CY27" t="s">
        <v>240</v>
      </c>
      <c r="CZ27" t="s">
        <v>241</v>
      </c>
    </row>
    <row r="28" spans="75:134" x14ac:dyDescent="0.25">
      <c r="BW28" s="10"/>
      <c r="BX28" s="10"/>
      <c r="BZ28" s="10"/>
      <c r="CA28" s="10"/>
      <c r="CB28" s="406" t="str">
        <f>CC36</f>
        <v>HILO</v>
      </c>
      <c r="CC28" s="407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X28" t="s">
        <v>240</v>
      </c>
      <c r="CY28" t="s">
        <v>240</v>
      </c>
      <c r="CZ28" t="s">
        <v>213</v>
      </c>
      <c r="DD28">
        <f>BW334</f>
        <v>636.43138662130139</v>
      </c>
      <c r="DZ28">
        <f>BT324</f>
        <v>0.14788516787987999</v>
      </c>
    </row>
    <row r="29" spans="75:134" x14ac:dyDescent="0.25">
      <c r="BW29" s="10"/>
      <c r="BX29" s="48" t="s">
        <v>228</v>
      </c>
      <c r="BZ29" s="10"/>
      <c r="CA29" s="10"/>
      <c r="CB29" s="12">
        <f>CC39</f>
        <v>1.5606703209600007E-2</v>
      </c>
      <c r="CC29" s="4" t="s">
        <v>18</v>
      </c>
      <c r="CD29" s="10"/>
      <c r="CE29" s="10"/>
      <c r="CF29" s="10"/>
      <c r="CG29" s="10"/>
      <c r="CH29" s="10"/>
      <c r="CI29" s="10"/>
      <c r="CJ29" s="10"/>
      <c r="CK29" s="10"/>
      <c r="CX29" t="s">
        <v>240</v>
      </c>
      <c r="CY29" t="s">
        <v>240</v>
      </c>
      <c r="CZ29" t="s">
        <v>218</v>
      </c>
      <c r="DJ29" s="21"/>
      <c r="DK29" s="224"/>
      <c r="ED29" s="21"/>
    </row>
    <row r="30" spans="75:134" x14ac:dyDescent="0.25">
      <c r="BX30" s="18" t="s">
        <v>36</v>
      </c>
      <c r="BZ30" s="10"/>
      <c r="CA30" s="10"/>
      <c r="CB30" s="12">
        <f>CB29/CF76</f>
        <v>201.1536000000001</v>
      </c>
      <c r="CC30" s="4" t="s">
        <v>16</v>
      </c>
      <c r="CD30" s="10"/>
      <c r="CE30" s="10"/>
      <c r="CF30" s="10"/>
      <c r="CG30" s="10"/>
      <c r="CH30" s="10"/>
      <c r="CI30" s="10"/>
      <c r="CJ30" s="10"/>
      <c r="CK30" s="10"/>
      <c r="CX30" t="s">
        <v>240</v>
      </c>
      <c r="CY30" t="s">
        <v>240</v>
      </c>
      <c r="CZ30" t="s">
        <v>222</v>
      </c>
      <c r="DO30" s="14"/>
      <c r="DP30" s="14"/>
      <c r="DQ30" s="14"/>
      <c r="DR30" s="14"/>
      <c r="DS30" s="14"/>
      <c r="ED30" s="21"/>
    </row>
    <row r="31" spans="75:134" x14ac:dyDescent="0.25">
      <c r="BX31" s="19" t="s">
        <v>54</v>
      </c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Z31" t="s">
        <v>265</v>
      </c>
      <c r="DO31" s="14"/>
      <c r="DP31" s="14"/>
      <c r="DQ31" s="14"/>
      <c r="DR31" s="14"/>
      <c r="DS31" s="14"/>
    </row>
    <row r="32" spans="75:134" x14ac:dyDescent="0.25">
      <c r="BX32" s="38">
        <f>(48*60)*CC77*CF77*CG52</f>
        <v>6.5952000000000011</v>
      </c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Z32" t="s">
        <v>294</v>
      </c>
      <c r="DO32" s="14"/>
      <c r="DP32" s="14">
        <v>2093.710709</v>
      </c>
      <c r="DQ32" s="14"/>
      <c r="DR32" s="14">
        <v>30.842079999999999</v>
      </c>
      <c r="DS32" s="14">
        <v>80.561999999999998</v>
      </c>
    </row>
    <row r="33" spans="63:134" x14ac:dyDescent="0.25">
      <c r="BX33" s="1">
        <f>BU39</f>
        <v>23.083200000000001</v>
      </c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Z33" t="s">
        <v>295</v>
      </c>
      <c r="DO33" s="14">
        <v>20.729808999999932</v>
      </c>
      <c r="DP33" s="14"/>
      <c r="DQ33" s="14">
        <v>2072.9809</v>
      </c>
      <c r="DR33" s="14"/>
      <c r="DS33" s="14"/>
    </row>
    <row r="34" spans="63:134" x14ac:dyDescent="0.25">
      <c r="BQ34" s="97" t="s">
        <v>51</v>
      </c>
      <c r="BR34" s="98"/>
      <c r="BT34" s="470" t="s">
        <v>66</v>
      </c>
      <c r="BU34" s="460"/>
      <c r="BX34" s="13" t="s">
        <v>34</v>
      </c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W34" t="s">
        <v>181</v>
      </c>
      <c r="CX34" t="s">
        <v>172</v>
      </c>
      <c r="CZ34" t="s">
        <v>291</v>
      </c>
      <c r="DO34" s="14"/>
      <c r="DP34" s="14"/>
      <c r="DQ34" s="14"/>
      <c r="DR34" s="14">
        <v>2072.7736019099998</v>
      </c>
      <c r="DS34" s="14"/>
      <c r="DZ34" s="14">
        <v>0.20729809000022215</v>
      </c>
      <c r="EA34" s="14"/>
    </row>
    <row r="35" spans="63:134" x14ac:dyDescent="0.25">
      <c r="BQ35" s="95" t="str">
        <f>BT34</f>
        <v>Rollo de tela</v>
      </c>
      <c r="BR35" s="96"/>
      <c r="BT35" s="471"/>
      <c r="BU35" s="462"/>
      <c r="BX35" s="102" t="s">
        <v>65</v>
      </c>
      <c r="BZ35" s="449" t="s">
        <v>64</v>
      </c>
      <c r="CA35" s="425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T35" t="s">
        <v>240</v>
      </c>
      <c r="CU35" t="s">
        <v>240</v>
      </c>
      <c r="CV35" t="s">
        <v>240</v>
      </c>
      <c r="CW35" t="s">
        <v>172</v>
      </c>
      <c r="CX35" t="s">
        <v>37</v>
      </c>
      <c r="CZ35" t="s">
        <v>292</v>
      </c>
      <c r="DO35" s="14"/>
      <c r="DP35" s="14"/>
      <c r="DQ35" s="14"/>
      <c r="DR35" s="14"/>
      <c r="DS35" s="14">
        <v>2103.6156819099997</v>
      </c>
      <c r="DZ35" s="14"/>
      <c r="EA35" s="14"/>
    </row>
    <row r="36" spans="63:134" x14ac:dyDescent="0.25">
      <c r="BQ36" s="12" t="s">
        <v>155</v>
      </c>
      <c r="BR36" s="4" t="s">
        <v>18</v>
      </c>
      <c r="BT36" s="101" t="s">
        <v>30</v>
      </c>
      <c r="BU36" s="101" t="s">
        <v>1</v>
      </c>
      <c r="BV36" s="101" t="s">
        <v>42</v>
      </c>
      <c r="BX36" s="14" t="s">
        <v>35</v>
      </c>
      <c r="BZ36" s="450"/>
      <c r="CA36" s="427"/>
      <c r="CB36" s="10"/>
      <c r="CC36" s="48" t="s">
        <v>225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W36" t="s">
        <v>240</v>
      </c>
      <c r="CX36" t="s">
        <v>240</v>
      </c>
      <c r="CZ36" t="s">
        <v>296</v>
      </c>
      <c r="DO36" s="14"/>
      <c r="DP36" s="14"/>
      <c r="DQ36" s="14"/>
      <c r="DR36" s="14"/>
      <c r="DS36" s="14"/>
      <c r="DZ36" s="14"/>
      <c r="EA36" s="14">
        <v>2184.1776819099996</v>
      </c>
    </row>
    <row r="37" spans="63:134" x14ac:dyDescent="0.25">
      <c r="BQ37" s="12">
        <f>BT37</f>
        <v>387.07200000000006</v>
      </c>
      <c r="BR37" s="4">
        <f>BU37</f>
        <v>38.707200000000007</v>
      </c>
      <c r="BT37" s="101">
        <f>BU37*10</f>
        <v>387.07200000000006</v>
      </c>
      <c r="BU37" s="4">
        <f>SUM(BU39:BU42)</f>
        <v>38.707200000000007</v>
      </c>
      <c r="BV37" s="36"/>
      <c r="BX37">
        <f>CA38</f>
        <v>16.488</v>
      </c>
      <c r="BZ37" s="157" t="s">
        <v>30</v>
      </c>
      <c r="CA37" s="101" t="s">
        <v>1</v>
      </c>
      <c r="CB37" s="159" t="s">
        <v>42</v>
      </c>
      <c r="CC37" s="49" t="s">
        <v>36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DO37" s="14"/>
      <c r="DP37" s="14"/>
      <c r="DQ37" s="14"/>
      <c r="DR37" s="14"/>
      <c r="DS37" s="14"/>
    </row>
    <row r="38" spans="63:134" x14ac:dyDescent="0.25">
      <c r="BT38" s="465" t="s">
        <v>67</v>
      </c>
      <c r="BU38" s="14">
        <f>(48*210)*CC77*CG52</f>
        <v>230.83199999999999</v>
      </c>
      <c r="BV38" t="s">
        <v>69</v>
      </c>
      <c r="BX38" s="15" t="s">
        <v>36</v>
      </c>
      <c r="BZ38" s="157">
        <f>CG52*CA77*CC77</f>
        <v>164.88</v>
      </c>
      <c r="CA38" s="4">
        <f>CG52*CA77*CC77*CF77</f>
        <v>16.488</v>
      </c>
      <c r="CB38" s="185"/>
      <c r="CC38" s="45" t="s">
        <v>54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U38" t="s">
        <v>181</v>
      </c>
      <c r="CV38" t="s">
        <v>172</v>
      </c>
      <c r="CW38" t="s">
        <v>172</v>
      </c>
      <c r="CX38" t="s">
        <v>150</v>
      </c>
      <c r="CY38" t="s">
        <v>150</v>
      </c>
      <c r="CZ38" t="s">
        <v>237</v>
      </c>
      <c r="EA38">
        <f>CN353+CL234+CN427+CN503+CN581</f>
        <v>4166.4084709234048</v>
      </c>
    </row>
    <row r="39" spans="63:134" x14ac:dyDescent="0.25">
      <c r="BT39" s="466"/>
      <c r="BU39" s="14">
        <f>(48*210)*CC77*CF77*CG52</f>
        <v>23.083200000000001</v>
      </c>
      <c r="BV39" t="s">
        <v>68</v>
      </c>
      <c r="BX39" s="35" t="s">
        <v>63</v>
      </c>
      <c r="BZ39" s="10"/>
      <c r="CA39" s="10"/>
      <c r="CB39" s="10"/>
      <c r="CC39" s="49">
        <f>(BZ49-CA78)*CC78*CF78*CG52</f>
        <v>1.5606703209600007E-2</v>
      </c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Y39" s="193" t="s">
        <v>37</v>
      </c>
      <c r="CZ39" s="10">
        <f>CC124</f>
        <v>0</v>
      </c>
      <c r="DA39" s="48"/>
      <c r="DB39" s="10"/>
      <c r="DC39" s="10"/>
      <c r="DD39" s="10"/>
      <c r="DE39" s="10"/>
      <c r="DF39" s="10"/>
      <c r="DV39" s="10"/>
      <c r="DW39" s="10"/>
      <c r="DX39" s="10"/>
      <c r="DY39" s="10"/>
      <c r="DZ39" s="10"/>
      <c r="EA39" s="10"/>
      <c r="EB39" s="10"/>
      <c r="EC39" s="10"/>
      <c r="ED39" s="194"/>
    </row>
    <row r="40" spans="63:134" x14ac:dyDescent="0.25">
      <c r="BT40" t="str">
        <f>BT99</f>
        <v>Por tapa almohada viscoelastica</v>
      </c>
      <c r="BU40" s="14">
        <f>BU100</f>
        <v>15.624000000000004</v>
      </c>
      <c r="BV40" t="str">
        <f>BV100</f>
        <v>sale kg</v>
      </c>
      <c r="BX40" s="28"/>
      <c r="BZ40" s="10"/>
      <c r="CA40" s="10"/>
      <c r="CB40" s="10"/>
      <c r="CC40" s="116">
        <f>CA38+CA48</f>
        <v>16.607651391273599</v>
      </c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Y40" s="205" t="s">
        <v>37</v>
      </c>
      <c r="CZ40" s="204">
        <f>BX124</f>
        <v>0</v>
      </c>
      <c r="DA40" s="10"/>
      <c r="DB40" s="10"/>
      <c r="DC40" s="10"/>
      <c r="DD40" s="10"/>
      <c r="DE40" s="10"/>
      <c r="DF40" s="10"/>
      <c r="DV40" s="10"/>
      <c r="DW40" s="10"/>
      <c r="DX40" s="10"/>
      <c r="DY40" s="10"/>
      <c r="DZ40" s="10"/>
      <c r="EA40" s="10"/>
      <c r="EB40" s="10"/>
      <c r="EC40" s="10"/>
      <c r="ED40" s="194"/>
    </row>
    <row r="41" spans="63:134" x14ac:dyDescent="0.25">
      <c r="BX41" s="16"/>
      <c r="BZ41" s="10"/>
      <c r="CA41" s="10"/>
      <c r="CB41" s="10"/>
      <c r="CC41" s="47" t="s">
        <v>34</v>
      </c>
      <c r="CD41" s="10"/>
      <c r="CE41" s="10"/>
      <c r="CF41" s="10"/>
      <c r="CG41" s="10"/>
      <c r="CH41" s="10"/>
      <c r="CI41" s="10"/>
      <c r="CJ41" s="10"/>
      <c r="CK41" s="10" t="s">
        <v>181</v>
      </c>
      <c r="CL41" s="10" t="s">
        <v>240</v>
      </c>
      <c r="CM41" s="10" t="s">
        <v>240</v>
      </c>
      <c r="CN41" s="10" t="s">
        <v>172</v>
      </c>
      <c r="CO41" s="10" t="s">
        <v>172</v>
      </c>
      <c r="CP41" t="s">
        <v>172</v>
      </c>
      <c r="CQ41" t="s">
        <v>172</v>
      </c>
      <c r="CR41" t="s">
        <v>150</v>
      </c>
      <c r="CS41" t="s">
        <v>150</v>
      </c>
      <c r="CT41" t="s">
        <v>123</v>
      </c>
      <c r="CU41" t="s">
        <v>123</v>
      </c>
      <c r="CV41" t="s">
        <v>37</v>
      </c>
      <c r="CW41" t="s">
        <v>37</v>
      </c>
      <c r="CX41" t="s">
        <v>37</v>
      </c>
      <c r="CY41" s="193" t="s">
        <v>88</v>
      </c>
      <c r="CZ41" s="10" t="str">
        <f>BQ58</f>
        <v>Pegar tapas espuma</v>
      </c>
      <c r="DA41" s="10"/>
      <c r="DB41" s="10"/>
      <c r="DC41" s="10"/>
      <c r="DD41" s="10"/>
      <c r="DE41" s="10">
        <f>BV59</f>
        <v>6.6848489199999994</v>
      </c>
      <c r="DF41" s="10"/>
      <c r="DV41" s="10"/>
      <c r="DW41" s="10"/>
      <c r="DX41" s="10"/>
      <c r="DY41" s="10"/>
      <c r="DZ41" s="10"/>
      <c r="EA41" s="10"/>
      <c r="EB41" s="10"/>
      <c r="EC41" s="10"/>
      <c r="ED41" s="194"/>
    </row>
    <row r="42" spans="63:134" x14ac:dyDescent="0.25">
      <c r="BZ42" s="10"/>
      <c r="CA42" s="10"/>
      <c r="CB42" s="10"/>
      <c r="CC42" s="200" t="s">
        <v>60</v>
      </c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V42" t="s">
        <v>172</v>
      </c>
      <c r="CW42" t="s">
        <v>150</v>
      </c>
      <c r="CX42" t="s">
        <v>37</v>
      </c>
      <c r="CY42" s="193" t="s">
        <v>88</v>
      </c>
      <c r="CZ42" s="10" t="s">
        <v>239</v>
      </c>
      <c r="DA42" s="10"/>
      <c r="DB42" s="10"/>
      <c r="DC42" s="10"/>
      <c r="DD42" s="10"/>
      <c r="DE42" s="195">
        <f>BT79</f>
        <v>3.3285149999999999</v>
      </c>
      <c r="DF42" s="10"/>
      <c r="DU42" s="140">
        <f>CI248+CK367+CK441+CK517+CK595+CJ717</f>
        <v>9.2680000000000007</v>
      </c>
      <c r="DV42" s="10"/>
      <c r="DW42" s="10"/>
      <c r="DX42" s="10"/>
      <c r="DY42" s="10"/>
      <c r="DZ42" s="10"/>
      <c r="EA42" s="10"/>
      <c r="EB42" s="10"/>
      <c r="EC42" s="10"/>
      <c r="ED42" s="194"/>
    </row>
    <row r="43" spans="63:134" x14ac:dyDescent="0.25">
      <c r="BX43" s="22">
        <f>BU39-BX32-CA38</f>
        <v>0</v>
      </c>
      <c r="BZ43" s="10"/>
      <c r="CA43" s="10"/>
      <c r="CB43" s="10"/>
      <c r="CC43" s="48" t="s">
        <v>35</v>
      </c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Y43" s="193" t="s">
        <v>88</v>
      </c>
      <c r="CZ43" s="10" t="s">
        <v>226</v>
      </c>
      <c r="DA43" s="10"/>
      <c r="DB43" s="10"/>
      <c r="DC43" s="10"/>
      <c r="DD43" s="10"/>
      <c r="DE43" s="10"/>
      <c r="DF43" s="10"/>
      <c r="DV43" s="10"/>
      <c r="DW43" s="10"/>
      <c r="DX43" s="10"/>
      <c r="DY43" s="10"/>
      <c r="DZ43" s="10"/>
      <c r="EA43" s="10"/>
      <c r="EB43" s="10"/>
      <c r="EC43" s="10"/>
      <c r="ED43" s="194"/>
    </row>
    <row r="44" spans="63:134" x14ac:dyDescent="0.25">
      <c r="BZ44" s="10"/>
      <c r="CA44" s="10"/>
      <c r="CB44" s="10"/>
      <c r="CC44" s="10">
        <f>CH52</f>
        <v>16.592044688064</v>
      </c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Y44" s="193" t="s">
        <v>88</v>
      </c>
      <c r="CZ44" s="10" t="s">
        <v>52</v>
      </c>
      <c r="DA44" s="10"/>
      <c r="DB44" s="10"/>
      <c r="DC44" s="10"/>
      <c r="DD44" s="10"/>
      <c r="DE44" s="10"/>
      <c r="DF44" s="10"/>
      <c r="DV44" s="10"/>
      <c r="DW44" s="10"/>
      <c r="DX44" s="10"/>
      <c r="DY44" s="10"/>
      <c r="DZ44" s="10"/>
      <c r="EA44" s="10"/>
      <c r="EB44" s="10"/>
      <c r="EC44" s="10"/>
      <c r="ED44" s="194"/>
    </row>
    <row r="45" spans="63:134" x14ac:dyDescent="0.25">
      <c r="BW45" s="404" t="s">
        <v>51</v>
      </c>
      <c r="BX45" s="405"/>
      <c r="BZ45" s="449" t="s">
        <v>73</v>
      </c>
      <c r="CA45" s="425"/>
      <c r="CB45" s="10"/>
      <c r="CC45" s="50" t="s">
        <v>36</v>
      </c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Y45" s="193"/>
      <c r="CZ45" s="10" t="str">
        <f>BW45</f>
        <v>Almacen insumos/mp</v>
      </c>
      <c r="DA45" s="10">
        <f>CH180+CH119</f>
        <v>2254.0439999999999</v>
      </c>
      <c r="DB45" s="10">
        <f>CA59</f>
        <v>3.9016758024000002E-2</v>
      </c>
      <c r="DC45" s="10">
        <f>CA48+CA109+BZ104+CA170+BZ165</f>
        <v>18.730980832168974</v>
      </c>
      <c r="DD45" s="48">
        <f>BU37+CB790</f>
        <v>430.78051800000003</v>
      </c>
      <c r="DE45" s="10">
        <f>BW80</f>
        <v>42.471485000000001</v>
      </c>
      <c r="DF45" s="47"/>
      <c r="DK45">
        <f>BV330+BU330</f>
        <v>776.10232437841739</v>
      </c>
      <c r="DN45">
        <f>CN767</f>
        <v>4986.3386819999996</v>
      </c>
      <c r="DU45">
        <f>CO416+CH240+CI244+CJ343+CJ359+CK363+BR319+BP200+CO492+BR469+CO570+BR469+CN693+BQ669+BR393+BR547+CJ355+CH236+CI705+CB361</f>
        <v>6483.0687840502915</v>
      </c>
      <c r="DV45" s="10"/>
      <c r="DW45" s="10"/>
      <c r="DX45" s="10">
        <f>BK71</f>
        <v>1.7899739200000002</v>
      </c>
      <c r="DY45" s="214"/>
      <c r="DZ45" s="10"/>
      <c r="EA45" s="10"/>
      <c r="EB45" s="10"/>
      <c r="EC45" s="10"/>
      <c r="ED45" s="194"/>
    </row>
    <row r="46" spans="63:134" x14ac:dyDescent="0.25">
      <c r="BW46" s="406" t="str">
        <f>BZ45</f>
        <v>Hilo funda de tela sin cremallera</v>
      </c>
      <c r="BX46" s="407"/>
      <c r="BZ46" s="450"/>
      <c r="CA46" s="427"/>
      <c r="CB46" s="10"/>
      <c r="CC46" s="51" t="s">
        <v>63</v>
      </c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Y46" s="196" t="s">
        <v>88</v>
      </c>
      <c r="CZ46" s="197" t="s">
        <v>232</v>
      </c>
      <c r="DA46" s="197"/>
      <c r="DB46" s="197"/>
      <c r="DC46" s="197"/>
      <c r="DD46" s="197">
        <f>BW91</f>
        <v>6.3</v>
      </c>
      <c r="DE46" s="197"/>
      <c r="DF46" s="197"/>
      <c r="DV46" s="197"/>
      <c r="DW46" s="197"/>
      <c r="DX46" s="197"/>
      <c r="DY46" s="198">
        <f>BG62+AZ317+(BM195-BM201)+(BV316-BO320)+(BV390-BO394)+(BV466-BO470)+(BV544-BO548)+(BU666-BN670)</f>
        <v>12.596515000000002</v>
      </c>
      <c r="DZ46" s="197"/>
      <c r="EA46" s="197"/>
      <c r="EB46" s="197"/>
      <c r="EC46" s="197"/>
      <c r="ED46" s="199"/>
    </row>
    <row r="47" spans="63:134" x14ac:dyDescent="0.25">
      <c r="BK47" s="18" t="s">
        <v>36</v>
      </c>
      <c r="BW47" s="12">
        <f>CA48</f>
        <v>0.11965139127360001</v>
      </c>
      <c r="BX47" s="4" t="s">
        <v>18</v>
      </c>
      <c r="BZ47" s="157" t="s">
        <v>30</v>
      </c>
      <c r="CA47" s="101" t="s">
        <v>1</v>
      </c>
      <c r="CB47" s="159" t="s">
        <v>42</v>
      </c>
      <c r="CC47" s="28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63:134" x14ac:dyDescent="0.25">
      <c r="BK48" s="19" t="s">
        <v>54</v>
      </c>
      <c r="BW48" s="12">
        <f>BZ48</f>
        <v>1542.1776000000002</v>
      </c>
      <c r="BX48" s="4" t="s">
        <v>16</v>
      </c>
      <c r="BZ48" s="157">
        <f>CG52*BZ49*CC76</f>
        <v>1542.1776000000002</v>
      </c>
      <c r="CA48" s="4">
        <f>CG52*BZ49*CC76*CF76</f>
        <v>0.11965139127360001</v>
      </c>
      <c r="CB48" s="186"/>
      <c r="CC48" s="16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DD48" s="14" t="s">
        <v>67</v>
      </c>
      <c r="DE48" s="14"/>
      <c r="DF48" s="14"/>
    </row>
    <row r="49" spans="58:121" x14ac:dyDescent="0.25">
      <c r="BK49" s="38">
        <f>(47.5*85*0.3)*CC75*CF75*(BU59*2/2)</f>
        <v>3.3285149999999999</v>
      </c>
      <c r="BZ49" s="117">
        <v>673.44</v>
      </c>
      <c r="CA49" s="10"/>
      <c r="CB49" s="10"/>
      <c r="CC49" s="10"/>
      <c r="CD49" s="10"/>
      <c r="CE49" s="10"/>
      <c r="CF49" s="10"/>
      <c r="CG49" s="468" t="s">
        <v>61</v>
      </c>
      <c r="CH49" s="468"/>
      <c r="CI49" s="10"/>
      <c r="CJ49" s="10"/>
      <c r="CK49" s="10"/>
      <c r="CL49" s="10"/>
      <c r="CM49" s="10"/>
      <c r="CN49" s="10"/>
      <c r="CO49" s="10"/>
      <c r="DD49" s="14"/>
      <c r="DE49" s="14"/>
      <c r="DF49" s="14"/>
    </row>
    <row r="50" spans="58:121" x14ac:dyDescent="0.25">
      <c r="BF50" s="472" t="s">
        <v>53</v>
      </c>
      <c r="BG50" s="472"/>
      <c r="BK50" s="1">
        <f>BI48+BI58</f>
        <v>0</v>
      </c>
      <c r="BW50" s="404" t="s">
        <v>51</v>
      </c>
      <c r="BX50" s="405"/>
      <c r="BZ50" s="48" t="s">
        <v>62</v>
      </c>
      <c r="CA50" s="10"/>
      <c r="CB50" s="10"/>
      <c r="CC50" s="52">
        <f>CA48+CA38-CH52</f>
        <v>1.5606703209599004E-2</v>
      </c>
      <c r="CD50" s="10"/>
      <c r="CE50" s="10"/>
      <c r="CF50" s="10"/>
      <c r="CG50" s="468"/>
      <c r="CH50" s="468"/>
      <c r="CI50" s="10"/>
      <c r="CJ50" s="10"/>
      <c r="CK50" s="10"/>
      <c r="CL50" s="10"/>
      <c r="CM50" s="10"/>
      <c r="CN50" s="10"/>
      <c r="CO50" s="10"/>
      <c r="DD50" s="14" t="s">
        <v>151</v>
      </c>
      <c r="DE50" s="14"/>
      <c r="DF50" s="14"/>
      <c r="DQ50" s="188" t="s">
        <v>176</v>
      </c>
    </row>
    <row r="51" spans="58:121" ht="15" customHeight="1" x14ac:dyDescent="0.25">
      <c r="BF51" s="472"/>
      <c r="BG51" s="472"/>
      <c r="BK51" s="13" t="s">
        <v>34</v>
      </c>
      <c r="BN51" s="410" t="s">
        <v>48</v>
      </c>
      <c r="BO51" s="410"/>
      <c r="BW51" s="406" t="str">
        <f>BZ56</f>
        <v>Hilo bolsa espuma</v>
      </c>
      <c r="BX51" s="407"/>
      <c r="BZ51" s="10"/>
      <c r="CA51" s="10"/>
      <c r="CB51" s="10"/>
      <c r="CC51" s="10"/>
      <c r="CD51" s="10"/>
      <c r="CE51" s="10"/>
      <c r="CF51" s="10"/>
      <c r="CG51" s="116" t="s">
        <v>4</v>
      </c>
      <c r="CH51" s="116" t="s">
        <v>1</v>
      </c>
      <c r="CI51" s="10"/>
      <c r="CJ51" s="10"/>
      <c r="CK51" s="10"/>
      <c r="CL51" s="10"/>
      <c r="CM51" s="10"/>
      <c r="CN51" s="10"/>
      <c r="CO51" s="10"/>
      <c r="CP51" s="10"/>
      <c r="CQ51" s="10"/>
      <c r="DQ51" s="188" t="s">
        <v>234</v>
      </c>
    </row>
    <row r="52" spans="58:121" x14ac:dyDescent="0.25">
      <c r="BF52" s="101" t="s">
        <v>50</v>
      </c>
      <c r="BG52" s="101" t="s">
        <v>1</v>
      </c>
      <c r="BH52" s="101" t="s">
        <v>42</v>
      </c>
      <c r="BK52" s="102" t="s">
        <v>71</v>
      </c>
      <c r="BN52" s="410"/>
      <c r="BO52" s="410"/>
      <c r="BW52" s="12">
        <f>CA59</f>
        <v>3.9016758024000002E-2</v>
      </c>
      <c r="BX52" s="4" t="s">
        <v>18</v>
      </c>
      <c r="BZ52" s="10"/>
      <c r="CA52" s="10"/>
      <c r="CB52" s="10"/>
      <c r="CC52" s="10"/>
      <c r="CD52" s="10"/>
      <c r="CE52" s="10"/>
      <c r="CF52" s="10"/>
      <c r="CG52" s="116">
        <f>CL55</f>
        <v>229</v>
      </c>
      <c r="CH52" s="10">
        <f>CG52*(CH78+CH77)</f>
        <v>16.592044688064</v>
      </c>
      <c r="CI52" s="10"/>
      <c r="CJ52" s="10"/>
      <c r="CK52" s="10"/>
      <c r="CL52" s="10"/>
      <c r="CM52" s="10"/>
      <c r="CN52" s="10"/>
      <c r="CO52" s="10"/>
      <c r="CP52" s="10"/>
      <c r="CQ52" s="10"/>
      <c r="DQ52" s="188" t="s">
        <v>186</v>
      </c>
    </row>
    <row r="53" spans="58:121" x14ac:dyDescent="0.25">
      <c r="BF53" s="101">
        <f>BV74*2*BM58</f>
        <v>0</v>
      </c>
      <c r="BG53" s="4">
        <f>CA74*BM58</f>
        <v>0</v>
      </c>
      <c r="BH53" s="101"/>
      <c r="BK53" s="14" t="s">
        <v>35</v>
      </c>
      <c r="BN53" s="101" t="s">
        <v>50</v>
      </c>
      <c r="BO53" s="101" t="s">
        <v>1</v>
      </c>
      <c r="BP53" s="101" t="s">
        <v>42</v>
      </c>
      <c r="BQ53" s="18" t="s">
        <v>36</v>
      </c>
      <c r="BW53" s="12">
        <f>BZ59</f>
        <v>502.88400000000001</v>
      </c>
      <c r="BX53" s="4" t="s">
        <v>16</v>
      </c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>
        <f>CH52+CH58</f>
        <v>69.115910366088002</v>
      </c>
      <c r="CK53" s="10"/>
      <c r="CL53" s="469" t="s">
        <v>52</v>
      </c>
      <c r="CM53" s="469"/>
      <c r="CN53" s="10"/>
      <c r="CO53" s="10"/>
      <c r="CP53" s="10"/>
      <c r="CQ53" s="10"/>
      <c r="DD53" s="187" t="s">
        <v>230</v>
      </c>
      <c r="DQ53" s="188" t="s">
        <v>212</v>
      </c>
    </row>
    <row r="54" spans="58:121" ht="18.75" customHeight="1" x14ac:dyDescent="0.25">
      <c r="BF54" s="465" t="s">
        <v>55</v>
      </c>
      <c r="BG54" s="14">
        <f>(47.5*210*0.3)*CC75*(BU59*2/2)</f>
        <v>0.68528250000000002</v>
      </c>
      <c r="BH54" t="s">
        <v>70</v>
      </c>
      <c r="BK54" s="1">
        <f>BO54</f>
        <v>4.8948749999999999</v>
      </c>
      <c r="BN54" s="101">
        <f>CD75*2*BU59</f>
        <v>0.40790624999999997</v>
      </c>
      <c r="BO54" s="4">
        <f>CI75*BU59</f>
        <v>4.8948749999999999</v>
      </c>
      <c r="BP54" s="101"/>
      <c r="BQ54" s="19">
        <v>1E-4</v>
      </c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47" t="s">
        <v>34</v>
      </c>
      <c r="CK54" s="10"/>
      <c r="CL54" s="467" t="s">
        <v>6</v>
      </c>
      <c r="CM54" s="467"/>
      <c r="CN54" s="200" t="s">
        <v>88</v>
      </c>
      <c r="CO54" s="10"/>
      <c r="CP54" s="10"/>
      <c r="CQ54" s="10"/>
      <c r="DD54" s="187" t="s">
        <v>231</v>
      </c>
      <c r="DK54">
        <v>200.55935174287677</v>
      </c>
      <c r="DL54">
        <v>707.87200623879335</v>
      </c>
      <c r="DM54" t="s">
        <v>245</v>
      </c>
      <c r="DQ54" s="188" t="s">
        <v>206</v>
      </c>
    </row>
    <row r="55" spans="58:121" ht="22.5" customHeight="1" x14ac:dyDescent="0.25">
      <c r="BF55" s="466"/>
      <c r="BG55" s="14">
        <f>(47.5*210*0.3)*CC75*CF75*(BU59*2/2)</f>
        <v>8.2233900000000002</v>
      </c>
      <c r="BH55" t="s">
        <v>68</v>
      </c>
      <c r="BK55" s="15" t="s">
        <v>36</v>
      </c>
      <c r="BQ55" s="18">
        <f>BQ56+BQ56*BQ54</f>
        <v>6.6855174048920007</v>
      </c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200" t="s">
        <v>3</v>
      </c>
      <c r="CK55" s="10"/>
      <c r="CL55" s="201">
        <v>229</v>
      </c>
      <c r="CM55" s="67" t="s">
        <v>27</v>
      </c>
      <c r="CN55" s="10"/>
      <c r="CO55" s="10"/>
      <c r="CP55" s="10"/>
      <c r="CQ55" s="10"/>
      <c r="DK55" t="s">
        <v>246</v>
      </c>
      <c r="DL55" t="s">
        <v>139</v>
      </c>
      <c r="DQ55" s="188" t="s">
        <v>55</v>
      </c>
    </row>
    <row r="56" spans="58:121" x14ac:dyDescent="0.25">
      <c r="BK56" s="20" t="s">
        <v>57</v>
      </c>
      <c r="BQ56" s="1">
        <f>BO54+BO64</f>
        <v>6.6848489200000003</v>
      </c>
      <c r="BU56" s="410" t="s">
        <v>46</v>
      </c>
      <c r="BV56" s="410"/>
      <c r="BZ56" s="449" t="s">
        <v>31</v>
      </c>
      <c r="CA56" s="425"/>
      <c r="CB56" s="10"/>
      <c r="CC56" s="10"/>
      <c r="CD56" s="10"/>
      <c r="CE56" s="10"/>
      <c r="CF56" s="10"/>
      <c r="CG56" s="468" t="s">
        <v>0</v>
      </c>
      <c r="CH56" s="468"/>
      <c r="CI56" s="10"/>
      <c r="CJ56" s="48" t="s">
        <v>35</v>
      </c>
      <c r="CK56" s="10"/>
      <c r="CL56" s="67">
        <f>CL55*CI81</f>
        <v>69.115910366088002</v>
      </c>
      <c r="CM56" s="67" t="s">
        <v>28</v>
      </c>
      <c r="CN56" s="10"/>
      <c r="CO56" s="10"/>
      <c r="CP56" s="10"/>
      <c r="CQ56" s="10"/>
    </row>
    <row r="57" spans="58:121" x14ac:dyDescent="0.25">
      <c r="BK57" s="20"/>
      <c r="BQ57" s="13" t="s">
        <v>34</v>
      </c>
      <c r="BU57" s="410"/>
      <c r="BV57" s="410"/>
      <c r="BZ57" s="450"/>
      <c r="CA57" s="427"/>
      <c r="CB57" s="10"/>
      <c r="CC57" s="10"/>
      <c r="CD57" s="10"/>
      <c r="CE57" s="10"/>
      <c r="CF57" s="10"/>
      <c r="CG57" s="116" t="s">
        <v>4</v>
      </c>
      <c r="CH57" s="116" t="s">
        <v>1</v>
      </c>
      <c r="CI57" s="10"/>
      <c r="CJ57" s="10">
        <f>CL56</f>
        <v>69.115910366088002</v>
      </c>
      <c r="CK57" s="10"/>
      <c r="CL57" s="10"/>
      <c r="CM57" s="10"/>
      <c r="CN57" s="10"/>
      <c r="CO57" s="10"/>
      <c r="CP57" s="10"/>
      <c r="CQ57" s="10"/>
    </row>
    <row r="58" spans="58:121" x14ac:dyDescent="0.25">
      <c r="BQ58" s="102" t="s">
        <v>72</v>
      </c>
      <c r="BU58" s="101" t="s">
        <v>41</v>
      </c>
      <c r="BV58" s="101" t="s">
        <v>1</v>
      </c>
      <c r="BW58" s="101" t="s">
        <v>42</v>
      </c>
      <c r="BX58" s="18" t="s">
        <v>36</v>
      </c>
      <c r="BZ58" s="157" t="s">
        <v>30</v>
      </c>
      <c r="CA58" s="101" t="s">
        <v>1</v>
      </c>
      <c r="CB58" s="159" t="s">
        <v>42</v>
      </c>
      <c r="CC58" s="49" t="s">
        <v>36</v>
      </c>
      <c r="CD58" s="10"/>
      <c r="CE58" s="10"/>
      <c r="CF58" s="10"/>
      <c r="CG58" s="116">
        <f>CL55</f>
        <v>229</v>
      </c>
      <c r="CH58" s="10">
        <f>CG58*(CI75+CH79+CH76+CH74)</f>
        <v>52.523865678024002</v>
      </c>
      <c r="CI58" s="10"/>
      <c r="CJ58" s="50" t="s">
        <v>36</v>
      </c>
      <c r="CK58" s="10"/>
      <c r="CL58" s="10"/>
      <c r="CM58" s="10"/>
      <c r="CN58" s="10"/>
      <c r="CO58" s="10"/>
      <c r="CP58" s="10"/>
      <c r="CQ58" s="10"/>
    </row>
    <row r="59" spans="58:121" x14ac:dyDescent="0.25">
      <c r="BQ59" s="14" t="s">
        <v>35</v>
      </c>
      <c r="BU59" s="101">
        <f>BZ69</f>
        <v>229</v>
      </c>
      <c r="BV59" s="4">
        <f>(CI75+CH79)*BU59</f>
        <v>6.6848489199999994</v>
      </c>
      <c r="BW59" s="101"/>
      <c r="BX59" s="19">
        <v>1E-4</v>
      </c>
      <c r="BZ59" s="157">
        <f>CD76*CG58</f>
        <v>502.88400000000001</v>
      </c>
      <c r="CA59" s="4">
        <f>CH76*CG58</f>
        <v>3.9016758024000002E-2</v>
      </c>
      <c r="CB59" s="159">
        <f>IF(CC67&gt;0,CA59+CC67/2,CA59)</f>
        <v>4.1642951307898461E-2</v>
      </c>
      <c r="CC59" s="45">
        <v>1E-4</v>
      </c>
      <c r="CD59" s="10"/>
      <c r="CE59" s="10"/>
      <c r="CF59" s="10"/>
      <c r="CG59" s="10"/>
      <c r="CH59" s="10"/>
      <c r="CI59" s="10"/>
      <c r="CJ59" s="116">
        <f>CJ53-CJ57</f>
        <v>0</v>
      </c>
      <c r="CK59" s="10"/>
      <c r="CL59" s="10"/>
      <c r="CM59" s="10"/>
      <c r="CN59" s="10"/>
      <c r="CO59" s="10"/>
      <c r="CP59" s="10"/>
      <c r="CQ59" s="10"/>
    </row>
    <row r="60" spans="58:121" x14ac:dyDescent="0.25">
      <c r="BG60" s="41" t="s">
        <v>58</v>
      </c>
      <c r="BH60" s="41"/>
      <c r="BK60" s="21">
        <f>BG55-BO54</f>
        <v>3.3285150000000003</v>
      </c>
      <c r="BQ60" s="1">
        <f>BV59</f>
        <v>6.6848489199999994</v>
      </c>
      <c r="BX60" s="18">
        <f>BX61+BX61*BX59</f>
        <v>52.490097404892005</v>
      </c>
      <c r="BZ60" s="10"/>
      <c r="CA60" s="10"/>
      <c r="CB60" s="10"/>
      <c r="CC60" s="49">
        <f>CC61+CC61*CC59</f>
        <v>52.529118064591799</v>
      </c>
      <c r="CD60" s="10"/>
      <c r="CE60" s="10"/>
      <c r="CF60" s="10"/>
      <c r="CG60" s="10"/>
      <c r="CH60" s="10"/>
      <c r="CI60" s="10"/>
      <c r="CJ60" s="28" t="s">
        <v>45</v>
      </c>
      <c r="CK60" s="10"/>
      <c r="CL60" s="10"/>
      <c r="CM60" s="10"/>
      <c r="CN60" s="10"/>
      <c r="CO60" s="10"/>
      <c r="CP60" s="10"/>
      <c r="CQ60" s="10"/>
    </row>
    <row r="61" spans="58:121" x14ac:dyDescent="0.25">
      <c r="BG61" s="25" t="s">
        <v>59</v>
      </c>
      <c r="BH61" s="4"/>
      <c r="BN61" s="410" t="s">
        <v>49</v>
      </c>
      <c r="BO61" s="410"/>
      <c r="BQ61" s="15" t="s">
        <v>36</v>
      </c>
      <c r="BX61" s="1">
        <f>BV59+BV69</f>
        <v>52.484848920000005</v>
      </c>
      <c r="BZ61" s="10"/>
      <c r="CA61" s="10"/>
      <c r="CB61" s="10"/>
      <c r="CC61" s="116">
        <f>CA59+CA69</f>
        <v>52.523865678023995</v>
      </c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</row>
    <row r="62" spans="58:121" x14ac:dyDescent="0.25">
      <c r="BG62" s="12">
        <f>BK49</f>
        <v>3.3285149999999999</v>
      </c>
      <c r="BH62" s="4" t="s">
        <v>18</v>
      </c>
      <c r="BN62" s="410"/>
      <c r="BO62" s="410"/>
      <c r="BQ62" s="17">
        <f>IF(BQ55=BQ56,BQ56-BQ60,BQ55-BQ60)</f>
        <v>6.6848489200133088E-4</v>
      </c>
      <c r="BX62" s="13" t="s">
        <v>34</v>
      </c>
      <c r="BZ62" s="10"/>
      <c r="CA62" s="10"/>
      <c r="CB62" s="10"/>
      <c r="CC62" s="47" t="s">
        <v>34</v>
      </c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</row>
    <row r="63" spans="58:121" x14ac:dyDescent="0.25">
      <c r="BG63" s="12">
        <f>BK49</f>
        <v>3.3285149999999999</v>
      </c>
      <c r="BH63" s="4" t="s">
        <v>18</v>
      </c>
      <c r="BN63" s="101" t="s">
        <v>50</v>
      </c>
      <c r="BO63" s="101" t="s">
        <v>1</v>
      </c>
      <c r="BP63" s="101" t="s">
        <v>42</v>
      </c>
      <c r="BQ63" s="28" t="s">
        <v>45</v>
      </c>
      <c r="BX63" s="102" t="s">
        <v>44</v>
      </c>
      <c r="BZ63" s="10"/>
      <c r="CA63" s="10"/>
      <c r="CB63" s="10"/>
      <c r="CC63" s="200" t="s">
        <v>29</v>
      </c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</row>
    <row r="64" spans="58:121" x14ac:dyDescent="0.25">
      <c r="BN64" s="101">
        <f>BU59*CD79</f>
        <v>1.603E-3</v>
      </c>
      <c r="BO64" s="4">
        <f>CH79*BU59</f>
        <v>1.7899739200000002</v>
      </c>
      <c r="BP64" s="101"/>
      <c r="BX64" s="14" t="s">
        <v>35</v>
      </c>
      <c r="BZ64" s="10"/>
      <c r="CA64" s="10"/>
      <c r="CB64" s="10"/>
      <c r="CC64" s="48" t="s">
        <v>35</v>
      </c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</row>
    <row r="65" spans="63:93" x14ac:dyDescent="0.25">
      <c r="BX65" s="1">
        <f>CA69</f>
        <v>52.484848919999997</v>
      </c>
      <c r="BZ65" s="10"/>
      <c r="CA65" s="10"/>
      <c r="CB65" s="10"/>
      <c r="CC65" s="10">
        <f>CH58</f>
        <v>52.523865678024002</v>
      </c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63:93" x14ac:dyDescent="0.25">
      <c r="BQ66" s="21">
        <f>BO64+BO54-BV59</f>
        <v>0</v>
      </c>
      <c r="BU66" s="410" t="s">
        <v>47</v>
      </c>
      <c r="BV66" s="410"/>
      <c r="BX66" s="15" t="s">
        <v>36</v>
      </c>
      <c r="BZ66" s="429" t="s">
        <v>40</v>
      </c>
      <c r="CA66" s="410"/>
      <c r="CB66" s="10"/>
      <c r="CC66" s="50" t="s">
        <v>36</v>
      </c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63:93" x14ac:dyDescent="0.25">
      <c r="BU67" s="410"/>
      <c r="BV67" s="410"/>
      <c r="BX67" s="17">
        <f>IF(BX60=BX61,BX61-BX65,BX60-BX65)</f>
        <v>5.2484848920073546E-3</v>
      </c>
      <c r="BZ67" s="429"/>
      <c r="CA67" s="410"/>
      <c r="CB67" s="10"/>
      <c r="CC67" s="55">
        <f>IF(CC60=CC61,CC61-CC65,CC60-CC65)</f>
        <v>5.2523865677969184E-3</v>
      </c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63:93" x14ac:dyDescent="0.25">
      <c r="BU68" s="101" t="s">
        <v>1</v>
      </c>
      <c r="BV68" s="101" t="s">
        <v>1</v>
      </c>
      <c r="BW68" s="101" t="s">
        <v>42</v>
      </c>
      <c r="BX68" s="28" t="s">
        <v>45</v>
      </c>
      <c r="BZ68" s="157" t="s">
        <v>41</v>
      </c>
      <c r="CA68" s="101" t="s">
        <v>1</v>
      </c>
      <c r="CB68" s="159" t="s">
        <v>42</v>
      </c>
      <c r="CC68" s="28" t="s">
        <v>45</v>
      </c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63:93" x14ac:dyDescent="0.25">
      <c r="BK69" s="24" t="s">
        <v>51</v>
      </c>
      <c r="BL69" s="24"/>
      <c r="BU69" s="101">
        <f>CH74*BZ69</f>
        <v>45.800000000000004</v>
      </c>
      <c r="BV69" s="4">
        <f>CH74*BU59</f>
        <v>45.800000000000004</v>
      </c>
      <c r="BW69" s="101"/>
      <c r="BZ69" s="99">
        <f>CG58</f>
        <v>229</v>
      </c>
      <c r="CA69" s="123">
        <f>(CH74+CI75+CH79)*BZ69</f>
        <v>52.484848919999997</v>
      </c>
      <c r="CB69" s="153">
        <f>IF(CC67&gt;0,CA69+CC67/2,CA69)</f>
        <v>52.487475113283892</v>
      </c>
      <c r="CC69" s="16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63:93" x14ac:dyDescent="0.25">
      <c r="BK70" s="25" t="str">
        <f>BN61</f>
        <v>Pegamento poliuterano</v>
      </c>
      <c r="BL70" s="4"/>
    </row>
    <row r="71" spans="63:93" x14ac:dyDescent="0.25">
      <c r="BK71" s="12">
        <f>BO64</f>
        <v>1.7899739200000002</v>
      </c>
      <c r="BL71" s="4" t="s">
        <v>18</v>
      </c>
      <c r="BX71" s="21">
        <f>BV69+BV59-CA69</f>
        <v>0</v>
      </c>
      <c r="CC71" s="22">
        <f>CA69+CA59-CH58</f>
        <v>0</v>
      </c>
    </row>
    <row r="72" spans="63:93" x14ac:dyDescent="0.25">
      <c r="BK72" s="12">
        <f>BN64</f>
        <v>1.603E-3</v>
      </c>
      <c r="BL72" s="4" t="s">
        <v>15</v>
      </c>
      <c r="BT72" s="18" t="s">
        <v>36</v>
      </c>
    </row>
    <row r="73" spans="63:93" x14ac:dyDescent="0.25">
      <c r="BT73" s="19">
        <v>1E-4</v>
      </c>
      <c r="CA73" s="415" t="s">
        <v>6</v>
      </c>
      <c r="CB73" s="415"/>
      <c r="CC73" s="4" t="s">
        <v>19</v>
      </c>
      <c r="CD73" s="101" t="s">
        <v>20</v>
      </c>
      <c r="CE73" s="101" t="s">
        <v>2</v>
      </c>
      <c r="CF73" s="101" t="s">
        <v>21</v>
      </c>
      <c r="CG73" s="101" t="s">
        <v>2</v>
      </c>
      <c r="CH73" s="11" t="s">
        <v>24</v>
      </c>
    </row>
    <row r="74" spans="63:93" x14ac:dyDescent="0.25">
      <c r="BT74" s="18">
        <f>BT75+BT75*BT73</f>
        <v>3.3288478515</v>
      </c>
      <c r="BZ74" s="101" t="s">
        <v>8</v>
      </c>
      <c r="CA74" s="104">
        <v>200</v>
      </c>
      <c r="CB74" s="104" t="s">
        <v>5</v>
      </c>
      <c r="CC74" s="23">
        <f>1/1000</f>
        <v>1E-3</v>
      </c>
      <c r="CD74" s="23">
        <f t="shared" ref="CD74:CD79" si="0">CA74*CC74</f>
        <v>0.2</v>
      </c>
      <c r="CE74" s="23" t="s">
        <v>18</v>
      </c>
      <c r="CF74" s="23">
        <v>1</v>
      </c>
      <c r="CG74" s="23"/>
      <c r="CH74" s="39">
        <f>CF74*CD74</f>
        <v>0.2</v>
      </c>
    </row>
    <row r="75" spans="63:93" x14ac:dyDescent="0.25">
      <c r="BT75" s="170">
        <f>BG62+AZ317</f>
        <v>3.3285149999999999</v>
      </c>
      <c r="BZ75" s="101" t="s">
        <v>7</v>
      </c>
      <c r="CA75" s="104">
        <f>47.5*62.5*0.3</f>
        <v>890.625</v>
      </c>
      <c r="CB75" s="104" t="s">
        <v>26</v>
      </c>
      <c r="CC75" s="23">
        <f>1/1000000</f>
        <v>9.9999999999999995E-7</v>
      </c>
      <c r="CD75" s="23">
        <f t="shared" si="0"/>
        <v>8.9062499999999992E-4</v>
      </c>
      <c r="CE75" s="23" t="s">
        <v>15</v>
      </c>
      <c r="CF75" s="23">
        <v>12</v>
      </c>
      <c r="CG75" s="23" t="s">
        <v>13</v>
      </c>
      <c r="CH75" s="23">
        <f>CF75*CD75</f>
        <v>1.0687499999999999E-2</v>
      </c>
      <c r="CI75" s="4">
        <f>CH75*2</f>
        <v>2.1374999999999998E-2</v>
      </c>
    </row>
    <row r="76" spans="63:93" x14ac:dyDescent="0.25">
      <c r="BT76" s="13" t="s">
        <v>34</v>
      </c>
      <c r="BZ76" s="101" t="s">
        <v>32</v>
      </c>
      <c r="CA76" s="104">
        <v>219.6</v>
      </c>
      <c r="CB76" s="104" t="s">
        <v>10</v>
      </c>
      <c r="CC76" s="23">
        <f>1/100</f>
        <v>0.01</v>
      </c>
      <c r="CD76" s="23">
        <f t="shared" si="0"/>
        <v>2.1960000000000002</v>
      </c>
      <c r="CE76" s="23" t="s">
        <v>16</v>
      </c>
      <c r="CF76" s="23">
        <v>7.7585999999999999E-5</v>
      </c>
      <c r="CG76" s="23" t="s">
        <v>22</v>
      </c>
      <c r="CH76" s="40">
        <f t="shared" ref="CH76:CH79" si="1">CF76*CD76</f>
        <v>1.7037885600000002E-4</v>
      </c>
    </row>
    <row r="77" spans="63:93" x14ac:dyDescent="0.25">
      <c r="BT77" s="29" t="s">
        <v>56</v>
      </c>
      <c r="BZ77" s="101" t="s">
        <v>11</v>
      </c>
      <c r="CA77" s="104">
        <v>7200</v>
      </c>
      <c r="CB77" s="104" t="s">
        <v>9</v>
      </c>
      <c r="CC77" s="23">
        <f>0.0001</f>
        <v>1E-4</v>
      </c>
      <c r="CD77" s="23">
        <f t="shared" si="0"/>
        <v>0.72000000000000008</v>
      </c>
      <c r="CE77" s="23" t="s">
        <v>17</v>
      </c>
      <c r="CF77" s="23">
        <v>0.1</v>
      </c>
      <c r="CG77" s="23" t="s">
        <v>23</v>
      </c>
      <c r="CH77" s="23">
        <f t="shared" si="1"/>
        <v>7.2000000000000008E-2</v>
      </c>
    </row>
    <row r="78" spans="63:93" x14ac:dyDescent="0.25">
      <c r="BT78" s="14" t="s">
        <v>35</v>
      </c>
      <c r="BW78" s="404" t="s">
        <v>51</v>
      </c>
      <c r="BX78" s="405"/>
      <c r="BZ78" s="101" t="s">
        <v>33</v>
      </c>
      <c r="CA78" s="104">
        <v>585.6</v>
      </c>
      <c r="CB78" s="104" t="s">
        <v>10</v>
      </c>
      <c r="CC78" s="23">
        <f>1/100</f>
        <v>0.01</v>
      </c>
      <c r="CD78" s="23">
        <f t="shared" si="0"/>
        <v>5.8560000000000008</v>
      </c>
      <c r="CE78" s="23" t="s">
        <v>16</v>
      </c>
      <c r="CF78" s="23">
        <v>7.7585999999999999E-5</v>
      </c>
      <c r="CG78" s="23" t="s">
        <v>22</v>
      </c>
      <c r="CH78" s="23">
        <f t="shared" si="1"/>
        <v>4.5434361600000004E-4</v>
      </c>
    </row>
    <row r="79" spans="63:93" x14ac:dyDescent="0.25">
      <c r="BT79" s="21">
        <f>BT75</f>
        <v>3.3285149999999999</v>
      </c>
      <c r="BW79" s="406" t="str">
        <f>BU66</f>
        <v>Espuma triturada</v>
      </c>
      <c r="BX79" s="407"/>
      <c r="BZ79" s="101" t="s">
        <v>12</v>
      </c>
      <c r="CA79" s="104">
        <v>7</v>
      </c>
      <c r="CB79" s="104" t="s">
        <v>14</v>
      </c>
      <c r="CC79" s="23">
        <f>1/1000000</f>
        <v>9.9999999999999995E-7</v>
      </c>
      <c r="CD79" s="23">
        <f t="shared" si="0"/>
        <v>6.9999999999999999E-6</v>
      </c>
      <c r="CE79" s="23" t="s">
        <v>15</v>
      </c>
      <c r="CF79" s="23">
        <v>1116.6400000000001</v>
      </c>
      <c r="CG79" s="23" t="s">
        <v>13</v>
      </c>
      <c r="CH79" s="23">
        <f t="shared" si="1"/>
        <v>7.8164800000000006E-3</v>
      </c>
    </row>
    <row r="80" spans="63:93" ht="15.75" thickBot="1" x14ac:dyDescent="0.3">
      <c r="BT80" s="15" t="s">
        <v>36</v>
      </c>
      <c r="BW80" s="43">
        <f>IF(BV69-BT79&lt;0,0,BV69-BT79)</f>
        <v>42.471485000000001</v>
      </c>
      <c r="BX80" s="44" t="s">
        <v>18</v>
      </c>
      <c r="CI80" s="408" t="s">
        <v>25</v>
      </c>
      <c r="CJ80" s="408"/>
    </row>
    <row r="81" spans="69:88" x14ac:dyDescent="0.25">
      <c r="BT81" s="17">
        <f>IF(BT74=BT75,BT75-BT79,BT74-BT79)</f>
        <v>3.3285150000006425E-4</v>
      </c>
      <c r="BW81" s="43">
        <f>IF(BV69-BT79&lt;0,0,BV69-BT79)</f>
        <v>42.471485000000001</v>
      </c>
      <c r="BX81" s="44" t="s">
        <v>18</v>
      </c>
      <c r="CC81" s="453" t="s">
        <v>105</v>
      </c>
      <c r="CD81" s="454"/>
      <c r="CI81" s="4">
        <f>CH74+CI75+CH76+CH77+CH78+CH79</f>
        <v>0.30181620247200003</v>
      </c>
      <c r="CJ81" s="4" t="s">
        <v>18</v>
      </c>
    </row>
    <row r="82" spans="69:88" x14ac:dyDescent="0.25">
      <c r="BT82" s="28"/>
      <c r="CC82" s="455"/>
      <c r="CD82" s="456"/>
    </row>
    <row r="83" spans="69:88" x14ac:dyDescent="0.25">
      <c r="BT83" s="164" t="s">
        <v>233</v>
      </c>
      <c r="CC83" s="455"/>
      <c r="CD83" s="456"/>
    </row>
    <row r="84" spans="69:88" x14ac:dyDescent="0.25">
      <c r="BT84" s="177">
        <f>BT79-BV69</f>
        <v>-42.471485000000001</v>
      </c>
      <c r="CC84" s="455"/>
      <c r="CD84" s="456"/>
    </row>
    <row r="85" spans="69:88" ht="15.75" thickBot="1" x14ac:dyDescent="0.3">
      <c r="CC85" s="455"/>
      <c r="CD85" s="456"/>
    </row>
    <row r="86" spans="69:88" ht="15.75" thickBot="1" x14ac:dyDescent="0.3">
      <c r="BT86" s="75"/>
      <c r="BU86" s="76"/>
      <c r="BV86" s="76"/>
      <c r="BW86" s="76"/>
      <c r="BX86" s="77"/>
      <c r="CC86" s="457"/>
      <c r="CD86" s="458"/>
    </row>
    <row r="87" spans="69:88" x14ac:dyDescent="0.25">
      <c r="BT87" s="78"/>
      <c r="BU87" s="10"/>
      <c r="BV87" s="41" t="s">
        <v>58</v>
      </c>
      <c r="BW87" s="41"/>
      <c r="BX87" s="79"/>
      <c r="CC87" s="10"/>
      <c r="CD87" s="10"/>
    </row>
    <row r="88" spans="69:88" x14ac:dyDescent="0.25">
      <c r="BT88" s="78"/>
      <c r="BU88" s="10"/>
      <c r="BV88" s="25" t="s">
        <v>100</v>
      </c>
      <c r="BW88" s="4"/>
      <c r="BX88" s="79"/>
      <c r="CC88" s="10"/>
      <c r="CD88" s="10"/>
    </row>
    <row r="89" spans="69:88" x14ac:dyDescent="0.25">
      <c r="BT89" s="78"/>
      <c r="BU89" s="73">
        <f>BX93/BV89</f>
        <v>252.96</v>
      </c>
      <c r="BV89" s="42">
        <f>62.5*40*CC138*CF138</f>
        <v>2.5000000000000001E-2</v>
      </c>
      <c r="BW89" s="4" t="s">
        <v>18</v>
      </c>
      <c r="BX89" s="79"/>
      <c r="CC89" s="10"/>
      <c r="CD89" s="10"/>
    </row>
    <row r="90" spans="69:88" x14ac:dyDescent="0.25">
      <c r="BT90" s="78"/>
      <c r="BU90" s="10">
        <f>BX93/BV90</f>
        <v>252.96</v>
      </c>
      <c r="BV90" s="42">
        <f>62.5*40*CC138*CF138</f>
        <v>2.5000000000000001E-2</v>
      </c>
      <c r="BW90" s="4" t="s">
        <v>18</v>
      </c>
      <c r="BX90" s="79"/>
      <c r="CC90" s="10"/>
      <c r="CD90" s="10"/>
    </row>
    <row r="91" spans="69:88" x14ac:dyDescent="0.25">
      <c r="BT91" s="78"/>
      <c r="BU91" s="211">
        <f>ABS(ROUNDDOWN(BU89,0)-BU89)*BV89</f>
        <v>2.4000000000000202E-2</v>
      </c>
      <c r="BV91" s="10" t="s">
        <v>102</v>
      </c>
      <c r="BW91" s="10">
        <f>ROUNDDOWN(BU89,0)*CC138*CF138*62.5*40</f>
        <v>6.3</v>
      </c>
      <c r="BX91" s="80" t="s">
        <v>36</v>
      </c>
      <c r="CC91" s="10"/>
      <c r="CD91" s="10"/>
    </row>
    <row r="92" spans="69:88" x14ac:dyDescent="0.25">
      <c r="BT92" s="78"/>
      <c r="BU92" s="212" t="s">
        <v>63</v>
      </c>
      <c r="BV92" s="10"/>
      <c r="BW92" s="48" t="s">
        <v>236</v>
      </c>
      <c r="BX92" s="81" t="s">
        <v>54</v>
      </c>
      <c r="CC92" s="441" t="s">
        <v>226</v>
      </c>
      <c r="CD92" s="442"/>
    </row>
    <row r="93" spans="69:88" x14ac:dyDescent="0.25">
      <c r="BT93" s="78"/>
      <c r="BU93" s="10"/>
      <c r="BV93" s="10"/>
      <c r="BW93" s="10"/>
      <c r="BX93" s="82">
        <f>(40*85)*CC138*BW101*CF138</f>
        <v>6.3240000000000007</v>
      </c>
      <c r="CC93" s="406" t="str">
        <f>BZ106</f>
        <v>Hilo funda de tela sin cremallera</v>
      </c>
      <c r="CD93" s="407"/>
    </row>
    <row r="94" spans="69:88" x14ac:dyDescent="0.25">
      <c r="BT94" s="78"/>
      <c r="BU94" s="10"/>
      <c r="BV94" s="10"/>
      <c r="BW94" s="10"/>
      <c r="BX94" s="83">
        <f>BU100+ROUNDDOWN(BU89,0)*CC138*CF138*62.5*40</f>
        <v>21.924000000000003</v>
      </c>
      <c r="CC94" s="206">
        <f>CC100</f>
        <v>1.0079336728593606</v>
      </c>
      <c r="CD94" s="4" t="s">
        <v>18</v>
      </c>
    </row>
    <row r="95" spans="69:88" x14ac:dyDescent="0.25">
      <c r="BQ95" s="97" t="s">
        <v>51</v>
      </c>
      <c r="BR95" s="98"/>
      <c r="BT95" s="459" t="s">
        <v>66</v>
      </c>
      <c r="BU95" s="460"/>
      <c r="BV95" s="10"/>
      <c r="BW95" s="10"/>
      <c r="BX95" s="84" t="s">
        <v>34</v>
      </c>
      <c r="CC95" s="12">
        <f>CC94/CF139</f>
        <v>12991.179760000008</v>
      </c>
      <c r="CD95" s="4" t="s">
        <v>16</v>
      </c>
    </row>
    <row r="96" spans="69:88" x14ac:dyDescent="0.25">
      <c r="BQ96" s="95" t="str">
        <f>BT95</f>
        <v>Rollo de tela</v>
      </c>
      <c r="BR96" s="96"/>
      <c r="BS96" t="s">
        <v>152</v>
      </c>
      <c r="BT96" s="461"/>
      <c r="BU96" s="462"/>
      <c r="BV96" s="10"/>
      <c r="BW96" s="10"/>
      <c r="BX96" s="112" t="s">
        <v>65</v>
      </c>
      <c r="BZ96" s="424" t="s">
        <v>64</v>
      </c>
      <c r="CA96" s="425"/>
    </row>
    <row r="97" spans="69:89" x14ac:dyDescent="0.25">
      <c r="BQ97" s="12">
        <f>BU98</f>
        <v>0</v>
      </c>
      <c r="BR97" s="4" t="s">
        <v>18</v>
      </c>
      <c r="BS97" t="s">
        <v>153</v>
      </c>
      <c r="BT97" s="85" t="s">
        <v>30</v>
      </c>
      <c r="BU97" s="101" t="s">
        <v>1</v>
      </c>
      <c r="BV97" s="101" t="s">
        <v>42</v>
      </c>
      <c r="BW97" s="10"/>
      <c r="BX97" s="86" t="s">
        <v>35</v>
      </c>
      <c r="BZ97" s="426"/>
      <c r="CA97" s="427"/>
    </row>
    <row r="98" spans="69:89" x14ac:dyDescent="0.25">
      <c r="BQ98" s="12">
        <f>BT98</f>
        <v>0</v>
      </c>
      <c r="BR98" s="4" t="s">
        <v>16</v>
      </c>
      <c r="BS98" t="s">
        <v>154</v>
      </c>
      <c r="BT98" s="85">
        <f>CA112*BU137*BW137</f>
        <v>0</v>
      </c>
      <c r="BU98" s="4">
        <f>CA112*BU137*BW137*BZ137</f>
        <v>0</v>
      </c>
      <c r="BV98" s="36"/>
      <c r="BW98" s="10"/>
      <c r="BX98" s="79">
        <f>CA99</f>
        <v>9.3000000000000007</v>
      </c>
      <c r="BZ98" s="101" t="s">
        <v>30</v>
      </c>
      <c r="CA98" s="101" t="s">
        <v>1</v>
      </c>
      <c r="CB98" s="101" t="s">
        <v>42</v>
      </c>
      <c r="CC98" s="18" t="s">
        <v>36</v>
      </c>
    </row>
    <row r="99" spans="69:89" x14ac:dyDescent="0.25">
      <c r="BT99" s="463" t="s">
        <v>151</v>
      </c>
      <c r="BU99" s="74">
        <f>(40*210)*CC138*BW101</f>
        <v>156.24</v>
      </c>
      <c r="BV99" s="10" t="s">
        <v>69</v>
      </c>
      <c r="BW99" s="10"/>
      <c r="BX99" s="87" t="s">
        <v>36</v>
      </c>
      <c r="BZ99" s="101">
        <f>CG113*CD138*2</f>
        <v>93</v>
      </c>
      <c r="CA99" s="4">
        <f>CI138*CG113</f>
        <v>9.3000000000000007</v>
      </c>
      <c r="CB99" s="36"/>
      <c r="CC99" s="19" t="s">
        <v>54</v>
      </c>
    </row>
    <row r="100" spans="69:89" x14ac:dyDescent="0.25">
      <c r="BT100" s="464"/>
      <c r="BU100" s="74">
        <f>(40*210)*CC138*CF138*BW101</f>
        <v>15.624000000000004</v>
      </c>
      <c r="BV100" s="10" t="s">
        <v>68</v>
      </c>
      <c r="BW100" s="10"/>
      <c r="BX100" s="88"/>
      <c r="CC100" s="69">
        <f>CC111</f>
        <v>1.0079336728593606</v>
      </c>
    </row>
    <row r="101" spans="69:89" x14ac:dyDescent="0.25">
      <c r="BT101" s="78"/>
      <c r="BU101" s="48"/>
      <c r="BV101" s="10"/>
      <c r="BW101" s="10">
        <v>186</v>
      </c>
      <c r="BX101" s="89"/>
      <c r="BY101" s="449" t="s">
        <v>98</v>
      </c>
      <c r="BZ101" s="425"/>
      <c r="CC101" s="1">
        <f>CA99+CA109+BZ104</f>
        <v>11.090790037115021</v>
      </c>
    </row>
    <row r="102" spans="69:89" x14ac:dyDescent="0.25">
      <c r="BT102" s="78"/>
      <c r="BU102" s="10"/>
      <c r="BV102" s="10"/>
      <c r="BW102" s="10"/>
      <c r="BX102" s="90"/>
      <c r="BY102" s="450"/>
      <c r="BZ102" s="427"/>
      <c r="CC102" s="13" t="s">
        <v>34</v>
      </c>
    </row>
    <row r="103" spans="69:89" x14ac:dyDescent="0.25">
      <c r="BT103" s="78"/>
      <c r="BU103" s="10"/>
      <c r="BV103" s="10"/>
      <c r="BW103" s="10"/>
      <c r="BX103" s="79"/>
      <c r="BY103" s="157" t="s">
        <v>30</v>
      </c>
      <c r="BZ103" s="101" t="s">
        <v>1</v>
      </c>
      <c r="CA103" s="101" t="s">
        <v>42</v>
      </c>
      <c r="CC103" s="109" t="s">
        <v>99</v>
      </c>
    </row>
    <row r="104" spans="69:89" ht="15.75" thickBot="1" x14ac:dyDescent="0.3">
      <c r="BT104" s="451" t="s">
        <v>51</v>
      </c>
      <c r="BU104" s="452"/>
      <c r="BV104" s="91"/>
      <c r="BW104" s="92" t="s">
        <v>101</v>
      </c>
      <c r="BX104" s="93">
        <f>BU100-BX93-CA99</f>
        <v>0</v>
      </c>
      <c r="BY104" s="157">
        <f>CG113*CD140</f>
        <v>72.540000000000006</v>
      </c>
      <c r="BZ104" s="4">
        <f>CG113*CH140</f>
        <v>0.61736170212765962</v>
      </c>
      <c r="CA104" s="36"/>
      <c r="CC104" s="14" t="s">
        <v>35</v>
      </c>
    </row>
    <row r="105" spans="69:89" x14ac:dyDescent="0.25">
      <c r="BT105" s="447" t="str">
        <f>BY101</f>
        <v>Cremallera</v>
      </c>
      <c r="BU105" s="448"/>
      <c r="CC105">
        <f>CH113</f>
        <v>10.08285636425566</v>
      </c>
    </row>
    <row r="106" spans="69:89" x14ac:dyDescent="0.25">
      <c r="BT106" s="12">
        <f>BZ104</f>
        <v>0.61736170212765962</v>
      </c>
      <c r="BU106" s="4" t="s">
        <v>18</v>
      </c>
      <c r="BW106" s="404" t="s">
        <v>51</v>
      </c>
      <c r="BX106" s="405"/>
      <c r="BZ106" s="424" t="s">
        <v>73</v>
      </c>
      <c r="CA106" s="425"/>
      <c r="CC106" s="15" t="s">
        <v>36</v>
      </c>
    </row>
    <row r="107" spans="69:89" x14ac:dyDescent="0.25">
      <c r="BT107" s="12">
        <f>BY104</f>
        <v>72.540000000000006</v>
      </c>
      <c r="BU107" s="4" t="s">
        <v>16</v>
      </c>
      <c r="BW107" s="406" t="str">
        <f>BZ106</f>
        <v>Hilo funda de tela sin cremallera</v>
      </c>
      <c r="BX107" s="407"/>
      <c r="BZ107" s="426"/>
      <c r="CA107" s="427"/>
      <c r="CC107" s="35" t="s">
        <v>63</v>
      </c>
    </row>
    <row r="108" spans="69:89" x14ac:dyDescent="0.25">
      <c r="BW108" s="12">
        <f>CA109</f>
        <v>1.17342833498736</v>
      </c>
      <c r="BX108" s="4" t="s">
        <v>18</v>
      </c>
      <c r="BZ108" s="101" t="s">
        <v>30</v>
      </c>
      <c r="CA108" s="101" t="s">
        <v>1</v>
      </c>
      <c r="CB108" s="101" t="s">
        <v>42</v>
      </c>
      <c r="CC108" s="28"/>
    </row>
    <row r="109" spans="69:89" x14ac:dyDescent="0.25">
      <c r="BW109" s="12">
        <f>BZ109</f>
        <v>1318.82</v>
      </c>
      <c r="BX109" s="4" t="s">
        <v>16</v>
      </c>
      <c r="BZ109" s="101">
        <f>BZ110</f>
        <v>1318.82</v>
      </c>
      <c r="CA109" s="4">
        <f>BZ109*CH139</f>
        <v>1.17342833498736</v>
      </c>
      <c r="CB109" s="37"/>
      <c r="CC109" s="16"/>
    </row>
    <row r="110" spans="69:89" x14ac:dyDescent="0.25">
      <c r="BZ110" s="34">
        <v>1318.82</v>
      </c>
      <c r="CG110" s="410" t="s">
        <v>89</v>
      </c>
      <c r="CH110" s="410"/>
      <c r="CJ110" s="10"/>
      <c r="CK110" s="10"/>
    </row>
    <row r="111" spans="69:89" x14ac:dyDescent="0.25">
      <c r="BW111" s="404" t="s">
        <v>51</v>
      </c>
      <c r="BX111" s="405"/>
      <c r="BZ111" s="14" t="s">
        <v>94</v>
      </c>
      <c r="CC111" s="22">
        <f>CA109+CA99+BZ104-CH113</f>
        <v>1.0079336728593606</v>
      </c>
      <c r="CG111" s="410"/>
      <c r="CH111" s="410"/>
      <c r="CJ111" s="10"/>
      <c r="CK111" s="10"/>
    </row>
    <row r="112" spans="69:89" x14ac:dyDescent="0.25">
      <c r="BW112" s="406">
        <f>BZ117</f>
        <v>0</v>
      </c>
      <c r="BX112" s="407"/>
      <c r="CG112" s="101" t="s">
        <v>4</v>
      </c>
      <c r="CH112" s="101" t="s">
        <v>1</v>
      </c>
      <c r="CJ112" s="10"/>
      <c r="CK112" s="10"/>
    </row>
    <row r="113" spans="75:92" x14ac:dyDescent="0.25">
      <c r="BW113" s="12">
        <f>CA120</f>
        <v>0</v>
      </c>
      <c r="BX113" s="4" t="s">
        <v>18</v>
      </c>
      <c r="CG113" s="101">
        <f>CL116</f>
        <v>186</v>
      </c>
      <c r="CH113" s="4">
        <f>CG113*(CH139+CI138+CH140)</f>
        <v>10.08285636425566</v>
      </c>
    </row>
    <row r="114" spans="75:92" x14ac:dyDescent="0.25">
      <c r="BW114" s="12">
        <f>BZ120</f>
        <v>0</v>
      </c>
      <c r="BX114" s="4" t="s">
        <v>16</v>
      </c>
      <c r="CJ114">
        <f>CH113+CH119</f>
        <v>263.42685636425563</v>
      </c>
      <c r="CL114" s="416" t="s">
        <v>52</v>
      </c>
      <c r="CM114" s="416"/>
    </row>
    <row r="115" spans="75:92" ht="15.75" customHeight="1" x14ac:dyDescent="0.25">
      <c r="CJ115" s="13" t="s">
        <v>34</v>
      </c>
      <c r="CL115" s="436" t="s">
        <v>90</v>
      </c>
      <c r="CM115" s="417"/>
      <c r="CN115" s="200" t="s">
        <v>37</v>
      </c>
    </row>
    <row r="116" spans="75:92" x14ac:dyDescent="0.25">
      <c r="CJ116" s="109" t="s">
        <v>3</v>
      </c>
      <c r="CL116" s="202">
        <v>186</v>
      </c>
      <c r="CM116" s="4" t="s">
        <v>27</v>
      </c>
    </row>
    <row r="117" spans="75:92" x14ac:dyDescent="0.25">
      <c r="CG117" s="159" t="s">
        <v>95</v>
      </c>
      <c r="CH117" s="157"/>
      <c r="CJ117" s="14" t="s">
        <v>35</v>
      </c>
      <c r="CL117" s="4">
        <f>CL116*CI142</f>
        <v>126.14685636425568</v>
      </c>
      <c r="CM117" s="4" t="s">
        <v>28</v>
      </c>
    </row>
    <row r="118" spans="75:92" x14ac:dyDescent="0.25">
      <c r="CG118" s="101" t="s">
        <v>4</v>
      </c>
      <c r="CH118" s="101" t="s">
        <v>1</v>
      </c>
      <c r="CJ118">
        <f>CL117</f>
        <v>126.14685636425568</v>
      </c>
    </row>
    <row r="119" spans="75:92" x14ac:dyDescent="0.25">
      <c r="CG119" s="101">
        <v>406</v>
      </c>
      <c r="CH119" s="289">
        <v>253.34399999999999</v>
      </c>
      <c r="CJ119" s="15" t="s">
        <v>36</v>
      </c>
    </row>
    <row r="120" spans="75:92" x14ac:dyDescent="0.25">
      <c r="CJ120" s="1">
        <f>CJ114-CJ118</f>
        <v>137.27999999999994</v>
      </c>
    </row>
    <row r="121" spans="75:92" x14ac:dyDescent="0.25">
      <c r="CJ121" s="28" t="s">
        <v>45</v>
      </c>
    </row>
    <row r="124" spans="75:92" x14ac:dyDescent="0.25">
      <c r="CB124" s="404" t="s">
        <v>51</v>
      </c>
      <c r="CC124" s="405"/>
    </row>
    <row r="125" spans="75:92" x14ac:dyDescent="0.25">
      <c r="CB125" s="406" t="str">
        <f>CG117</f>
        <v>Espuma inyectada moldeada</v>
      </c>
      <c r="CC125" s="407"/>
    </row>
    <row r="126" spans="75:92" x14ac:dyDescent="0.25">
      <c r="CB126" s="12">
        <f>CH119</f>
        <v>253.34399999999999</v>
      </c>
      <c r="CC126" s="4" t="s">
        <v>18</v>
      </c>
      <c r="CM126" t="s">
        <v>91</v>
      </c>
    </row>
    <row r="127" spans="75:92" x14ac:dyDescent="0.25">
      <c r="CB127" s="12">
        <f>CG119</f>
        <v>406</v>
      </c>
      <c r="CC127" s="4" t="str">
        <f>CG118</f>
        <v>en unidades</v>
      </c>
    </row>
    <row r="134" spans="78:88" x14ac:dyDescent="0.25">
      <c r="CA134" s="415" t="s">
        <v>125</v>
      </c>
      <c r="CB134" s="415"/>
      <c r="CC134" s="4" t="s">
        <v>19</v>
      </c>
      <c r="CD134" s="101" t="s">
        <v>20</v>
      </c>
      <c r="CE134" s="101" t="s">
        <v>2</v>
      </c>
      <c r="CF134" s="101" t="s">
        <v>21</v>
      </c>
      <c r="CG134" s="101" t="s">
        <v>2</v>
      </c>
      <c r="CH134" s="11" t="s">
        <v>24</v>
      </c>
    </row>
    <row r="135" spans="78:88" x14ac:dyDescent="0.25">
      <c r="BZ135" s="101"/>
      <c r="CA135" s="104"/>
      <c r="CB135" s="104"/>
      <c r="CC135" s="23"/>
      <c r="CD135" s="23"/>
      <c r="CE135" s="23"/>
      <c r="CF135" s="23"/>
      <c r="CG135" s="23"/>
      <c r="CH135" s="39"/>
    </row>
    <row r="136" spans="78:88" x14ac:dyDescent="0.25">
      <c r="BZ136" s="101" t="s">
        <v>96</v>
      </c>
      <c r="CA136" s="104">
        <f>13*60*40</f>
        <v>31200</v>
      </c>
      <c r="CB136" s="104" t="s">
        <v>26</v>
      </c>
      <c r="CC136" s="23">
        <v>9.9999999999999995E-7</v>
      </c>
      <c r="CD136" s="23">
        <f>CA136*CC136</f>
        <v>3.1199999999999999E-2</v>
      </c>
      <c r="CE136" s="23" t="s">
        <v>15</v>
      </c>
      <c r="CF136" s="23">
        <v>20</v>
      </c>
      <c r="CG136" s="23" t="s">
        <v>13</v>
      </c>
      <c r="CH136" s="23">
        <f>CD136*CF136</f>
        <v>0.624</v>
      </c>
    </row>
    <row r="137" spans="78:88" x14ac:dyDescent="0.25">
      <c r="BZ137" s="101"/>
      <c r="CA137" s="104"/>
      <c r="CB137" s="104"/>
      <c r="CC137" s="23"/>
      <c r="CD137" s="23"/>
      <c r="CE137" s="23"/>
      <c r="CF137" s="23"/>
      <c r="CG137" s="23"/>
      <c r="CH137" s="40"/>
    </row>
    <row r="138" spans="78:88" x14ac:dyDescent="0.25">
      <c r="BZ138" s="101" t="s">
        <v>92</v>
      </c>
      <c r="CA138" s="104">
        <f>62.5*40</f>
        <v>2500</v>
      </c>
      <c r="CB138" s="104" t="s">
        <v>9</v>
      </c>
      <c r="CC138" s="23">
        <f>0.0001</f>
        <v>1E-4</v>
      </c>
      <c r="CD138" s="23">
        <f>CA138*CC138</f>
        <v>0.25</v>
      </c>
      <c r="CE138" s="23" t="s">
        <v>17</v>
      </c>
      <c r="CF138" s="23">
        <v>0.1</v>
      </c>
      <c r="CG138" s="23" t="s">
        <v>23</v>
      </c>
      <c r="CH138" s="66">
        <f t="shared" ref="CH138:CH140" si="2">CF138*CD138</f>
        <v>2.5000000000000001E-2</v>
      </c>
      <c r="CI138" s="67">
        <f>CH138*2</f>
        <v>0.05</v>
      </c>
    </row>
    <row r="139" spans="78:88" x14ac:dyDescent="0.25">
      <c r="BZ139" s="101" t="s">
        <v>33</v>
      </c>
      <c r="CA139" s="104">
        <v>1146.8</v>
      </c>
      <c r="CB139" s="104" t="s">
        <v>10</v>
      </c>
      <c r="CC139" s="23">
        <f>1/100</f>
        <v>0.01</v>
      </c>
      <c r="CD139" s="23">
        <f>CA139*CC139</f>
        <v>11.468</v>
      </c>
      <c r="CE139" s="23" t="s">
        <v>16</v>
      </c>
      <c r="CF139" s="23">
        <v>7.7585999999999999E-5</v>
      </c>
      <c r="CG139" s="23" t="s">
        <v>22</v>
      </c>
      <c r="CH139" s="23">
        <f t="shared" si="2"/>
        <v>8.89756248E-4</v>
      </c>
    </row>
    <row r="140" spans="78:88" x14ac:dyDescent="0.25">
      <c r="BZ140" s="101" t="s">
        <v>93</v>
      </c>
      <c r="CA140" s="104">
        <v>39</v>
      </c>
      <c r="CB140" s="104" t="s">
        <v>10</v>
      </c>
      <c r="CC140" s="23">
        <f>1/100</f>
        <v>0.01</v>
      </c>
      <c r="CD140" s="23">
        <f>CA140*CC140</f>
        <v>0.39</v>
      </c>
      <c r="CE140" s="23" t="s">
        <v>16</v>
      </c>
      <c r="CF140" s="23">
        <f>1/117.5</f>
        <v>8.5106382978723406E-3</v>
      </c>
      <c r="CG140" s="23" t="s">
        <v>22</v>
      </c>
      <c r="CH140" s="23">
        <f t="shared" si="2"/>
        <v>3.319148936170213E-3</v>
      </c>
    </row>
    <row r="141" spans="78:88" x14ac:dyDescent="0.25">
      <c r="CI141" s="408" t="s">
        <v>25</v>
      </c>
      <c r="CJ141" s="408"/>
    </row>
    <row r="142" spans="78:88" x14ac:dyDescent="0.25">
      <c r="CI142" s="4">
        <f>CH136+CI138+CH139+CH140</f>
        <v>0.67820890518417032</v>
      </c>
      <c r="CJ142" s="4" t="s">
        <v>18</v>
      </c>
    </row>
    <row r="147" spans="65:81" x14ac:dyDescent="0.25">
      <c r="BT147" s="10"/>
      <c r="BU147" s="10"/>
      <c r="BV147" s="10"/>
      <c r="BW147" s="10"/>
      <c r="BX147" s="10"/>
    </row>
    <row r="148" spans="65:81" x14ac:dyDescent="0.25">
      <c r="BT148" s="10"/>
      <c r="BU148" s="10"/>
      <c r="BV148" s="10"/>
      <c r="BW148" s="10"/>
      <c r="BX148" s="10"/>
    </row>
    <row r="149" spans="65:81" x14ac:dyDescent="0.25">
      <c r="BT149" s="10"/>
      <c r="BU149" s="10"/>
      <c r="BV149" s="10"/>
      <c r="BW149" s="10"/>
      <c r="BX149" s="10"/>
    </row>
    <row r="150" spans="65:81" x14ac:dyDescent="0.25">
      <c r="BT150" s="10"/>
      <c r="BU150" s="10"/>
      <c r="BV150" s="10"/>
      <c r="BW150" s="10"/>
      <c r="BX150" s="10"/>
    </row>
    <row r="151" spans="65:81" x14ac:dyDescent="0.25">
      <c r="BT151" s="10"/>
      <c r="BU151" s="10"/>
      <c r="BV151" s="10"/>
      <c r="BW151" s="10"/>
      <c r="BX151" s="10" t="s">
        <v>141</v>
      </c>
    </row>
    <row r="152" spans="65:81" x14ac:dyDescent="0.25">
      <c r="BM152" s="41" t="s">
        <v>58</v>
      </c>
      <c r="BN152" s="41"/>
      <c r="BT152" s="10"/>
      <c r="BU152" s="10"/>
      <c r="BV152" s="10"/>
      <c r="BW152" s="10"/>
      <c r="BX152" s="49" t="s">
        <v>36</v>
      </c>
    </row>
    <row r="153" spans="65:81" x14ac:dyDescent="0.25">
      <c r="BM153" s="25" t="s">
        <v>156</v>
      </c>
      <c r="BN153" s="4"/>
      <c r="BT153" s="10"/>
      <c r="BU153" s="10"/>
      <c r="BV153" s="10"/>
      <c r="BW153" s="10"/>
      <c r="BX153" s="45" t="s">
        <v>54</v>
      </c>
    </row>
    <row r="154" spans="65:81" x14ac:dyDescent="0.25">
      <c r="BM154" s="129">
        <f>BX154</f>
        <v>13.252477335017602</v>
      </c>
      <c r="BN154" s="4" t="s">
        <v>18</v>
      </c>
      <c r="BT154" s="10"/>
      <c r="BU154" s="10"/>
      <c r="BV154" s="10"/>
      <c r="BW154" s="10"/>
      <c r="BX154" s="121">
        <f>BX155-BX159</f>
        <v>13.252477335017602</v>
      </c>
    </row>
    <row r="155" spans="65:81" x14ac:dyDescent="0.25">
      <c r="BM155" s="12">
        <f>6/1000</f>
        <v>6.0000000000000001E-3</v>
      </c>
      <c r="BN155" s="4" t="s">
        <v>158</v>
      </c>
      <c r="BT155" s="10"/>
      <c r="BU155" s="10"/>
      <c r="BV155" s="10"/>
      <c r="BW155" s="10"/>
      <c r="BX155" s="128">
        <f>BU161</f>
        <v>278.30202403536964</v>
      </c>
    </row>
    <row r="156" spans="65:81" x14ac:dyDescent="0.25">
      <c r="BT156" s="421" t="s">
        <v>139</v>
      </c>
      <c r="BU156" s="421"/>
      <c r="BV156" s="10"/>
      <c r="BW156" s="10"/>
      <c r="BX156" s="47" t="s">
        <v>34</v>
      </c>
    </row>
    <row r="157" spans="65:81" x14ac:dyDescent="0.25">
      <c r="BT157" s="421"/>
      <c r="BU157" s="421"/>
      <c r="BV157" s="10"/>
      <c r="BW157" s="10"/>
      <c r="BX157" s="118" t="s">
        <v>138</v>
      </c>
      <c r="BZ157" s="424" t="s">
        <v>135</v>
      </c>
      <c r="CA157" s="425"/>
    </row>
    <row r="158" spans="65:81" x14ac:dyDescent="0.25">
      <c r="BT158" s="120" t="s">
        <v>1</v>
      </c>
      <c r="BU158" s="120" t="s">
        <v>1</v>
      </c>
      <c r="BV158" s="116"/>
      <c r="BW158" s="10"/>
      <c r="BX158" s="48" t="s">
        <v>35</v>
      </c>
      <c r="BZ158" s="426"/>
      <c r="CA158" s="427"/>
      <c r="CC158" s="1" t="s">
        <v>137</v>
      </c>
    </row>
    <row r="159" spans="65:81" x14ac:dyDescent="0.25">
      <c r="BT159" s="120">
        <f>BU159</f>
        <v>278.30202403536964</v>
      </c>
      <c r="BU159" s="67">
        <f>BU161</f>
        <v>278.30202403536964</v>
      </c>
      <c r="BV159" s="55"/>
      <c r="BW159" s="10"/>
      <c r="BX159" s="10">
        <f>CA160</f>
        <v>265.04954670035204</v>
      </c>
      <c r="BZ159" s="101" t="s">
        <v>1</v>
      </c>
      <c r="CA159" s="101" t="s">
        <v>1</v>
      </c>
      <c r="CB159" s="101" t="s">
        <v>42</v>
      </c>
      <c r="CC159" s="18" t="s">
        <v>36</v>
      </c>
    </row>
    <row r="160" spans="65:81" x14ac:dyDescent="0.25">
      <c r="BT160" s="422" t="s">
        <v>140</v>
      </c>
      <c r="BU160" s="10"/>
      <c r="BV160" s="10"/>
      <c r="BW160" s="10"/>
      <c r="BX160" s="50" t="s">
        <v>36</v>
      </c>
      <c r="BZ160" s="101">
        <f>CG174*(CH198+CH199+CH200+CH203)</f>
        <v>265.04954670035204</v>
      </c>
      <c r="CA160" s="4">
        <f>BZ160</f>
        <v>265.04954670035204</v>
      </c>
      <c r="CB160" s="36"/>
      <c r="CC160" s="19" t="s">
        <v>54</v>
      </c>
    </row>
    <row r="161" spans="72:92" x14ac:dyDescent="0.25">
      <c r="BT161" s="423"/>
      <c r="BU161" s="10">
        <f>BX159+BX159*0.05</f>
        <v>278.30202403536964</v>
      </c>
      <c r="BV161" s="10"/>
      <c r="BW161" s="10"/>
      <c r="BX161" s="117" t="s">
        <v>157</v>
      </c>
      <c r="CC161" s="69">
        <f>CC172</f>
        <v>12.266596116575954</v>
      </c>
    </row>
    <row r="162" spans="72:92" x14ac:dyDescent="0.25">
      <c r="BT162" s="10"/>
      <c r="BU162" s="48"/>
      <c r="BV162" s="10"/>
      <c r="BW162" s="10"/>
      <c r="BX162" s="28"/>
      <c r="BY162" s="445" t="s">
        <v>98</v>
      </c>
      <c r="BZ162" s="445"/>
      <c r="CC162" s="1">
        <f>CA160+CA170+BZ165</f>
        <v>281.87008610413238</v>
      </c>
    </row>
    <row r="163" spans="72:92" x14ac:dyDescent="0.25">
      <c r="BT163" s="10"/>
      <c r="BU163" s="10"/>
      <c r="BV163" s="10"/>
      <c r="BW163" s="10"/>
      <c r="BX163" s="16"/>
      <c r="BY163" s="445"/>
      <c r="BZ163" s="445"/>
      <c r="CC163" s="13" t="s">
        <v>34</v>
      </c>
    </row>
    <row r="164" spans="72:92" x14ac:dyDescent="0.25">
      <c r="BT164" s="10"/>
      <c r="BU164" s="10"/>
      <c r="BV164" s="10"/>
      <c r="BW164" s="10"/>
      <c r="BX164" s="10"/>
      <c r="BY164" s="120" t="s">
        <v>30</v>
      </c>
      <c r="BZ164" s="120" t="s">
        <v>1</v>
      </c>
      <c r="CA164" s="157" t="s">
        <v>42</v>
      </c>
      <c r="CC164" s="109" t="s">
        <v>99</v>
      </c>
    </row>
    <row r="165" spans="72:92" x14ac:dyDescent="0.25">
      <c r="BT165" s="446" t="s">
        <v>51</v>
      </c>
      <c r="BU165" s="446"/>
      <c r="BV165" s="10"/>
      <c r="BW165" s="48"/>
      <c r="BX165" s="52">
        <f>BU161-CA160</f>
        <v>13.252477335017602</v>
      </c>
      <c r="BY165" s="120">
        <f>CG174*CD201</f>
        <v>439</v>
      </c>
      <c r="BZ165" s="67">
        <f>CG174*CH201</f>
        <v>3.7361702127659573</v>
      </c>
      <c r="CA165" s="119"/>
      <c r="CC165" s="14" t="s">
        <v>35</v>
      </c>
    </row>
    <row r="166" spans="72:92" x14ac:dyDescent="0.25">
      <c r="BT166" s="447" t="str">
        <f>BY162</f>
        <v>Cremallera</v>
      </c>
      <c r="BU166" s="448"/>
      <c r="CC166">
        <f>CH174</f>
        <v>269.60348998755643</v>
      </c>
    </row>
    <row r="167" spans="72:92" x14ac:dyDescent="0.25">
      <c r="BT167" s="12">
        <f>BZ165</f>
        <v>3.7361702127659573</v>
      </c>
      <c r="BU167" s="4" t="s">
        <v>18</v>
      </c>
      <c r="BW167" s="404" t="s">
        <v>51</v>
      </c>
      <c r="BX167" s="405"/>
      <c r="BZ167" s="424" t="s">
        <v>73</v>
      </c>
      <c r="CA167" s="425"/>
      <c r="CC167" s="15" t="s">
        <v>36</v>
      </c>
    </row>
    <row r="168" spans="72:92" x14ac:dyDescent="0.25">
      <c r="BT168" s="12">
        <f>BY165</f>
        <v>439</v>
      </c>
      <c r="BU168" s="4" t="s">
        <v>16</v>
      </c>
      <c r="BW168" s="406" t="str">
        <f>BZ167</f>
        <v>Hilo funda de tela sin cremallera</v>
      </c>
      <c r="BX168" s="407"/>
      <c r="BZ168" s="426"/>
      <c r="CA168" s="427"/>
      <c r="CC168" s="35" t="s">
        <v>63</v>
      </c>
    </row>
    <row r="169" spans="72:92" x14ac:dyDescent="0.25">
      <c r="BW169" s="12">
        <f>CA170</f>
        <v>13.084369191014398</v>
      </c>
      <c r="BX169" s="4" t="s">
        <v>18</v>
      </c>
      <c r="BZ169" s="101" t="s">
        <v>30</v>
      </c>
      <c r="CA169" s="101" t="s">
        <v>1</v>
      </c>
      <c r="CB169" s="101" t="s">
        <v>42</v>
      </c>
      <c r="CC169" s="28"/>
    </row>
    <row r="170" spans="72:92" x14ac:dyDescent="0.25">
      <c r="BW170" s="12">
        <f>BZ170</f>
        <v>168643.43039999998</v>
      </c>
      <c r="BX170" s="4" t="s">
        <v>16</v>
      </c>
      <c r="BZ170" s="101">
        <f>(CD202+BZ172)*CG174</f>
        <v>168643.43039999998</v>
      </c>
      <c r="CA170" s="4">
        <f>BZ170*CF202</f>
        <v>13.084369191014398</v>
      </c>
      <c r="CB170" s="37"/>
      <c r="CC170" s="16"/>
    </row>
    <row r="171" spans="72:92" x14ac:dyDescent="0.25">
      <c r="BZ171" s="34" t="s">
        <v>136</v>
      </c>
      <c r="CG171" s="410" t="s">
        <v>89</v>
      </c>
      <c r="CH171" s="410"/>
    </row>
    <row r="172" spans="72:92" x14ac:dyDescent="0.25">
      <c r="BZ172" s="14">
        <v>360.14400000000001</v>
      </c>
      <c r="CC172" s="22">
        <f>CA170+CA160+BZ165-CH174</f>
        <v>12.266596116575954</v>
      </c>
      <c r="CG172" s="410"/>
      <c r="CH172" s="410"/>
    </row>
    <row r="173" spans="72:92" x14ac:dyDescent="0.25">
      <c r="CG173" s="101" t="s">
        <v>4</v>
      </c>
      <c r="CH173" s="101" t="s">
        <v>1</v>
      </c>
    </row>
    <row r="174" spans="72:92" x14ac:dyDescent="0.25">
      <c r="CG174" s="101">
        <f>CL177</f>
        <v>439</v>
      </c>
      <c r="CH174" s="4">
        <f>CG174*(CH200+CH199+CH201+CH202+CH203+CH198)</f>
        <v>269.60348998755643</v>
      </c>
    </row>
    <row r="175" spans="72:92" x14ac:dyDescent="0.25">
      <c r="CJ175">
        <f>CH174+CH180</f>
        <v>2270.3034899875565</v>
      </c>
      <c r="CL175" s="416" t="s">
        <v>52</v>
      </c>
      <c r="CM175" s="416"/>
    </row>
    <row r="176" spans="72:92" x14ac:dyDescent="0.25">
      <c r="CJ176" s="13" t="s">
        <v>34</v>
      </c>
      <c r="CL176" s="436" t="s">
        <v>124</v>
      </c>
      <c r="CM176" s="417"/>
      <c r="CN176" s="127" t="s">
        <v>123</v>
      </c>
    </row>
    <row r="177" spans="65:91" x14ac:dyDescent="0.25">
      <c r="CJ177" s="109" t="s">
        <v>3</v>
      </c>
      <c r="CL177" s="184">
        <v>439</v>
      </c>
      <c r="CM177" s="4" t="s">
        <v>27</v>
      </c>
    </row>
    <row r="178" spans="65:91" x14ac:dyDescent="0.25">
      <c r="CG178" s="410" t="s">
        <v>134</v>
      </c>
      <c r="CH178" s="410"/>
      <c r="CJ178" s="14" t="s">
        <v>35</v>
      </c>
      <c r="CL178" s="4">
        <f>CL177*CI203</f>
        <v>1770.9834899875561</v>
      </c>
      <c r="CM178" s="4" t="s">
        <v>28</v>
      </c>
    </row>
    <row r="179" spans="65:91" x14ac:dyDescent="0.25">
      <c r="CG179" s="101" t="s">
        <v>4</v>
      </c>
      <c r="CH179" s="101" t="s">
        <v>1</v>
      </c>
      <c r="CJ179">
        <f>CL178</f>
        <v>1770.9834899875561</v>
      </c>
    </row>
    <row r="180" spans="65:91" x14ac:dyDescent="0.25">
      <c r="CG180" s="101">
        <v>585</v>
      </c>
      <c r="CH180" s="289">
        <v>2000.7</v>
      </c>
      <c r="CJ180" s="15" t="s">
        <v>36</v>
      </c>
    </row>
    <row r="181" spans="65:91" x14ac:dyDescent="0.25">
      <c r="CJ181" s="1">
        <f>CJ175-CJ179</f>
        <v>499.32000000000039</v>
      </c>
    </row>
    <row r="182" spans="65:91" x14ac:dyDescent="0.25">
      <c r="CJ182" s="28" t="s">
        <v>45</v>
      </c>
    </row>
    <row r="185" spans="65:91" ht="15" customHeight="1" x14ac:dyDescent="0.25">
      <c r="CB185" s="404" t="s">
        <v>51</v>
      </c>
      <c r="CC185" s="405"/>
    </row>
    <row r="186" spans="65:91" x14ac:dyDescent="0.25">
      <c r="CB186" s="406" t="str">
        <f>CG178</f>
        <v xml:space="preserve">Lámina de espuma </v>
      </c>
      <c r="CC186" s="407"/>
    </row>
    <row r="187" spans="65:91" x14ac:dyDescent="0.25">
      <c r="CB187" s="12">
        <f>CH180</f>
        <v>2000.7</v>
      </c>
      <c r="CC187" s="4" t="s">
        <v>18</v>
      </c>
      <c r="CM187" t="s">
        <v>91</v>
      </c>
    </row>
    <row r="188" spans="65:91" x14ac:dyDescent="0.25">
      <c r="CB188" s="12">
        <f>CG180</f>
        <v>585</v>
      </c>
      <c r="CC188" s="4" t="str">
        <f>CG179</f>
        <v>en unidades</v>
      </c>
    </row>
    <row r="192" spans="65:91" x14ac:dyDescent="0.25">
      <c r="BM192" s="18" t="s">
        <v>36</v>
      </c>
    </row>
    <row r="193" spans="65:88" x14ac:dyDescent="0.25">
      <c r="BM193" s="19">
        <v>1E-4</v>
      </c>
    </row>
    <row r="194" spans="65:88" x14ac:dyDescent="0.25">
      <c r="BM194" s="18">
        <f>BM195+BM195*BM193</f>
        <v>19.40308535408186</v>
      </c>
    </row>
    <row r="195" spans="65:88" x14ac:dyDescent="0.25">
      <c r="BM195" s="130">
        <f>BM154+BX210</f>
        <v>19.401145239557906</v>
      </c>
      <c r="BT195" s="41" t="s">
        <v>58</v>
      </c>
      <c r="BU195" s="41"/>
      <c r="CA195" s="415" t="s">
        <v>126</v>
      </c>
      <c r="CB195" s="415"/>
      <c r="CC195" s="4" t="s">
        <v>19</v>
      </c>
      <c r="CD195" s="101" t="s">
        <v>20</v>
      </c>
      <c r="CE195" s="101" t="s">
        <v>2</v>
      </c>
      <c r="CF195" s="101" t="s">
        <v>21</v>
      </c>
      <c r="CG195" s="101" t="s">
        <v>2</v>
      </c>
      <c r="CH195" s="11" t="s">
        <v>24</v>
      </c>
    </row>
    <row r="196" spans="65:88" x14ac:dyDescent="0.25">
      <c r="BM196" s="13" t="s">
        <v>34</v>
      </c>
      <c r="BT196" s="25" t="s">
        <v>156</v>
      </c>
      <c r="BU196" s="4"/>
      <c r="BZ196" s="101"/>
      <c r="CA196" s="104"/>
      <c r="CB196" s="104"/>
      <c r="CC196" s="23"/>
      <c r="CD196" s="23"/>
      <c r="CE196" s="23"/>
      <c r="CF196" s="23"/>
      <c r="CG196" s="23"/>
      <c r="CH196" s="39"/>
    </row>
    <row r="197" spans="65:88" x14ac:dyDescent="0.25">
      <c r="BM197" s="29" t="s">
        <v>238</v>
      </c>
      <c r="BT197" s="129">
        <f>BX210</f>
        <v>6.1486679045403037</v>
      </c>
      <c r="BU197" s="4" t="s">
        <v>18</v>
      </c>
      <c r="BZ197" s="101" t="s">
        <v>128</v>
      </c>
      <c r="CA197" s="104">
        <f>100*190*10</f>
        <v>190000</v>
      </c>
      <c r="CB197" s="104" t="s">
        <v>26</v>
      </c>
      <c r="CC197" s="23">
        <v>9.9999999999999995E-7</v>
      </c>
      <c r="CD197" s="23">
        <f t="shared" ref="CD197:CD203" si="3">CA197*CC197</f>
        <v>0.19</v>
      </c>
      <c r="CE197" s="23" t="s">
        <v>15</v>
      </c>
      <c r="CF197" s="23">
        <v>18</v>
      </c>
      <c r="CG197" s="23" t="s">
        <v>13</v>
      </c>
      <c r="CH197" s="23">
        <f>CD197*CF197</f>
        <v>3.42</v>
      </c>
    </row>
    <row r="198" spans="65:88" x14ac:dyDescent="0.25">
      <c r="BM198" s="14" t="s">
        <v>35</v>
      </c>
      <c r="BP198" s="404" t="s">
        <v>51</v>
      </c>
      <c r="BQ198" s="405"/>
      <c r="BT198" s="12">
        <f>6/1000</f>
        <v>6.0000000000000001E-3</v>
      </c>
      <c r="BU198" s="4" t="s">
        <v>158</v>
      </c>
      <c r="BZ198" s="101" t="s">
        <v>129</v>
      </c>
      <c r="CA198" s="104">
        <f>3708.8</f>
        <v>3708.8</v>
      </c>
      <c r="CB198" s="104" t="s">
        <v>10</v>
      </c>
      <c r="CC198" s="23">
        <f>1/100</f>
        <v>0.01</v>
      </c>
      <c r="CD198" s="23">
        <f t="shared" si="3"/>
        <v>37.088000000000001</v>
      </c>
      <c r="CE198" s="23" t="s">
        <v>16</v>
      </c>
      <c r="CF198" s="23">
        <v>7.7585999999999999E-5</v>
      </c>
      <c r="CG198" s="23" t="s">
        <v>22</v>
      </c>
      <c r="CH198" s="23">
        <f t="shared" ref="CH198:CH200" si="4">CD198*CF198</f>
        <v>2.8775095680000002E-3</v>
      </c>
    </row>
    <row r="199" spans="65:88" x14ac:dyDescent="0.25">
      <c r="BM199" s="130">
        <f>BM195</f>
        <v>19.401145239557906</v>
      </c>
      <c r="BP199" s="406" t="s">
        <v>159</v>
      </c>
      <c r="BQ199" s="407"/>
      <c r="BZ199" s="101" t="s">
        <v>131</v>
      </c>
      <c r="CA199" s="104">
        <f>210*210*0.3</f>
        <v>13230</v>
      </c>
      <c r="CB199" s="104" t="s">
        <v>26</v>
      </c>
      <c r="CC199" s="23">
        <v>9.9999999999999995E-7</v>
      </c>
      <c r="CD199" s="23">
        <f t="shared" si="3"/>
        <v>1.3229999999999999E-2</v>
      </c>
      <c r="CE199" s="23" t="s">
        <v>15</v>
      </c>
      <c r="CF199" s="23">
        <v>12</v>
      </c>
      <c r="CG199" s="23" t="s">
        <v>13</v>
      </c>
      <c r="CH199" s="23">
        <f t="shared" si="4"/>
        <v>0.15875999999999998</v>
      </c>
    </row>
    <row r="200" spans="65:88" x14ac:dyDescent="0.25">
      <c r="BM200" s="15" t="s">
        <v>36</v>
      </c>
      <c r="BP200" s="43">
        <f>IF(CI248-BM195&lt;0,0,CI248-BM195)</f>
        <v>0</v>
      </c>
      <c r="BQ200" s="44" t="s">
        <v>18</v>
      </c>
      <c r="BZ200" s="101" t="s">
        <v>127</v>
      </c>
      <c r="CA200" s="104">
        <f>560</f>
        <v>560</v>
      </c>
      <c r="CB200" s="104" t="s">
        <v>9</v>
      </c>
      <c r="CC200" s="23">
        <f>0.0001</f>
        <v>1E-4</v>
      </c>
      <c r="CD200" s="23">
        <f t="shared" si="3"/>
        <v>5.6000000000000001E-2</v>
      </c>
      <c r="CE200" s="23" t="s">
        <v>17</v>
      </c>
      <c r="CF200" s="23">
        <f>20/1000</f>
        <v>0.02</v>
      </c>
      <c r="CG200" s="23" t="s">
        <v>23</v>
      </c>
      <c r="CH200" s="23">
        <f t="shared" si="4"/>
        <v>1.1200000000000001E-3</v>
      </c>
    </row>
    <row r="201" spans="65:88" x14ac:dyDescent="0.25">
      <c r="BM201" s="210">
        <f>BM199-CI248</f>
        <v>16.161145239557904</v>
      </c>
      <c r="BN201" s="209"/>
      <c r="BP201" s="43">
        <f>BP200</f>
        <v>0</v>
      </c>
      <c r="BQ201" s="44" t="s">
        <v>18</v>
      </c>
      <c r="BZ201" s="101" t="s">
        <v>93</v>
      </c>
      <c r="CA201" s="104">
        <v>100</v>
      </c>
      <c r="CB201" s="104" t="s">
        <v>10</v>
      </c>
      <c r="CC201" s="23">
        <f>1/100</f>
        <v>0.01</v>
      </c>
      <c r="CD201" s="23">
        <f t="shared" si="3"/>
        <v>1</v>
      </c>
      <c r="CE201" s="23" t="s">
        <v>16</v>
      </c>
      <c r="CF201" s="23">
        <f>1/117.5</f>
        <v>8.5106382978723406E-3</v>
      </c>
      <c r="CG201" s="23" t="s">
        <v>22</v>
      </c>
      <c r="CH201" s="23">
        <f>CD201*CF201</f>
        <v>8.5106382978723406E-3</v>
      </c>
    </row>
    <row r="202" spans="65:88" x14ac:dyDescent="0.25">
      <c r="BM202" s="209" t="s">
        <v>168</v>
      </c>
      <c r="BN202" s="209"/>
      <c r="BZ202" s="11" t="s">
        <v>130</v>
      </c>
      <c r="CA202" s="104">
        <f>2400.96</f>
        <v>2400.96</v>
      </c>
      <c r="CB202" s="104" t="s">
        <v>10</v>
      </c>
      <c r="CC202" s="23">
        <f>1/100</f>
        <v>0.01</v>
      </c>
      <c r="CD202" s="23">
        <f t="shared" si="3"/>
        <v>24.009600000000002</v>
      </c>
      <c r="CE202" s="23" t="s">
        <v>16</v>
      </c>
      <c r="CF202" s="23">
        <v>7.7585999999999999E-5</v>
      </c>
      <c r="CG202" s="23" t="s">
        <v>22</v>
      </c>
      <c r="CH202" s="23">
        <f>CD202*CF202</f>
        <v>1.8628088256000001E-3</v>
      </c>
      <c r="CI202" s="408" t="s">
        <v>133</v>
      </c>
      <c r="CJ202" s="408"/>
    </row>
    <row r="203" spans="65:88" x14ac:dyDescent="0.25">
      <c r="BZ203" s="11" t="s">
        <v>132</v>
      </c>
      <c r="CA203" s="104">
        <f>210*210</f>
        <v>44100</v>
      </c>
      <c r="CB203" s="104" t="s">
        <v>9</v>
      </c>
      <c r="CC203" s="23">
        <f>0.0001</f>
        <v>1E-4</v>
      </c>
      <c r="CD203" s="23">
        <f t="shared" si="3"/>
        <v>4.41</v>
      </c>
      <c r="CE203" s="23" t="s">
        <v>17</v>
      </c>
      <c r="CF203" s="23">
        <v>0.1</v>
      </c>
      <c r="CG203" s="23" t="s">
        <v>23</v>
      </c>
      <c r="CH203" s="23">
        <f>CD203*CF203</f>
        <v>0.44100000000000006</v>
      </c>
      <c r="CI203" s="4">
        <f>CH197+CH198+CH199+CH200+CH201+CH202+CH203</f>
        <v>4.034130956691472</v>
      </c>
      <c r="CJ203" s="4" t="s">
        <v>18</v>
      </c>
    </row>
    <row r="206" spans="65:88" x14ac:dyDescent="0.25">
      <c r="BT206" s="10"/>
      <c r="BU206" s="10"/>
      <c r="BV206" s="10"/>
      <c r="BW206" s="10"/>
      <c r="BX206" s="10"/>
    </row>
    <row r="207" spans="65:88" x14ac:dyDescent="0.25">
      <c r="BT207" s="10"/>
      <c r="BU207" s="10"/>
      <c r="BV207" s="10"/>
      <c r="BW207" s="10"/>
      <c r="BX207" s="48" t="s">
        <v>141</v>
      </c>
    </row>
    <row r="208" spans="65:88" x14ac:dyDescent="0.25">
      <c r="BT208" s="10"/>
      <c r="BU208" s="10"/>
      <c r="BV208" s="10"/>
      <c r="BW208" s="10"/>
      <c r="BX208" s="49" t="s">
        <v>36</v>
      </c>
    </row>
    <row r="209" spans="72:76" x14ac:dyDescent="0.25">
      <c r="BT209" s="10"/>
      <c r="BU209" s="10"/>
      <c r="BV209" s="10"/>
      <c r="BW209" s="10"/>
      <c r="BX209" s="45" t="s">
        <v>54</v>
      </c>
    </row>
    <row r="210" spans="72:76" x14ac:dyDescent="0.25">
      <c r="BT210" s="10"/>
      <c r="BU210" s="10"/>
      <c r="BV210" s="10"/>
      <c r="BW210" s="10"/>
      <c r="BX210" s="121">
        <f>BX211-BX215</f>
        <v>6.1486679045403037</v>
      </c>
    </row>
    <row r="211" spans="72:76" x14ac:dyDescent="0.25">
      <c r="BT211" s="10"/>
      <c r="BU211" s="10"/>
      <c r="BV211" s="10"/>
      <c r="BW211" s="10"/>
      <c r="BX211" s="113">
        <f>BU217</f>
        <v>129.12202599534629</v>
      </c>
    </row>
    <row r="212" spans="72:76" x14ac:dyDescent="0.25">
      <c r="BT212" s="421" t="s">
        <v>139</v>
      </c>
      <c r="BU212" s="421"/>
      <c r="BV212" s="10"/>
      <c r="BW212" s="10"/>
      <c r="BX212" s="47" t="s">
        <v>34</v>
      </c>
    </row>
    <row r="213" spans="72:76" x14ac:dyDescent="0.25">
      <c r="BT213" s="421"/>
      <c r="BU213" s="421"/>
      <c r="BV213" s="10"/>
      <c r="BW213" s="10"/>
      <c r="BX213" s="118" t="s">
        <v>138</v>
      </c>
    </row>
    <row r="214" spans="72:76" x14ac:dyDescent="0.25">
      <c r="BT214" s="120" t="s">
        <v>1</v>
      </c>
      <c r="BU214" s="120" t="s">
        <v>1</v>
      </c>
      <c r="BV214" s="116"/>
      <c r="BW214" s="10"/>
      <c r="BX214" s="48" t="s">
        <v>35</v>
      </c>
    </row>
    <row r="215" spans="72:76" x14ac:dyDescent="0.25">
      <c r="BT215" s="120">
        <f>BU215</f>
        <v>129.12202599534629</v>
      </c>
      <c r="BU215" s="67">
        <f>BU217</f>
        <v>129.12202599534629</v>
      </c>
      <c r="BV215" s="55"/>
      <c r="BW215" s="10"/>
      <c r="BX215" s="10">
        <f>CG230</f>
        <v>122.97335809080599</v>
      </c>
    </row>
    <row r="216" spans="72:76" x14ac:dyDescent="0.25">
      <c r="BT216" s="422" t="s">
        <v>169</v>
      </c>
      <c r="BU216" s="10"/>
      <c r="BV216" s="10"/>
      <c r="BW216" s="10"/>
      <c r="BX216" s="50" t="s">
        <v>36</v>
      </c>
    </row>
    <row r="217" spans="72:76" x14ac:dyDescent="0.25">
      <c r="BT217" s="423"/>
      <c r="BU217" s="10">
        <f>BX215+BX215*0.05</f>
        <v>129.12202599534629</v>
      </c>
      <c r="BV217" s="10"/>
      <c r="BW217" s="10"/>
      <c r="BX217" s="117" t="s">
        <v>63</v>
      </c>
    </row>
    <row r="218" spans="72:76" x14ac:dyDescent="0.25">
      <c r="BT218" s="10"/>
      <c r="BU218" s="48"/>
      <c r="BV218" s="10"/>
      <c r="BW218" s="10"/>
      <c r="BX218" s="28"/>
    </row>
    <row r="219" spans="72:76" x14ac:dyDescent="0.25">
      <c r="BT219" s="10"/>
      <c r="BU219" s="10"/>
      <c r="BV219" s="10"/>
      <c r="BW219" s="10"/>
      <c r="BX219" s="16"/>
    </row>
    <row r="220" spans="72:76" x14ac:dyDescent="0.25">
      <c r="BT220" s="10"/>
      <c r="BU220" s="10"/>
      <c r="BV220" s="10"/>
      <c r="BW220" s="10"/>
      <c r="BX220" s="10"/>
    </row>
    <row r="221" spans="72:76" x14ac:dyDescent="0.25">
      <c r="BT221" s="10"/>
      <c r="BU221" s="10"/>
      <c r="BV221" s="10"/>
      <c r="BW221" s="48"/>
      <c r="BX221" s="52">
        <f>BU217-CA216</f>
        <v>129.12202599534629</v>
      </c>
    </row>
    <row r="227" spans="80:92" x14ac:dyDescent="0.25">
      <c r="CG227" s="410" t="s">
        <v>141</v>
      </c>
      <c r="CH227" s="410"/>
    </row>
    <row r="228" spans="80:92" x14ac:dyDescent="0.25">
      <c r="CG228" s="410"/>
      <c r="CH228" s="410"/>
    </row>
    <row r="229" spans="80:92" x14ac:dyDescent="0.25">
      <c r="CG229" s="101" t="s">
        <v>1</v>
      </c>
      <c r="CH229" s="101" t="s">
        <v>1</v>
      </c>
    </row>
    <row r="230" spans="80:92" x14ac:dyDescent="0.25">
      <c r="CG230" s="101">
        <f>CH230</f>
        <v>122.97335809080599</v>
      </c>
      <c r="CH230" s="4">
        <f>CL233*(CH255+CH256+CH258+CH259+CH260+CH261)</f>
        <v>122.97335809080599</v>
      </c>
    </row>
    <row r="231" spans="80:92" x14ac:dyDescent="0.25">
      <c r="CJ231">
        <f>CH230+CH236+CH240+CI244+CI248</f>
        <v>1661.8211235873546</v>
      </c>
      <c r="CL231" s="416" t="s">
        <v>52</v>
      </c>
      <c r="CM231" s="416"/>
    </row>
    <row r="232" spans="80:92" x14ac:dyDescent="0.25">
      <c r="CJ232" s="13" t="s">
        <v>34</v>
      </c>
      <c r="CL232" s="436" t="s">
        <v>162</v>
      </c>
      <c r="CM232" s="417"/>
      <c r="CN232" s="127" t="s">
        <v>150</v>
      </c>
    </row>
    <row r="233" spans="80:92" x14ac:dyDescent="0.25">
      <c r="CJ233" s="109" t="s">
        <v>160</v>
      </c>
      <c r="CL233" s="184">
        <v>135</v>
      </c>
      <c r="CM233" s="4" t="s">
        <v>27</v>
      </c>
    </row>
    <row r="234" spans="80:92" x14ac:dyDescent="0.25">
      <c r="CG234" s="410" t="s">
        <v>134</v>
      </c>
      <c r="CH234" s="410"/>
      <c r="CJ234" s="14" t="s">
        <v>35</v>
      </c>
      <c r="CL234" s="4">
        <f>CL233*CI259</f>
        <v>820.50112358735487</v>
      </c>
      <c r="CM234" s="4" t="s">
        <v>28</v>
      </c>
    </row>
    <row r="235" spans="80:92" x14ac:dyDescent="0.25">
      <c r="CG235" s="101" t="s">
        <v>50</v>
      </c>
      <c r="CH235" s="101" t="s">
        <v>1</v>
      </c>
      <c r="CJ235">
        <f>CL234</f>
        <v>820.50112358735487</v>
      </c>
    </row>
    <row r="236" spans="80:92" x14ac:dyDescent="0.25">
      <c r="CG236" s="101">
        <v>85.214999999999989</v>
      </c>
      <c r="CH236" s="289">
        <v>1533.87</v>
      </c>
      <c r="CJ236" s="15" t="s">
        <v>36</v>
      </c>
    </row>
    <row r="237" spans="80:92" x14ac:dyDescent="0.25">
      <c r="CJ237" s="1">
        <f>CJ231-CJ235</f>
        <v>841.31999999999971</v>
      </c>
    </row>
    <row r="238" spans="80:92" x14ac:dyDescent="0.25">
      <c r="CG238" s="410" t="s">
        <v>98</v>
      </c>
      <c r="CH238" s="410"/>
      <c r="CJ238" s="28" t="s">
        <v>45</v>
      </c>
    </row>
    <row r="239" spans="80:92" x14ac:dyDescent="0.25">
      <c r="CG239" s="101" t="s">
        <v>30</v>
      </c>
      <c r="CH239" s="101" t="s">
        <v>1</v>
      </c>
    </row>
    <row r="240" spans="80:92" x14ac:dyDescent="0.25">
      <c r="CB240" s="404" t="s">
        <v>51</v>
      </c>
      <c r="CC240" s="405"/>
      <c r="CG240" s="101">
        <f>CL233*CD257</f>
        <v>135</v>
      </c>
      <c r="CH240" s="4">
        <f>CL233*(CH257)</f>
        <v>1.1489361702127661</v>
      </c>
    </row>
    <row r="241" spans="78:91" x14ac:dyDescent="0.25">
      <c r="CB241" s="406" t="str">
        <f>CG234</f>
        <v xml:space="preserve">Lámina de espuma </v>
      </c>
      <c r="CC241" s="407"/>
    </row>
    <row r="242" spans="78:91" x14ac:dyDescent="0.25">
      <c r="CB242" s="12" t="str">
        <f>CH235</f>
        <v>en kg</v>
      </c>
      <c r="CC242" s="4">
        <f>CH236</f>
        <v>1533.87</v>
      </c>
      <c r="CD242" s="409" t="s">
        <v>51</v>
      </c>
      <c r="CE242" s="409"/>
      <c r="CF242" s="144"/>
      <c r="CH242" s="410" t="s">
        <v>137</v>
      </c>
      <c r="CI242" s="410"/>
    </row>
    <row r="243" spans="78:91" x14ac:dyDescent="0.25">
      <c r="CB243" s="12" t="str">
        <f>CG235</f>
        <v>en m^3</v>
      </c>
      <c r="CC243" s="4">
        <f>CG236</f>
        <v>85.214999999999989</v>
      </c>
      <c r="CD243" s="142" t="s">
        <v>98</v>
      </c>
      <c r="CE243" s="143" t="str">
        <f>CH242</f>
        <v>Hilo</v>
      </c>
      <c r="CF243" s="103"/>
      <c r="CH243" s="101" t="s">
        <v>30</v>
      </c>
      <c r="CI243" s="101" t="s">
        <v>1</v>
      </c>
      <c r="CM243" t="s">
        <v>91</v>
      </c>
    </row>
    <row r="244" spans="78:91" x14ac:dyDescent="0.25">
      <c r="CD244" s="120">
        <f>CH240</f>
        <v>1.1489361702127661</v>
      </c>
      <c r="CE244" s="141">
        <f>CI244</f>
        <v>0.58882932633600005</v>
      </c>
      <c r="CF244" s="4" t="s">
        <v>18</v>
      </c>
      <c r="CH244" s="101">
        <f>CD254*CL233</f>
        <v>7589.3760000000002</v>
      </c>
      <c r="CI244" s="4">
        <f>CL233*(CH254)</f>
        <v>0.58882932633600005</v>
      </c>
    </row>
    <row r="245" spans="78:91" x14ac:dyDescent="0.25">
      <c r="CD245" s="120">
        <f>CG240</f>
        <v>135</v>
      </c>
      <c r="CE245" s="141">
        <f>CH244</f>
        <v>7589.3760000000002</v>
      </c>
      <c r="CF245" s="4" t="s">
        <v>16</v>
      </c>
    </row>
    <row r="246" spans="78:91" x14ac:dyDescent="0.25">
      <c r="CH246" s="410" t="s">
        <v>161</v>
      </c>
      <c r="CI246" s="410"/>
    </row>
    <row r="247" spans="78:91" x14ac:dyDescent="0.25">
      <c r="CH247" s="101" t="s">
        <v>4</v>
      </c>
      <c r="CI247" s="101" t="s">
        <v>1</v>
      </c>
    </row>
    <row r="248" spans="78:91" x14ac:dyDescent="0.25">
      <c r="CH248" s="101">
        <f>CL233*4</f>
        <v>540</v>
      </c>
      <c r="CI248" s="4">
        <f>CH262*CL233</f>
        <v>3.24</v>
      </c>
    </row>
    <row r="251" spans="78:91" x14ac:dyDescent="0.25">
      <c r="CA251" s="415" t="str">
        <f>CL232</f>
        <v>Sensaflex de 190 x 100 (C15)</v>
      </c>
      <c r="CB251" s="415"/>
      <c r="CC251" s="4" t="s">
        <v>19</v>
      </c>
      <c r="CD251" s="101" t="s">
        <v>20</v>
      </c>
      <c r="CE251" s="101" t="s">
        <v>2</v>
      </c>
      <c r="CF251" s="101" t="s">
        <v>21</v>
      </c>
      <c r="CG251" s="101" t="s">
        <v>2</v>
      </c>
      <c r="CH251" s="11" t="s">
        <v>24</v>
      </c>
    </row>
    <row r="252" spans="78:91" x14ac:dyDescent="0.25">
      <c r="BZ252" s="101"/>
      <c r="CA252" s="104"/>
      <c r="CB252" s="104"/>
      <c r="CC252" s="23"/>
      <c r="CD252" s="23"/>
      <c r="CE252" s="23"/>
      <c r="CF252" s="23"/>
      <c r="CG252" s="23"/>
      <c r="CH252" s="39"/>
    </row>
    <row r="253" spans="78:91" x14ac:dyDescent="0.25">
      <c r="BZ253" s="27" t="s">
        <v>128</v>
      </c>
      <c r="CA253" s="104">
        <f>100*190*15</f>
        <v>285000</v>
      </c>
      <c r="CB253" s="104" t="s">
        <v>26</v>
      </c>
      <c r="CC253" s="23">
        <v>9.9999999999999995E-7</v>
      </c>
      <c r="CD253" s="23">
        <f t="shared" ref="CD253:CD260" si="5">CA253*CC253</f>
        <v>0.28499999999999998</v>
      </c>
      <c r="CE253" s="23" t="s">
        <v>15</v>
      </c>
      <c r="CF253" s="23">
        <v>18</v>
      </c>
      <c r="CG253" s="23" t="s">
        <v>13</v>
      </c>
      <c r="CH253" s="23">
        <f>CD253*CF253</f>
        <v>5.13</v>
      </c>
    </row>
    <row r="254" spans="78:91" x14ac:dyDescent="0.25">
      <c r="BZ254" s="27" t="s">
        <v>130</v>
      </c>
      <c r="CA254" s="104">
        <f>5621.76</f>
        <v>5621.76</v>
      </c>
      <c r="CB254" s="104" t="s">
        <v>10</v>
      </c>
      <c r="CC254" s="23">
        <f>1/100</f>
        <v>0.01</v>
      </c>
      <c r="CD254" s="23">
        <f t="shared" si="5"/>
        <v>56.217600000000004</v>
      </c>
      <c r="CE254" s="23" t="s">
        <v>16</v>
      </c>
      <c r="CF254" s="23">
        <v>7.7585999999999999E-5</v>
      </c>
      <c r="CG254" s="23" t="s">
        <v>22</v>
      </c>
      <c r="CH254" s="23">
        <f t="shared" ref="CH254:CH256" si="6">CD254*CF254</f>
        <v>4.3616987136000001E-3</v>
      </c>
    </row>
    <row r="255" spans="78:91" x14ac:dyDescent="0.25">
      <c r="BZ255" s="27" t="s">
        <v>164</v>
      </c>
      <c r="CA255" s="104">
        <f>210*210*0.3</f>
        <v>13230</v>
      </c>
      <c r="CB255" s="104" t="s">
        <v>26</v>
      </c>
      <c r="CC255" s="23">
        <v>9.9999999999999995E-7</v>
      </c>
      <c r="CD255" s="23">
        <f t="shared" si="5"/>
        <v>1.3229999999999999E-2</v>
      </c>
      <c r="CE255" s="23" t="s">
        <v>15</v>
      </c>
      <c r="CF255" s="23">
        <v>12</v>
      </c>
      <c r="CG255" s="23" t="s">
        <v>13</v>
      </c>
      <c r="CH255" s="23">
        <f t="shared" si="6"/>
        <v>0.15875999999999998</v>
      </c>
    </row>
    <row r="256" spans="78:91" x14ac:dyDescent="0.25">
      <c r="BZ256" s="27" t="s">
        <v>127</v>
      </c>
      <c r="CA256" s="104">
        <f>56000</f>
        <v>56000</v>
      </c>
      <c r="CB256" s="104" t="s">
        <v>9</v>
      </c>
      <c r="CC256" s="23">
        <f>0.0001</f>
        <v>1E-4</v>
      </c>
      <c r="CD256" s="23">
        <f t="shared" si="5"/>
        <v>5.6000000000000005</v>
      </c>
      <c r="CE256" s="23" t="s">
        <v>17</v>
      </c>
      <c r="CF256" s="23">
        <f>20/1000</f>
        <v>0.02</v>
      </c>
      <c r="CG256" s="23" t="s">
        <v>23</v>
      </c>
      <c r="CH256" s="23">
        <f t="shared" si="6"/>
        <v>0.11200000000000002</v>
      </c>
    </row>
    <row r="257" spans="78:88" x14ac:dyDescent="0.25">
      <c r="BZ257" s="27" t="s">
        <v>93</v>
      </c>
      <c r="CA257" s="104">
        <v>100</v>
      </c>
      <c r="CB257" s="104" t="s">
        <v>10</v>
      </c>
      <c r="CC257" s="23">
        <f>1/100</f>
        <v>0.01</v>
      </c>
      <c r="CD257" s="23">
        <f t="shared" si="5"/>
        <v>1</v>
      </c>
      <c r="CE257" s="23" t="s">
        <v>16</v>
      </c>
      <c r="CF257" s="23">
        <f>1/117.5</f>
        <v>8.5106382978723406E-3</v>
      </c>
      <c r="CG257" s="23" t="s">
        <v>22</v>
      </c>
      <c r="CH257" s="23">
        <f>CD257*CF257</f>
        <v>8.5106382978723406E-3</v>
      </c>
    </row>
    <row r="258" spans="78:88" x14ac:dyDescent="0.25">
      <c r="BZ258" s="132" t="s">
        <v>130</v>
      </c>
      <c r="CA258" s="104">
        <f>2400.96</f>
        <v>2400.96</v>
      </c>
      <c r="CB258" s="104" t="s">
        <v>10</v>
      </c>
      <c r="CC258" s="23">
        <f>1/100</f>
        <v>0.01</v>
      </c>
      <c r="CD258" s="23">
        <f t="shared" si="5"/>
        <v>24.009600000000002</v>
      </c>
      <c r="CE258" s="23" t="s">
        <v>16</v>
      </c>
      <c r="CF258" s="23">
        <v>7.7585999999999999E-5</v>
      </c>
      <c r="CG258" s="23" t="s">
        <v>22</v>
      </c>
      <c r="CH258" s="23">
        <f>CD258*CF258</f>
        <v>1.8628088256000001E-3</v>
      </c>
      <c r="CI258" s="408" t="s">
        <v>163</v>
      </c>
      <c r="CJ258" s="408"/>
    </row>
    <row r="259" spans="78:88" x14ac:dyDescent="0.25">
      <c r="BZ259" s="132" t="s">
        <v>132</v>
      </c>
      <c r="CA259" s="131">
        <f>227*227</f>
        <v>51529</v>
      </c>
      <c r="CB259" s="131" t="s">
        <v>9</v>
      </c>
      <c r="CC259" s="39">
        <f>0.0001</f>
        <v>1E-4</v>
      </c>
      <c r="CD259" s="39">
        <f t="shared" si="5"/>
        <v>5.1528999999999998</v>
      </c>
      <c r="CE259" s="39" t="s">
        <v>17</v>
      </c>
      <c r="CF259" s="39">
        <v>0.1</v>
      </c>
      <c r="CG259" s="39" t="s">
        <v>23</v>
      </c>
      <c r="CH259" s="39">
        <f>CD259*CF259</f>
        <v>0.51529000000000003</v>
      </c>
      <c r="CI259" s="4">
        <f>CH253+CH254+CH255+CH256+CH257+CH258+CH259+CH260+CH261+CH262</f>
        <v>6.0777861006470735</v>
      </c>
      <c r="CJ259" s="4" t="s">
        <v>18</v>
      </c>
    </row>
    <row r="260" spans="78:88" x14ac:dyDescent="0.25">
      <c r="BZ260" s="108" t="s">
        <v>165</v>
      </c>
      <c r="CA260" s="71">
        <f>0.515*0.515*0.3</f>
        <v>7.9567499999999999E-2</v>
      </c>
      <c r="CB260" s="127" t="s">
        <v>26</v>
      </c>
      <c r="CC260" s="71">
        <v>9.9999999999999995E-7</v>
      </c>
      <c r="CD260" s="71">
        <f t="shared" si="5"/>
        <v>7.9567500000000001E-8</v>
      </c>
      <c r="CE260" s="71" t="s">
        <v>15</v>
      </c>
      <c r="CF260" s="71">
        <v>12</v>
      </c>
      <c r="CG260" s="71" t="s">
        <v>13</v>
      </c>
      <c r="CH260" s="71">
        <f>CD260*CF260</f>
        <v>9.5481000000000001E-7</v>
      </c>
    </row>
    <row r="261" spans="78:88" x14ac:dyDescent="0.25">
      <c r="BZ261" s="134" t="s">
        <v>166</v>
      </c>
      <c r="CA261" s="135"/>
      <c r="CB261" s="135"/>
      <c r="CC261" s="135"/>
      <c r="CD261" s="136">
        <v>1.23</v>
      </c>
      <c r="CE261" s="136" t="s">
        <v>17</v>
      </c>
      <c r="CF261" s="136">
        <v>0.1</v>
      </c>
      <c r="CG261" s="136" t="s">
        <v>22</v>
      </c>
      <c r="CH261" s="136">
        <f>CD261*CF261</f>
        <v>0.123</v>
      </c>
    </row>
    <row r="262" spans="78:88" x14ac:dyDescent="0.25">
      <c r="BZ262" s="137" t="s">
        <v>167</v>
      </c>
      <c r="CA262" s="71">
        <f>6*4</f>
        <v>24</v>
      </c>
      <c r="CB262" s="138" t="s">
        <v>5</v>
      </c>
      <c r="CC262" s="71"/>
      <c r="CD262" s="71"/>
      <c r="CE262" s="71"/>
      <c r="CF262" s="71">
        <f>1/1000</f>
        <v>1E-3</v>
      </c>
      <c r="CG262" s="139" t="s">
        <v>18</v>
      </c>
      <c r="CH262" s="139">
        <f>CA262*CF262</f>
        <v>2.4E-2</v>
      </c>
    </row>
    <row r="308" spans="51:75" x14ac:dyDescent="0.25">
      <c r="BN308" s="213">
        <f>BV316-BO320</f>
        <v>1.1480000000000001</v>
      </c>
    </row>
    <row r="311" spans="51:75" x14ac:dyDescent="0.25">
      <c r="BO311" s="18" t="s">
        <v>36</v>
      </c>
    </row>
    <row r="312" spans="51:75" x14ac:dyDescent="0.25">
      <c r="BO312" s="19">
        <v>1E-4</v>
      </c>
    </row>
    <row r="313" spans="51:75" x14ac:dyDescent="0.25">
      <c r="BO313" s="18">
        <f>BO314+BO314*BO312</f>
        <v>1.7320985780151481</v>
      </c>
    </row>
    <row r="314" spans="51:75" x14ac:dyDescent="0.25">
      <c r="BO314" s="130">
        <f>BZ329</f>
        <v>1.7319253854766004</v>
      </c>
      <c r="BV314" s="41" t="s">
        <v>58</v>
      </c>
      <c r="BW314" s="41"/>
    </row>
    <row r="315" spans="51:75" x14ac:dyDescent="0.25">
      <c r="AZ315" s="41" t="s">
        <v>58</v>
      </c>
      <c r="BA315" s="41"/>
      <c r="BO315" s="13" t="s">
        <v>34</v>
      </c>
      <c r="BV315" s="25" t="s">
        <v>156</v>
      </c>
      <c r="BW315" s="4"/>
    </row>
    <row r="316" spans="51:75" x14ac:dyDescent="0.25">
      <c r="AZ316" s="25" t="s">
        <v>59</v>
      </c>
      <c r="BA316" s="4"/>
      <c r="BO316" s="29" t="s">
        <v>142</v>
      </c>
      <c r="BV316" s="129">
        <f>BZ329</f>
        <v>1.7319253854766004</v>
      </c>
      <c r="BW316" s="4" t="s">
        <v>18</v>
      </c>
    </row>
    <row r="317" spans="51:75" x14ac:dyDescent="0.25">
      <c r="AZ317" s="176">
        <f>(45/10)*210*0.000001*AU332*CH374</f>
        <v>0</v>
      </c>
      <c r="BA317" s="4" t="s">
        <v>18</v>
      </c>
      <c r="BO317" s="14" t="s">
        <v>35</v>
      </c>
      <c r="BR317" s="404" t="s">
        <v>51</v>
      </c>
      <c r="BS317" s="405"/>
      <c r="BV317" s="12">
        <f>6/1000</f>
        <v>6.0000000000000001E-3</v>
      </c>
      <c r="BW317" s="4" t="s">
        <v>158</v>
      </c>
    </row>
    <row r="318" spans="51:75" x14ac:dyDescent="0.25">
      <c r="AZ318" s="176">
        <f>(45/10)*210*0.000001*AU332*CH374</f>
        <v>0</v>
      </c>
      <c r="BA318" s="4" t="s">
        <v>18</v>
      </c>
      <c r="BO318" s="130">
        <f>BO314</f>
        <v>1.7319253854766004</v>
      </c>
      <c r="BR318" s="406" t="s">
        <v>159</v>
      </c>
      <c r="BS318" s="407"/>
    </row>
    <row r="319" spans="51:75" x14ac:dyDescent="0.25">
      <c r="BO319" s="15" t="s">
        <v>36</v>
      </c>
      <c r="BR319" s="43">
        <f>IF(CK367-BO314&lt;0,0,CK367-BO314)</f>
        <v>0</v>
      </c>
      <c r="BS319" s="44" t="s">
        <v>18</v>
      </c>
    </row>
    <row r="320" spans="51:75" x14ac:dyDescent="0.25">
      <c r="AY320" s="178"/>
      <c r="AZ320" s="178"/>
      <c r="BA320" s="178"/>
      <c r="BO320" s="208">
        <f>BO318-CK367</f>
        <v>0.58392538547660022</v>
      </c>
      <c r="BP320" s="209"/>
      <c r="BQ320" s="209"/>
      <c r="BR320" s="43">
        <f>BR319</f>
        <v>0</v>
      </c>
      <c r="BS320" s="44" t="s">
        <v>18</v>
      </c>
    </row>
    <row r="321" spans="51:87" x14ac:dyDescent="0.25">
      <c r="AY321" s="178"/>
      <c r="AZ321" s="178"/>
      <c r="BA321" s="178"/>
      <c r="BO321" s="209" t="s">
        <v>168</v>
      </c>
      <c r="BP321" s="209"/>
      <c r="BQ321" s="209"/>
    </row>
    <row r="322" spans="51:87" x14ac:dyDescent="0.25">
      <c r="AY322" s="178"/>
      <c r="AZ322" s="178"/>
      <c r="BA322" s="178"/>
      <c r="BT322" s="441" t="s">
        <v>226</v>
      </c>
      <c r="BU322" s="442"/>
    </row>
    <row r="323" spans="51:87" x14ac:dyDescent="0.25">
      <c r="AY323" s="178"/>
      <c r="AZ323" s="178"/>
      <c r="BA323" s="178"/>
      <c r="BT323" s="406" t="str">
        <f>BT334</f>
        <v>Desperdicios Hilo</v>
      </c>
      <c r="BU323" s="407"/>
    </row>
    <row r="324" spans="51:87" x14ac:dyDescent="0.25">
      <c r="BT324" s="43">
        <f>SUM(BT336:BT342)</f>
        <v>0.14788516787987999</v>
      </c>
      <c r="BU324" s="44" t="s">
        <v>18</v>
      </c>
    </row>
    <row r="325" spans="51:87" x14ac:dyDescent="0.25">
      <c r="BT325" s="215">
        <f>SUM(BS336:BS342)</f>
        <v>38121.611600000004</v>
      </c>
      <c r="BU325" s="44" t="s">
        <v>16</v>
      </c>
      <c r="BV325" s="10"/>
      <c r="BW325" s="10"/>
      <c r="BX325" s="10"/>
      <c r="BY325" s="10"/>
      <c r="BZ325" s="10"/>
    </row>
    <row r="326" spans="51:87" x14ac:dyDescent="0.25">
      <c r="BV326" s="10"/>
      <c r="BW326" s="10"/>
      <c r="BX326" s="10"/>
      <c r="BY326" s="10"/>
      <c r="BZ326" s="10" t="s">
        <v>141</v>
      </c>
    </row>
    <row r="327" spans="51:87" x14ac:dyDescent="0.25">
      <c r="BV327" s="10"/>
      <c r="BW327" s="10"/>
      <c r="BX327" s="10"/>
      <c r="BY327" s="10"/>
      <c r="BZ327" s="49" t="s">
        <v>36</v>
      </c>
    </row>
    <row r="328" spans="51:87" x14ac:dyDescent="0.25">
      <c r="BV328" s="10"/>
      <c r="BW328" s="10"/>
      <c r="BX328" s="10"/>
      <c r="BY328" s="10"/>
      <c r="BZ328" s="45" t="s">
        <v>54</v>
      </c>
    </row>
    <row r="329" spans="51:87" x14ac:dyDescent="0.25">
      <c r="BV329" s="10"/>
      <c r="BW329" s="10"/>
      <c r="BX329" s="10"/>
      <c r="BY329" s="10"/>
      <c r="BZ329" s="121">
        <f>BZ330-BZ334</f>
        <v>1.7319253854766004</v>
      </c>
    </row>
    <row r="330" spans="51:87" x14ac:dyDescent="0.25">
      <c r="BU330" s="209">
        <f>SUM(BY336:BY343)+BW340</f>
        <v>139.67093775711598</v>
      </c>
      <c r="BV330" s="48">
        <f>BW334-BH332</f>
        <v>636.43138662130139</v>
      </c>
      <c r="BW330" s="48" t="s">
        <v>245</v>
      </c>
      <c r="BX330" s="10"/>
      <c r="BY330" s="10"/>
      <c r="BZ330" s="113">
        <f>BW336</f>
        <v>36.3704330950086</v>
      </c>
    </row>
    <row r="331" spans="51:87" x14ac:dyDescent="0.25">
      <c r="BU331" s="443" t="s">
        <v>262</v>
      </c>
      <c r="BV331" s="421" t="s">
        <v>139</v>
      </c>
      <c r="BW331" s="421"/>
      <c r="BX331" s="10"/>
      <c r="BY331" s="10"/>
      <c r="BZ331" s="47" t="s">
        <v>34</v>
      </c>
    </row>
    <row r="332" spans="51:87" x14ac:dyDescent="0.25">
      <c r="BT332" s="13"/>
      <c r="BU332" s="444"/>
      <c r="BV332" s="421"/>
      <c r="BW332" s="421"/>
      <c r="BX332" s="10"/>
      <c r="BY332" s="10"/>
      <c r="BZ332" s="118" t="s">
        <v>138</v>
      </c>
      <c r="CH332" s="409" t="s">
        <v>51</v>
      </c>
      <c r="CI332" s="409"/>
    </row>
    <row r="333" spans="51:87" x14ac:dyDescent="0.25">
      <c r="BS333" s="71" t="s">
        <v>216</v>
      </c>
      <c r="BT333" s="67">
        <f>SUM(BT336:BT342)</f>
        <v>0.14788516787987999</v>
      </c>
      <c r="BU333" s="120" t="s">
        <v>213</v>
      </c>
      <c r="BV333" s="154" t="s">
        <v>1</v>
      </c>
      <c r="BW333" s="120" t="s">
        <v>1</v>
      </c>
      <c r="BX333" s="167" t="s">
        <v>211</v>
      </c>
      <c r="BY333" s="10"/>
      <c r="BZ333" s="48" t="s">
        <v>35</v>
      </c>
      <c r="CH333" s="142" t="str">
        <f>CI340</f>
        <v>unidad resortada</v>
      </c>
      <c r="CI333" s="143">
        <f>CL332</f>
        <v>0</v>
      </c>
    </row>
    <row r="334" spans="51:87" x14ac:dyDescent="0.25">
      <c r="BS334" s="172" t="s">
        <v>215</v>
      </c>
      <c r="BT334" s="172" t="s">
        <v>215</v>
      </c>
      <c r="BU334" s="169" t="s">
        <v>214</v>
      </c>
      <c r="BV334" s="171">
        <f>BW334</f>
        <v>636.43138662130139</v>
      </c>
      <c r="BW334" s="67">
        <f>SUM(BW336:BW343)</f>
        <v>636.43138662130139</v>
      </c>
      <c r="BX334" s="167">
        <f>BW334/SUM(BW335:BW343)*100</f>
        <v>100</v>
      </c>
      <c r="BY334" s="10"/>
      <c r="BZ334" s="10">
        <f>CI349</f>
        <v>34.638507709532</v>
      </c>
      <c r="CH334" s="120">
        <f>CI343</f>
        <v>41</v>
      </c>
      <c r="CI334" s="141" t="str">
        <f>CI342</f>
        <v>en unidades</v>
      </c>
    </row>
    <row r="335" spans="51:87" x14ac:dyDescent="0.25">
      <c r="BS335" s="120" t="s">
        <v>30</v>
      </c>
      <c r="BT335" s="120" t="s">
        <v>1</v>
      </c>
      <c r="BU335" s="67"/>
      <c r="BV335" s="423" t="s">
        <v>176</v>
      </c>
      <c r="BW335" s="117" t="s">
        <v>42</v>
      </c>
      <c r="BX335" s="164"/>
      <c r="BY335" s="10" t="s">
        <v>243</v>
      </c>
      <c r="BZ335" s="50" t="s">
        <v>36</v>
      </c>
      <c r="CH335" s="120">
        <f>CJ343</f>
        <v>797.04000000000008</v>
      </c>
      <c r="CI335" s="141" t="str">
        <f>CJ342</f>
        <v>en kg</v>
      </c>
    </row>
    <row r="336" spans="51:87" x14ac:dyDescent="0.25">
      <c r="BS336" s="182">
        <f>BU336/$CH$377</f>
        <v>10732.963599999999</v>
      </c>
      <c r="BT336" s="174">
        <f>BU336*0.05</f>
        <v>4.1636385693480001E-2</v>
      </c>
      <c r="BU336" s="67">
        <f>CJ377*CN352</f>
        <v>0.83272771386959998</v>
      </c>
      <c r="BV336" s="423"/>
      <c r="BW336" s="117">
        <f>BZ334+BZ334*0.05</f>
        <v>36.3704330950086</v>
      </c>
      <c r="BX336" s="164">
        <f t="shared" ref="BX336:BX343" si="7">BW336/$BW$334*100</f>
        <v>5.7147453534767703</v>
      </c>
      <c r="BY336" s="10">
        <f>CN352*(CJ374+CJ379)</f>
        <v>7.8080899956623995</v>
      </c>
      <c r="BZ336" s="117" t="s">
        <v>63</v>
      </c>
    </row>
    <row r="337" spans="71:94" x14ac:dyDescent="0.25">
      <c r="BS337" s="182">
        <f t="shared" ref="BS337:BS338" si="8">BU337/$CH$377</f>
        <v>1056.4224000000002</v>
      </c>
      <c r="BT337" s="120">
        <f t="shared" ref="BT337:BT338" si="9">BU337*0.05</f>
        <v>4.0981794163200006E-3</v>
      </c>
      <c r="BU337" s="67">
        <f>CJ451*CN426</f>
        <v>8.1963588326400008E-2</v>
      </c>
      <c r="BV337" s="117" t="str">
        <f>BV409</f>
        <v>Por semi anatómico</v>
      </c>
      <c r="BW337" s="180">
        <f>BW410</f>
        <v>42.084215879964717</v>
      </c>
      <c r="BX337" s="164">
        <f t="shared" si="7"/>
        <v>6.6125299230420067</v>
      </c>
      <c r="BY337" s="10">
        <f>CN426*(CJ448+CJ453)</f>
        <v>6.9854820116399994</v>
      </c>
      <c r="BZ337" s="28"/>
    </row>
    <row r="338" spans="71:94" x14ac:dyDescent="0.25">
      <c r="BS338" s="182">
        <f t="shared" si="8"/>
        <v>1032.4128000000001</v>
      </c>
      <c r="BT338" s="120">
        <f t="shared" si="9"/>
        <v>4.0050389750400008E-3</v>
      </c>
      <c r="BU338" s="67">
        <f>CJ527*CN502</f>
        <v>8.010077950080001E-2</v>
      </c>
      <c r="BV338" s="117" t="str">
        <f>BV485</f>
        <v>Por anatómico</v>
      </c>
      <c r="BW338" s="180">
        <f>BW486</f>
        <v>41.127756428147336</v>
      </c>
      <c r="BX338" s="164">
        <f t="shared" si="7"/>
        <v>6.4622451520637796</v>
      </c>
      <c r="BY338" s="10">
        <f>CN502*(CJ524+CJ529)</f>
        <v>6.8267210568299994</v>
      </c>
      <c r="BZ338" s="16"/>
    </row>
    <row r="339" spans="71:94" x14ac:dyDescent="0.25">
      <c r="BS339" s="182">
        <f>BU339/$CH$377</f>
        <v>11518.302399999999</v>
      </c>
      <c r="BT339" s="120">
        <f>BU339*0.05</f>
        <v>4.468295050032E-2</v>
      </c>
      <c r="BU339" s="67">
        <f>CJ605*CN580</f>
        <v>0.89365901000639991</v>
      </c>
      <c r="BV339" s="117" t="str">
        <f>BV563</f>
        <v>Por ortopédico resortado</v>
      </c>
      <c r="BW339" s="180">
        <f>BW564</f>
        <v>39.031676819335203</v>
      </c>
      <c r="BX339" s="164">
        <f t="shared" si="7"/>
        <v>6.1328962775621871</v>
      </c>
      <c r="BY339" s="10">
        <f>CN580*(CJ602+CJ607)</f>
        <v>8.3794065322175992</v>
      </c>
      <c r="BZ339" s="10"/>
    </row>
    <row r="340" spans="71:94" x14ac:dyDescent="0.25">
      <c r="BS340" s="182"/>
      <c r="BT340" s="14"/>
      <c r="BV340" s="117" t="str">
        <f>BF54</f>
        <v>Por tapas almohada triturada</v>
      </c>
      <c r="BW340" s="117">
        <f>BG55</f>
        <v>8.2233900000000002</v>
      </c>
      <c r="BX340" s="164">
        <f t="shared" si="7"/>
        <v>1.2921094359686569</v>
      </c>
      <c r="BY340" s="48"/>
      <c r="BZ340" s="52">
        <f>BW336-CI349</f>
        <v>1.7319253854766004</v>
      </c>
      <c r="CI340" s="410" t="s">
        <v>174</v>
      </c>
      <c r="CJ340" s="410"/>
    </row>
    <row r="341" spans="71:94" x14ac:dyDescent="0.25">
      <c r="BS341" s="182">
        <f t="shared" ref="BS341" si="10">BU341/$CH$377</f>
        <v>3241.2960000000003</v>
      </c>
      <c r="BT341" s="173">
        <f>BU341*0.05</f>
        <v>1.2573959572800001E-2</v>
      </c>
      <c r="BU341">
        <f>CL233*CH258</f>
        <v>0.25147919145600001</v>
      </c>
      <c r="BV341" s="34" t="str">
        <f>BT216</f>
        <v>Por tapa y bandas sensaflex</v>
      </c>
      <c r="BW341" s="34">
        <f>BU217</f>
        <v>129.12202599534629</v>
      </c>
      <c r="BX341" s="164">
        <f t="shared" si="7"/>
        <v>20.288444082060703</v>
      </c>
      <c r="BY341">
        <f>CL233*(CH255+CH260)</f>
        <v>21.43272889935</v>
      </c>
      <c r="CI341" s="410"/>
      <c r="CJ341" s="410"/>
    </row>
    <row r="342" spans="71:94" x14ac:dyDescent="0.25">
      <c r="BS342" s="182">
        <f>BU342/$CH$377</f>
        <v>10540.214400000001</v>
      </c>
      <c r="BT342" s="173">
        <f>BU342*0.05</f>
        <v>4.0888653721920007E-2</v>
      </c>
      <c r="BU342">
        <f>CL177*CH202</f>
        <v>0.81777307443840008</v>
      </c>
      <c r="BV342" s="34" t="str">
        <f>BT160</f>
        <v>Por tapa  Colchoneta</v>
      </c>
      <c r="BW342" s="34">
        <f>BU161</f>
        <v>278.30202403536964</v>
      </c>
      <c r="BX342" s="164">
        <f t="shared" si="7"/>
        <v>43.728519662241126</v>
      </c>
      <c r="BY342">
        <f>CG174*(CH199)</f>
        <v>69.695639999999997</v>
      </c>
      <c r="CI342" s="101" t="s">
        <v>4</v>
      </c>
      <c r="CJ342" s="101" t="s">
        <v>1</v>
      </c>
    </row>
    <row r="343" spans="71:94" x14ac:dyDescent="0.25">
      <c r="BS343" s="182">
        <f>BU343/$CH$377</f>
        <v>1560.624</v>
      </c>
      <c r="BT343" s="173">
        <f>BU343*0.05</f>
        <v>6.0541286832000007E-3</v>
      </c>
      <c r="BU343">
        <f>CM702*CI727</f>
        <v>0.12108257366400001</v>
      </c>
      <c r="BV343" s="34" t="str">
        <f>BU685</f>
        <v>Por tapa y bandas cassata</v>
      </c>
      <c r="BW343" s="34">
        <f>BV686</f>
        <v>62.169864368129694</v>
      </c>
      <c r="BX343" s="164">
        <f t="shared" si="7"/>
        <v>9.7685101135847834</v>
      </c>
      <c r="BY343">
        <f>CM702*(CI724+CJ379)</f>
        <v>10.319479261415999</v>
      </c>
      <c r="CI343" s="101">
        <f>CN352*CC380</f>
        <v>41</v>
      </c>
      <c r="CJ343" s="4">
        <f>CN352*CJ380</f>
        <v>797.04000000000008</v>
      </c>
    </row>
    <row r="346" spans="71:94" x14ac:dyDescent="0.25">
      <c r="CI346" s="424" t="s">
        <v>141</v>
      </c>
      <c r="CJ346" s="425"/>
    </row>
    <row r="347" spans="71:94" x14ac:dyDescent="0.25">
      <c r="CI347" s="426"/>
      <c r="CJ347" s="427"/>
    </row>
    <row r="348" spans="71:94" x14ac:dyDescent="0.25">
      <c r="CI348" s="101" t="s">
        <v>1</v>
      </c>
      <c r="CJ348" s="101" t="s">
        <v>1</v>
      </c>
    </row>
    <row r="349" spans="71:94" x14ac:dyDescent="0.25">
      <c r="CI349" s="101">
        <f>CJ349</f>
        <v>34.638507709532</v>
      </c>
      <c r="CJ349" s="4">
        <f>CN352*(CJ374+CJ375+CJ377+CJ378+CJ379)</f>
        <v>34.638507709532</v>
      </c>
    </row>
    <row r="350" spans="71:94" x14ac:dyDescent="0.25">
      <c r="CL350">
        <f>CJ349+CJ355+CJ359+CK363+CK367+CJ343</f>
        <v>875.42539625127279</v>
      </c>
      <c r="CN350" s="430" t="s">
        <v>52</v>
      </c>
      <c r="CO350" s="431"/>
    </row>
    <row r="351" spans="71:94" x14ac:dyDescent="0.25">
      <c r="CL351" s="13" t="s">
        <v>34</v>
      </c>
      <c r="CN351" s="417" t="s">
        <v>201</v>
      </c>
      <c r="CO351" s="418"/>
      <c r="CP351" s="127" t="s">
        <v>172</v>
      </c>
    </row>
    <row r="352" spans="71:94" x14ac:dyDescent="0.25">
      <c r="CL352" s="109" t="s">
        <v>179</v>
      </c>
      <c r="CN352" s="184">
        <v>41</v>
      </c>
      <c r="CO352" s="4" t="s">
        <v>27</v>
      </c>
    </row>
    <row r="353" spans="79:93" x14ac:dyDescent="0.25">
      <c r="CI353" s="428" t="s">
        <v>134</v>
      </c>
      <c r="CJ353" s="429"/>
      <c r="CL353" s="14" t="s">
        <v>35</v>
      </c>
      <c r="CN353" s="4">
        <f>CN352*CK378</f>
        <v>875.42539625127279</v>
      </c>
      <c r="CO353" s="4" t="s">
        <v>28</v>
      </c>
    </row>
    <row r="354" spans="79:93" x14ac:dyDescent="0.25">
      <c r="CI354" s="101" t="s">
        <v>50</v>
      </c>
      <c r="CJ354" s="101" t="s">
        <v>1</v>
      </c>
      <c r="CL354">
        <f>CN353</f>
        <v>875.42539625127279</v>
      </c>
    </row>
    <row r="355" spans="79:93" x14ac:dyDescent="0.25">
      <c r="CI355" s="101">
        <f>CN352*CF372</f>
        <v>2.3369999999999997</v>
      </c>
      <c r="CJ355" s="289">
        <f>CN352*(CJ372)</f>
        <v>42.065999999999988</v>
      </c>
      <c r="CL355" s="15" t="s">
        <v>36</v>
      </c>
    </row>
    <row r="356" spans="79:93" x14ac:dyDescent="0.25">
      <c r="CL356" s="1">
        <f>CL350-CL354</f>
        <v>0</v>
      </c>
    </row>
    <row r="357" spans="79:93" x14ac:dyDescent="0.25">
      <c r="CI357" s="428" t="s">
        <v>98</v>
      </c>
      <c r="CJ357" s="429"/>
      <c r="CL357" s="28" t="s">
        <v>45</v>
      </c>
    </row>
    <row r="358" spans="79:93" x14ac:dyDescent="0.25">
      <c r="CA358" s="411" t="s">
        <v>261</v>
      </c>
      <c r="CB358" s="412"/>
      <c r="CI358" s="101" t="s">
        <v>30</v>
      </c>
      <c r="CJ358" s="101" t="s">
        <v>1</v>
      </c>
    </row>
    <row r="359" spans="79:93" x14ac:dyDescent="0.25">
      <c r="CA359" s="413"/>
      <c r="CB359" s="414"/>
      <c r="CI359" s="101">
        <f>CN352*CF376</f>
        <v>41</v>
      </c>
      <c r="CJ359" s="4">
        <f>CN352*(CJ376)</f>
        <v>0.34893617021276596</v>
      </c>
    </row>
    <row r="360" spans="79:93" x14ac:dyDescent="0.25">
      <c r="CA360" s="101" t="s">
        <v>50</v>
      </c>
      <c r="CB360" s="101" t="s">
        <v>1</v>
      </c>
      <c r="CC360" s="167" t="s">
        <v>211</v>
      </c>
    </row>
    <row r="361" spans="79:93" x14ac:dyDescent="0.25">
      <c r="CA361" s="4">
        <f>SUM(CA362:CA365)</f>
        <v>2.3369999999999997</v>
      </c>
      <c r="CB361" s="4">
        <f>SUM(CB362:CB365)</f>
        <v>42.065999999999988</v>
      </c>
      <c r="CC361" s="167">
        <f>CB361/SUM(CB362:CB365)*100</f>
        <v>100</v>
      </c>
      <c r="CF361" s="409" t="s">
        <v>51</v>
      </c>
      <c r="CG361" s="409"/>
      <c r="CH361" s="144"/>
      <c r="CJ361" s="428" t="s">
        <v>137</v>
      </c>
      <c r="CK361" s="429"/>
    </row>
    <row r="362" spans="79:93" x14ac:dyDescent="0.25">
      <c r="CA362" s="14">
        <f>CF372*CN352</f>
        <v>2.3369999999999997</v>
      </c>
      <c r="CB362" s="14">
        <f>CJ372*CN352</f>
        <v>42.065999999999988</v>
      </c>
      <c r="CC362" s="164">
        <f>CB362/$CB$361*100</f>
        <v>100</v>
      </c>
      <c r="CF362" s="142" t="s">
        <v>98</v>
      </c>
      <c r="CG362" s="143" t="str">
        <f>CJ361</f>
        <v>Hilo</v>
      </c>
      <c r="CH362" s="103"/>
      <c r="CJ362" s="101" t="s">
        <v>30</v>
      </c>
      <c r="CK362" s="101" t="s">
        <v>1</v>
      </c>
      <c r="CO362" t="s">
        <v>91</v>
      </c>
    </row>
    <row r="363" spans="79:93" x14ac:dyDescent="0.25">
      <c r="CA363" s="14"/>
      <c r="CB363" s="14"/>
      <c r="CC363" s="164"/>
      <c r="CF363" s="120">
        <f>CJ359</f>
        <v>0.34893617021276596</v>
      </c>
      <c r="CG363" s="141">
        <f>CK363</f>
        <v>0.18395237152800001</v>
      </c>
      <c r="CH363" s="4" t="s">
        <v>18</v>
      </c>
      <c r="CJ363" s="101">
        <f>CF373*CN352</f>
        <v>2370.9480000000003</v>
      </c>
      <c r="CK363" s="4">
        <f>CN352*(CJ373)</f>
        <v>0.18395237152800001</v>
      </c>
    </row>
    <row r="364" spans="79:93" x14ac:dyDescent="0.25">
      <c r="CA364" s="14"/>
      <c r="CB364" s="14"/>
      <c r="CC364" s="164"/>
      <c r="CF364" s="120">
        <f>CI359</f>
        <v>41</v>
      </c>
      <c r="CG364" s="141">
        <f>CJ363</f>
        <v>2370.9480000000003</v>
      </c>
      <c r="CH364" s="4" t="s">
        <v>16</v>
      </c>
    </row>
    <row r="365" spans="79:93" x14ac:dyDescent="0.25">
      <c r="CA365" s="14"/>
      <c r="CB365" s="14"/>
      <c r="CC365" s="164"/>
      <c r="CJ365" s="428" t="s">
        <v>161</v>
      </c>
      <c r="CK365" s="429"/>
    </row>
    <row r="366" spans="79:93" x14ac:dyDescent="0.25">
      <c r="CJ366" s="101" t="s">
        <v>4</v>
      </c>
      <c r="CK366" s="101" t="s">
        <v>1</v>
      </c>
    </row>
    <row r="367" spans="79:93" x14ac:dyDescent="0.25">
      <c r="CJ367" s="101">
        <f>CN352*4</f>
        <v>164</v>
      </c>
      <c r="CK367" s="4">
        <f>CJ381*CN352</f>
        <v>1.1480000000000001</v>
      </c>
    </row>
    <row r="370" spans="80:90" x14ac:dyDescent="0.25">
      <c r="CC370" s="415" t="s">
        <v>188</v>
      </c>
      <c r="CD370" s="415"/>
      <c r="CE370" s="4" t="s">
        <v>19</v>
      </c>
      <c r="CF370" s="101" t="s">
        <v>20</v>
      </c>
      <c r="CG370" s="101" t="s">
        <v>2</v>
      </c>
      <c r="CH370" s="101" t="s">
        <v>21</v>
      </c>
      <c r="CI370" s="101" t="s">
        <v>2</v>
      </c>
      <c r="CJ370" s="11" t="s">
        <v>24</v>
      </c>
    </row>
    <row r="371" spans="80:90" x14ac:dyDescent="0.25">
      <c r="CB371" s="153"/>
      <c r="CC371" s="104"/>
      <c r="CD371" s="104"/>
      <c r="CE371" s="23"/>
      <c r="CF371" s="23"/>
      <c r="CG371" s="23"/>
      <c r="CH371" s="23"/>
      <c r="CI371" s="23"/>
      <c r="CJ371" s="39"/>
    </row>
    <row r="372" spans="80:90" x14ac:dyDescent="0.25">
      <c r="CB372" s="149" t="s">
        <v>128</v>
      </c>
      <c r="CC372" s="158">
        <f>100*190*3</f>
        <v>57000</v>
      </c>
      <c r="CD372" s="104" t="s">
        <v>26</v>
      </c>
      <c r="CE372" s="23">
        <v>9.9999999999999995E-7</v>
      </c>
      <c r="CF372" s="23">
        <f t="shared" ref="CF372:CF379" si="11">CC372*CE372</f>
        <v>5.6999999999999995E-2</v>
      </c>
      <c r="CG372" s="23" t="s">
        <v>15</v>
      </c>
      <c r="CH372" s="23">
        <v>18</v>
      </c>
      <c r="CI372" s="23" t="s">
        <v>13</v>
      </c>
      <c r="CJ372" s="23">
        <f>CF372*CH372</f>
        <v>1.0259999999999998</v>
      </c>
    </row>
    <row r="373" spans="80:90" x14ac:dyDescent="0.25">
      <c r="CB373" s="149" t="s">
        <v>130</v>
      </c>
      <c r="CC373" s="158">
        <f>5782.8</f>
        <v>5782.8</v>
      </c>
      <c r="CD373" s="104" t="s">
        <v>10</v>
      </c>
      <c r="CE373" s="23">
        <f>1/100</f>
        <v>0.01</v>
      </c>
      <c r="CF373" s="23">
        <f t="shared" si="11"/>
        <v>57.828000000000003</v>
      </c>
      <c r="CG373" s="23" t="s">
        <v>16</v>
      </c>
      <c r="CH373" s="23">
        <v>7.7585999999999999E-5</v>
      </c>
      <c r="CI373" s="23" t="s">
        <v>22</v>
      </c>
      <c r="CJ373" s="23">
        <f t="shared" ref="CJ373:CJ375" si="12">CF373*CH373</f>
        <v>4.4866432080000003E-3</v>
      </c>
    </row>
    <row r="374" spans="80:90" x14ac:dyDescent="0.25">
      <c r="CB374" s="149" t="s">
        <v>164</v>
      </c>
      <c r="CC374" s="158">
        <f>230*230*0.3</f>
        <v>15870</v>
      </c>
      <c r="CD374" s="104" t="s">
        <v>26</v>
      </c>
      <c r="CE374" s="23">
        <v>9.9999999999999995E-7</v>
      </c>
      <c r="CF374" s="23">
        <f t="shared" si="11"/>
        <v>1.5869999999999999E-2</v>
      </c>
      <c r="CG374" s="23" t="s">
        <v>15</v>
      </c>
      <c r="CH374" s="23">
        <v>12</v>
      </c>
      <c r="CI374" s="23" t="s">
        <v>13</v>
      </c>
      <c r="CJ374" s="23">
        <f t="shared" si="12"/>
        <v>0.19044</v>
      </c>
    </row>
    <row r="375" spans="80:90" x14ac:dyDescent="0.25">
      <c r="CB375" s="149" t="s">
        <v>127</v>
      </c>
      <c r="CC375" s="158">
        <v>59400</v>
      </c>
      <c r="CD375" s="104" t="s">
        <v>9</v>
      </c>
      <c r="CE375" s="23">
        <f>0.0001</f>
        <v>1E-4</v>
      </c>
      <c r="CF375" s="23">
        <f t="shared" si="11"/>
        <v>5.94</v>
      </c>
      <c r="CG375" s="23" t="s">
        <v>17</v>
      </c>
      <c r="CH375" s="23">
        <f>20/1000</f>
        <v>0.02</v>
      </c>
      <c r="CI375" s="23" t="s">
        <v>23</v>
      </c>
      <c r="CJ375" s="23">
        <f t="shared" si="12"/>
        <v>0.11880000000000002</v>
      </c>
    </row>
    <row r="376" spans="80:90" x14ac:dyDescent="0.25">
      <c r="CB376" s="149" t="s">
        <v>93</v>
      </c>
      <c r="CC376" s="158">
        <v>100</v>
      </c>
      <c r="CD376" s="104" t="s">
        <v>10</v>
      </c>
      <c r="CE376" s="23">
        <f>1/100</f>
        <v>0.01</v>
      </c>
      <c r="CF376" s="23">
        <f t="shared" si="11"/>
        <v>1</v>
      </c>
      <c r="CG376" s="23" t="s">
        <v>16</v>
      </c>
      <c r="CH376" s="23">
        <f>1/117.5</f>
        <v>8.5106382978723406E-3</v>
      </c>
      <c r="CI376" s="23" t="s">
        <v>22</v>
      </c>
      <c r="CJ376" s="23">
        <f>CF376*CH376</f>
        <v>8.5106382978723406E-3</v>
      </c>
    </row>
    <row r="377" spans="80:90" x14ac:dyDescent="0.25">
      <c r="CB377" s="137" t="s">
        <v>130</v>
      </c>
      <c r="CC377" s="158">
        <f>26177.96</f>
        <v>26177.96</v>
      </c>
      <c r="CD377" s="104" t="s">
        <v>10</v>
      </c>
      <c r="CE377" s="23">
        <f>1/100</f>
        <v>0.01</v>
      </c>
      <c r="CF377" s="23">
        <f t="shared" si="11"/>
        <v>261.77960000000002</v>
      </c>
      <c r="CG377" s="23" t="s">
        <v>16</v>
      </c>
      <c r="CH377" s="23">
        <v>7.7585999999999999E-5</v>
      </c>
      <c r="CI377" s="23" t="s">
        <v>22</v>
      </c>
      <c r="CJ377" s="23">
        <f>CF377*CH377</f>
        <v>2.0310432045599999E-2</v>
      </c>
      <c r="CK377" s="408" t="s">
        <v>204</v>
      </c>
      <c r="CL377" s="408"/>
    </row>
    <row r="378" spans="80:90" x14ac:dyDescent="0.25">
      <c r="CB378" s="137" t="s">
        <v>132</v>
      </c>
      <c r="CC378" s="151">
        <f>227*227</f>
        <v>51529</v>
      </c>
      <c r="CD378" s="131" t="s">
        <v>9</v>
      </c>
      <c r="CE378" s="39">
        <f>0.0001</f>
        <v>1E-4</v>
      </c>
      <c r="CF378" s="39">
        <f t="shared" si="11"/>
        <v>5.1528999999999998</v>
      </c>
      <c r="CG378" s="39" t="s">
        <v>17</v>
      </c>
      <c r="CH378" s="39">
        <v>0.1</v>
      </c>
      <c r="CI378" s="39" t="s">
        <v>23</v>
      </c>
      <c r="CJ378" s="39">
        <f>CF378*CH378</f>
        <v>0.51529000000000003</v>
      </c>
      <c r="CK378" s="4">
        <f>CJ372+CJ373+CJ374+CJ375+CJ376+CJ377+CJ378+CJ379+CJ380+CJ381</f>
        <v>21.351838932957872</v>
      </c>
      <c r="CL378" s="4" t="s">
        <v>18</v>
      </c>
    </row>
    <row r="379" spans="80:90" x14ac:dyDescent="0.25">
      <c r="CB379" s="149" t="s">
        <v>165</v>
      </c>
      <c r="CC379" s="152">
        <f>0.582*0.582*0.3</f>
        <v>0.10161719999999999</v>
      </c>
      <c r="CD379" s="127" t="s">
        <v>26</v>
      </c>
      <c r="CE379" s="71">
        <v>9.9999999999999995E-7</v>
      </c>
      <c r="CF379" s="71">
        <f t="shared" si="11"/>
        <v>1.0161719999999999E-7</v>
      </c>
      <c r="CG379" s="71" t="s">
        <v>15</v>
      </c>
      <c r="CH379" s="71">
        <v>12</v>
      </c>
      <c r="CI379" s="71" t="s">
        <v>13</v>
      </c>
      <c r="CJ379" s="71">
        <f>CF379*CH379</f>
        <v>1.2194063999999998E-6</v>
      </c>
    </row>
    <row r="380" spans="80:90" x14ac:dyDescent="0.25">
      <c r="CB380" s="137" t="s">
        <v>174</v>
      </c>
      <c r="CC380" s="155">
        <v>1</v>
      </c>
      <c r="CD380" s="156" t="s">
        <v>2</v>
      </c>
      <c r="CE380" s="67"/>
      <c r="CF380" s="67"/>
      <c r="CG380" s="139" t="s">
        <v>18</v>
      </c>
      <c r="CH380" s="67"/>
      <c r="CI380" s="139" t="s">
        <v>18</v>
      </c>
      <c r="CJ380" s="71">
        <f>19.44</f>
        <v>19.440000000000001</v>
      </c>
    </row>
    <row r="381" spans="80:90" x14ac:dyDescent="0.25">
      <c r="CB381" s="137" t="s">
        <v>175</v>
      </c>
      <c r="CC381" s="152">
        <f>7*4</f>
        <v>28</v>
      </c>
      <c r="CD381" s="138" t="s">
        <v>5</v>
      </c>
      <c r="CE381" s="71"/>
      <c r="CF381" s="71"/>
      <c r="CG381" s="71"/>
      <c r="CH381" s="71">
        <f>1/1000</f>
        <v>1E-3</v>
      </c>
      <c r="CI381" s="139" t="s">
        <v>18</v>
      </c>
      <c r="CJ381" s="139">
        <f>CC381*CH381</f>
        <v>2.8000000000000001E-2</v>
      </c>
    </row>
    <row r="385" spans="67:78" x14ac:dyDescent="0.25">
      <c r="BO385" s="18" t="s">
        <v>36</v>
      </c>
    </row>
    <row r="386" spans="67:78" x14ac:dyDescent="0.25">
      <c r="BO386" s="19">
        <v>1E-4</v>
      </c>
    </row>
    <row r="387" spans="67:78" x14ac:dyDescent="0.25">
      <c r="BO387" s="18">
        <f>BO388+BO388*BO386</f>
        <v>2.0042106810263185</v>
      </c>
    </row>
    <row r="388" spans="67:78" x14ac:dyDescent="0.25">
      <c r="BO388" s="130">
        <f>BZ403</f>
        <v>2.0040102799983188</v>
      </c>
      <c r="BV388" s="41" t="s">
        <v>58</v>
      </c>
      <c r="BW388" s="41"/>
    </row>
    <row r="389" spans="67:78" x14ac:dyDescent="0.25">
      <c r="BO389" s="13" t="s">
        <v>34</v>
      </c>
      <c r="BV389" s="25" t="s">
        <v>156</v>
      </c>
      <c r="BW389" s="4"/>
    </row>
    <row r="390" spans="67:78" x14ac:dyDescent="0.25">
      <c r="BO390" s="29" t="s">
        <v>142</v>
      </c>
      <c r="BV390" s="129">
        <f>BZ403</f>
        <v>2.0040102799983188</v>
      </c>
      <c r="BW390" s="4" t="s">
        <v>18</v>
      </c>
    </row>
    <row r="391" spans="67:78" x14ac:dyDescent="0.25">
      <c r="BO391" s="14" t="s">
        <v>35</v>
      </c>
      <c r="BR391" s="404" t="s">
        <v>51</v>
      </c>
      <c r="BS391" s="405"/>
      <c r="BV391" s="12">
        <f>6/1000</f>
        <v>6.0000000000000001E-3</v>
      </c>
      <c r="BW391" s="4" t="s">
        <v>158</v>
      </c>
    </row>
    <row r="392" spans="67:78" x14ac:dyDescent="0.25">
      <c r="BO392" s="130">
        <f>BO388</f>
        <v>2.0040102799983188</v>
      </c>
      <c r="BR392" s="406" t="s">
        <v>159</v>
      </c>
      <c r="BS392" s="407"/>
    </row>
    <row r="393" spans="67:78" x14ac:dyDescent="0.25">
      <c r="BO393" s="15" t="s">
        <v>36</v>
      </c>
      <c r="BR393" s="43">
        <f>IF(CK441-BO388&lt;0,0,CK441-BO388)</f>
        <v>0</v>
      </c>
      <c r="BS393" s="44" t="s">
        <v>18</v>
      </c>
    </row>
    <row r="394" spans="67:78" x14ac:dyDescent="0.25">
      <c r="BO394" s="210">
        <f>BO392-CK441</f>
        <v>0.94801027999831877</v>
      </c>
      <c r="BP394" s="209"/>
      <c r="BQ394" s="209"/>
      <c r="BR394" s="43">
        <f>BR393</f>
        <v>0</v>
      </c>
      <c r="BS394" s="44" t="s">
        <v>18</v>
      </c>
    </row>
    <row r="395" spans="67:78" x14ac:dyDescent="0.25">
      <c r="BO395" s="209" t="s">
        <v>168</v>
      </c>
      <c r="BP395" s="209"/>
      <c r="BQ395" s="209"/>
    </row>
    <row r="399" spans="67:78" x14ac:dyDescent="0.25">
      <c r="BV399" s="10"/>
      <c r="BW399" s="10"/>
      <c r="BX399" s="10"/>
      <c r="BY399" s="10"/>
      <c r="BZ399" s="10"/>
    </row>
    <row r="400" spans="67:78" x14ac:dyDescent="0.25">
      <c r="BV400" s="10"/>
      <c r="BW400" s="10"/>
      <c r="BX400" s="10"/>
      <c r="BY400" s="10"/>
      <c r="BZ400" s="10" t="s">
        <v>141</v>
      </c>
    </row>
    <row r="401" spans="74:93" x14ac:dyDescent="0.25">
      <c r="BV401" s="10"/>
      <c r="BW401" s="10"/>
      <c r="BX401" s="10"/>
      <c r="BY401" s="10"/>
      <c r="BZ401" s="49" t="s">
        <v>36</v>
      </c>
    </row>
    <row r="402" spans="74:93" x14ac:dyDescent="0.25">
      <c r="BV402" s="10"/>
      <c r="BW402" s="10"/>
      <c r="BX402" s="10"/>
      <c r="BY402" s="10"/>
      <c r="BZ402" s="45" t="s">
        <v>54</v>
      </c>
    </row>
    <row r="403" spans="74:93" x14ac:dyDescent="0.25">
      <c r="BV403" s="10"/>
      <c r="BW403" s="10"/>
      <c r="BX403" s="10"/>
      <c r="BY403" s="10"/>
      <c r="BZ403" s="121">
        <f>BZ404-BZ408</f>
        <v>2.0040102799983188</v>
      </c>
    </row>
    <row r="404" spans="74:93" x14ac:dyDescent="0.25">
      <c r="BV404" s="10"/>
      <c r="BW404" s="10"/>
      <c r="BX404" s="10"/>
      <c r="BY404" s="10"/>
      <c r="BZ404" s="113">
        <f>BW410</f>
        <v>42.084215879964717</v>
      </c>
    </row>
    <row r="405" spans="74:93" x14ac:dyDescent="0.25">
      <c r="BV405" s="437" t="s">
        <v>139</v>
      </c>
      <c r="BW405" s="438"/>
      <c r="BX405" s="10"/>
      <c r="BY405" s="10"/>
      <c r="BZ405" s="47" t="s">
        <v>34</v>
      </c>
    </row>
    <row r="406" spans="74:93" x14ac:dyDescent="0.25">
      <c r="BV406" s="439"/>
      <c r="BW406" s="440"/>
      <c r="BX406" s="10"/>
      <c r="BY406" s="10"/>
      <c r="BZ406" s="118" t="s">
        <v>138</v>
      </c>
      <c r="CH406" s="419" t="s">
        <v>51</v>
      </c>
      <c r="CI406" s="420"/>
      <c r="CK406" s="419" t="s">
        <v>51</v>
      </c>
      <c r="CL406" s="420"/>
    </row>
    <row r="407" spans="74:93" x14ac:dyDescent="0.25">
      <c r="BV407" s="120" t="s">
        <v>1</v>
      </c>
      <c r="BW407" s="120" t="s">
        <v>1</v>
      </c>
      <c r="BX407" s="116"/>
      <c r="BY407" s="10"/>
      <c r="BZ407" s="48" t="s">
        <v>35</v>
      </c>
      <c r="CH407" s="142" t="str">
        <f>CI414</f>
        <v>pegante poliuretano</v>
      </c>
      <c r="CI407" s="143">
        <f>CL406</f>
        <v>0</v>
      </c>
      <c r="CK407" s="142" t="str">
        <f>CL414</f>
        <v>cassta</v>
      </c>
      <c r="CL407" s="143">
        <f>CO406</f>
        <v>0</v>
      </c>
    </row>
    <row r="408" spans="74:93" x14ac:dyDescent="0.25">
      <c r="BV408" s="120">
        <f>BW408</f>
        <v>42.084215879964717</v>
      </c>
      <c r="BW408" s="67">
        <f>BW410</f>
        <v>42.084215879964717</v>
      </c>
      <c r="BX408" s="55"/>
      <c r="BY408" s="10"/>
      <c r="BZ408" s="10">
        <f>CI423</f>
        <v>40.080205599966398</v>
      </c>
      <c r="CH408" s="120">
        <f>CI417</f>
        <v>2.5520000000000001E-2</v>
      </c>
      <c r="CI408" s="141" t="str">
        <f>CI416</f>
        <v>en m^3</v>
      </c>
      <c r="CK408" s="120">
        <f>CL417</f>
        <v>2.508</v>
      </c>
      <c r="CL408" s="141" t="str">
        <f>CL416</f>
        <v>en m^3</v>
      </c>
    </row>
    <row r="409" spans="74:93" x14ac:dyDescent="0.25">
      <c r="BV409" s="422" t="s">
        <v>186</v>
      </c>
      <c r="BW409" s="10"/>
      <c r="BX409" s="10"/>
      <c r="BY409" s="10"/>
      <c r="BZ409" s="50" t="s">
        <v>36</v>
      </c>
      <c r="CH409" s="120">
        <f>CJ417</f>
        <v>28.496652800000003</v>
      </c>
      <c r="CI409" s="141" t="str">
        <f>CJ416</f>
        <v>en kg</v>
      </c>
      <c r="CK409" s="120">
        <f>CM417</f>
        <v>200.64</v>
      </c>
      <c r="CL409" s="141" t="str">
        <f>CM416</f>
        <v>en kg</v>
      </c>
    </row>
    <row r="410" spans="74:93" x14ac:dyDescent="0.25">
      <c r="BV410" s="423"/>
      <c r="BW410" s="10">
        <f>BZ408+BZ408*0.05</f>
        <v>42.084215879964717</v>
      </c>
      <c r="BX410" s="10"/>
      <c r="BY410" s="10"/>
      <c r="BZ410" s="117" t="s">
        <v>63</v>
      </c>
    </row>
    <row r="411" spans="74:93" x14ac:dyDescent="0.25">
      <c r="BV411" s="10"/>
      <c r="BW411" s="48"/>
      <c r="BX411" s="10"/>
      <c r="BY411" s="10"/>
      <c r="BZ411" s="28"/>
    </row>
    <row r="412" spans="74:93" x14ac:dyDescent="0.25">
      <c r="BV412" s="10"/>
      <c r="BW412" s="10"/>
      <c r="BX412" s="10"/>
      <c r="BY412" s="10"/>
      <c r="BZ412" s="16"/>
    </row>
    <row r="413" spans="74:93" x14ac:dyDescent="0.25">
      <c r="BV413" s="10"/>
      <c r="BW413" s="10"/>
      <c r="BX413" s="10"/>
      <c r="BY413" s="10"/>
      <c r="BZ413" s="10"/>
    </row>
    <row r="414" spans="74:93" x14ac:dyDescent="0.25">
      <c r="BV414" s="10"/>
      <c r="BW414" s="10"/>
      <c r="BX414" s="10"/>
      <c r="BY414" s="48"/>
      <c r="BZ414" s="52">
        <f>BW410-CI423</f>
        <v>2.0040102799983188</v>
      </c>
      <c r="CI414" s="424" t="s">
        <v>183</v>
      </c>
      <c r="CJ414" s="425"/>
      <c r="CL414" s="424" t="s">
        <v>184</v>
      </c>
      <c r="CM414" s="425"/>
    </row>
    <row r="415" spans="74:93" x14ac:dyDescent="0.25">
      <c r="CI415" s="426"/>
      <c r="CJ415" s="427"/>
      <c r="CL415" s="426"/>
      <c r="CM415" s="427"/>
      <c r="CO415" s="14" t="s">
        <v>247</v>
      </c>
    </row>
    <row r="416" spans="74:93" x14ac:dyDescent="0.25">
      <c r="CI416" s="101" t="s">
        <v>50</v>
      </c>
      <c r="CJ416" s="101" t="s">
        <v>1</v>
      </c>
      <c r="CL416" s="101" t="s">
        <v>50</v>
      </c>
      <c r="CM416" s="101" t="s">
        <v>1</v>
      </c>
      <c r="CO416" s="14">
        <f>CK409+CH409+CJ429+CJ433+CK437+BR393</f>
        <v>455.42303562850481</v>
      </c>
    </row>
    <row r="417" spans="78:94" x14ac:dyDescent="0.25">
      <c r="CI417" s="101">
        <f>CF457*CN426</f>
        <v>2.5520000000000001E-2</v>
      </c>
      <c r="CJ417" s="4">
        <f>CN426*CJ457</f>
        <v>28.496652800000003</v>
      </c>
      <c r="CL417" s="101">
        <f>CF456*CN426</f>
        <v>2.508</v>
      </c>
      <c r="CM417" s="4">
        <f>CN426*CJ456</f>
        <v>200.64</v>
      </c>
    </row>
    <row r="420" spans="78:94" x14ac:dyDescent="0.25">
      <c r="CI420" s="410" t="s">
        <v>141</v>
      </c>
      <c r="CJ420" s="410"/>
    </row>
    <row r="421" spans="78:94" x14ac:dyDescent="0.25">
      <c r="CI421" s="410"/>
      <c r="CJ421" s="410"/>
    </row>
    <row r="422" spans="78:94" x14ac:dyDescent="0.25">
      <c r="CI422" s="101" t="s">
        <v>1</v>
      </c>
      <c r="CJ422" s="101" t="s">
        <v>1</v>
      </c>
    </row>
    <row r="423" spans="78:94" x14ac:dyDescent="0.25">
      <c r="CI423" s="101">
        <f>CJ423</f>
        <v>40.080205599966398</v>
      </c>
      <c r="CJ423" s="4">
        <f>CN426*(CJ448+CJ449+CJ451+CJ452+CJ453+CJ454)</f>
        <v>40.080205599966398</v>
      </c>
    </row>
    <row r="424" spans="78:94" x14ac:dyDescent="0.25">
      <c r="CL424">
        <f>CJ423+CJ429+CJ433+CK437+CK441+CJ417+CM417</f>
        <v>496.55924122847114</v>
      </c>
      <c r="CN424" s="416" t="s">
        <v>52</v>
      </c>
      <c r="CO424" s="416"/>
    </row>
    <row r="425" spans="78:94" x14ac:dyDescent="0.25">
      <c r="CL425" s="13" t="s">
        <v>34</v>
      </c>
      <c r="CN425" s="436" t="s">
        <v>191</v>
      </c>
      <c r="CO425" s="417"/>
      <c r="CP425" s="127" t="s">
        <v>181</v>
      </c>
    </row>
    <row r="426" spans="78:94" x14ac:dyDescent="0.25">
      <c r="CL426" s="109" t="s">
        <v>160</v>
      </c>
      <c r="CN426" s="184">
        <v>44</v>
      </c>
      <c r="CO426" s="4" t="s">
        <v>27</v>
      </c>
    </row>
    <row r="427" spans="78:94" x14ac:dyDescent="0.25">
      <c r="CI427" s="410" t="s">
        <v>134</v>
      </c>
      <c r="CJ427" s="410"/>
      <c r="CL427" s="14" t="s">
        <v>35</v>
      </c>
      <c r="CN427" s="4">
        <f>CN426*CK452</f>
        <v>496.55924122847125</v>
      </c>
      <c r="CO427" s="4" t="s">
        <v>28</v>
      </c>
    </row>
    <row r="428" spans="78:94" x14ac:dyDescent="0.25">
      <c r="CI428" s="101" t="s">
        <v>50</v>
      </c>
      <c r="CJ428" s="101" t="s">
        <v>1</v>
      </c>
      <c r="CL428">
        <f>CN427</f>
        <v>496.55924122847125</v>
      </c>
    </row>
    <row r="429" spans="78:94" x14ac:dyDescent="0.25">
      <c r="CI429" s="101">
        <f>CN426*CF446</f>
        <v>12.54</v>
      </c>
      <c r="CJ429" s="4">
        <f>CN426*(CJ446)</f>
        <v>225.72</v>
      </c>
      <c r="CL429" s="15" t="s">
        <v>36</v>
      </c>
    </row>
    <row r="430" spans="78:94" x14ac:dyDescent="0.25">
      <c r="CA430" s="419" t="s">
        <v>51</v>
      </c>
      <c r="CB430" s="420"/>
      <c r="CL430" s="1">
        <f>CL424-CL428</f>
        <v>0</v>
      </c>
    </row>
    <row r="431" spans="78:94" x14ac:dyDescent="0.25">
      <c r="BZ431" s="161" t="s">
        <v>185</v>
      </c>
      <c r="CA431" s="142" t="str">
        <f>CI427</f>
        <v xml:space="preserve">Lámina de espuma </v>
      </c>
      <c r="CB431" s="143"/>
      <c r="CI431" s="410" t="s">
        <v>98</v>
      </c>
      <c r="CJ431" s="410"/>
      <c r="CL431" s="28" t="s">
        <v>45</v>
      </c>
    </row>
    <row r="432" spans="78:94" x14ac:dyDescent="0.25">
      <c r="CA432" s="120">
        <f>CI429</f>
        <v>12.54</v>
      </c>
      <c r="CB432" s="141" t="str">
        <f>CI428</f>
        <v>en m^3</v>
      </c>
      <c r="CI432" s="101" t="s">
        <v>30</v>
      </c>
      <c r="CJ432" s="101" t="s">
        <v>1</v>
      </c>
    </row>
    <row r="433" spans="79:93" x14ac:dyDescent="0.25">
      <c r="CA433" s="120">
        <f>CJ429</f>
        <v>225.72</v>
      </c>
      <c r="CB433" s="141" t="str">
        <f>CJ428</f>
        <v>en kg</v>
      </c>
      <c r="CI433" s="101">
        <f>CN426*CF450</f>
        <v>44</v>
      </c>
      <c r="CJ433" s="4">
        <f>CN426*(CJ450)</f>
        <v>0.37446808510638296</v>
      </c>
    </row>
    <row r="435" spans="79:93" x14ac:dyDescent="0.25">
      <c r="CF435" s="419" t="s">
        <v>51</v>
      </c>
      <c r="CG435" s="420"/>
      <c r="CH435" s="144"/>
      <c r="CJ435" s="410" t="s">
        <v>137</v>
      </c>
      <c r="CK435" s="410"/>
    </row>
    <row r="436" spans="79:93" x14ac:dyDescent="0.25">
      <c r="CF436" s="142" t="s">
        <v>98</v>
      </c>
      <c r="CG436" s="143" t="str">
        <f>CJ435</f>
        <v>Hilo</v>
      </c>
      <c r="CH436" s="103"/>
      <c r="CJ436" s="101" t="s">
        <v>30</v>
      </c>
      <c r="CK436" s="101" t="s">
        <v>1</v>
      </c>
      <c r="CO436" t="s">
        <v>91</v>
      </c>
    </row>
    <row r="437" spans="79:93" x14ac:dyDescent="0.25">
      <c r="CF437" s="120">
        <f>CJ433</f>
        <v>0.37446808510638296</v>
      </c>
      <c r="CG437" s="141">
        <f>CK437</f>
        <v>0.19191474339840001</v>
      </c>
      <c r="CH437" s="4" t="s">
        <v>18</v>
      </c>
      <c r="CJ437" s="101">
        <f>CJ447*CN426</f>
        <v>0.19191474339840001</v>
      </c>
      <c r="CK437" s="4">
        <f>CN426*(CJ447)</f>
        <v>0.19191474339840001</v>
      </c>
    </row>
    <row r="438" spans="79:93" x14ac:dyDescent="0.25">
      <c r="CF438" s="120">
        <f>CI433</f>
        <v>44</v>
      </c>
      <c r="CG438" s="141">
        <f>CJ437</f>
        <v>0.19191474339840001</v>
      </c>
      <c r="CH438" s="4" t="s">
        <v>16</v>
      </c>
    </row>
    <row r="439" spans="79:93" x14ac:dyDescent="0.25">
      <c r="CJ439" s="410" t="s">
        <v>161</v>
      </c>
      <c r="CK439" s="410"/>
    </row>
    <row r="440" spans="79:93" x14ac:dyDescent="0.25">
      <c r="CJ440" s="101" t="s">
        <v>4</v>
      </c>
      <c r="CK440" s="101" t="s">
        <v>1</v>
      </c>
    </row>
    <row r="441" spans="79:93" x14ac:dyDescent="0.25">
      <c r="CJ441" s="101">
        <f>CN426*4</f>
        <v>176</v>
      </c>
      <c r="CK441" s="4">
        <f>CJ455*CN426</f>
        <v>1.056</v>
      </c>
    </row>
    <row r="444" spans="79:93" x14ac:dyDescent="0.25">
      <c r="CC444" s="432" t="s">
        <v>189</v>
      </c>
      <c r="CD444" s="433"/>
      <c r="CE444" s="4" t="s">
        <v>19</v>
      </c>
      <c r="CF444" s="101" t="s">
        <v>20</v>
      </c>
      <c r="CG444" s="101" t="s">
        <v>2</v>
      </c>
      <c r="CH444" s="101" t="s">
        <v>21</v>
      </c>
      <c r="CI444" s="101" t="s">
        <v>2</v>
      </c>
      <c r="CJ444" s="11" t="s">
        <v>24</v>
      </c>
    </row>
    <row r="445" spans="79:93" x14ac:dyDescent="0.25">
      <c r="CB445" s="101"/>
      <c r="CC445" s="104"/>
      <c r="CD445" s="104"/>
      <c r="CE445" s="23"/>
      <c r="CF445" s="23"/>
      <c r="CG445" s="23"/>
      <c r="CH445" s="23"/>
      <c r="CI445" s="23"/>
      <c r="CJ445" s="39"/>
    </row>
    <row r="446" spans="79:93" x14ac:dyDescent="0.25">
      <c r="CB446" s="27" t="s">
        <v>128</v>
      </c>
      <c r="CC446" s="104">
        <f>100*190*15</f>
        <v>285000</v>
      </c>
      <c r="CD446" s="104" t="s">
        <v>26</v>
      </c>
      <c r="CE446" s="23">
        <v>9.9999999999999995E-7</v>
      </c>
      <c r="CF446" s="23">
        <f t="shared" ref="CF446:CF453" si="13">CC446*CE446</f>
        <v>0.28499999999999998</v>
      </c>
      <c r="CG446" s="23" t="s">
        <v>15</v>
      </c>
      <c r="CH446" s="23">
        <v>18</v>
      </c>
      <c r="CI446" s="23" t="s">
        <v>13</v>
      </c>
      <c r="CJ446" s="23">
        <f>CF446*CH446</f>
        <v>5.13</v>
      </c>
    </row>
    <row r="447" spans="79:93" x14ac:dyDescent="0.25">
      <c r="CB447" s="27" t="s">
        <v>130</v>
      </c>
      <c r="CC447" s="104">
        <f>5621.76</f>
        <v>5621.76</v>
      </c>
      <c r="CD447" s="104" t="s">
        <v>10</v>
      </c>
      <c r="CE447" s="23">
        <f>1/100</f>
        <v>0.01</v>
      </c>
      <c r="CF447" s="23">
        <f t="shared" si="13"/>
        <v>56.217600000000004</v>
      </c>
      <c r="CG447" s="23" t="s">
        <v>16</v>
      </c>
      <c r="CH447" s="23">
        <v>7.7585999999999999E-5</v>
      </c>
      <c r="CI447" s="23" t="s">
        <v>22</v>
      </c>
      <c r="CJ447" s="23">
        <f t="shared" ref="CJ447:CJ449" si="14">CF447*CH447</f>
        <v>4.3616987136000001E-3</v>
      </c>
    </row>
    <row r="448" spans="79:93" x14ac:dyDescent="0.25">
      <c r="CB448" s="27" t="s">
        <v>164</v>
      </c>
      <c r="CC448" s="104">
        <f>210*210*0.3</f>
        <v>13230</v>
      </c>
      <c r="CD448" s="104" t="s">
        <v>26</v>
      </c>
      <c r="CE448" s="23">
        <v>9.9999999999999995E-7</v>
      </c>
      <c r="CF448" s="23">
        <f t="shared" si="13"/>
        <v>1.3229999999999999E-2</v>
      </c>
      <c r="CG448" s="23" t="s">
        <v>15</v>
      </c>
      <c r="CH448" s="23">
        <v>12</v>
      </c>
      <c r="CI448" s="23" t="s">
        <v>13</v>
      </c>
      <c r="CJ448" s="23">
        <f t="shared" si="14"/>
        <v>0.15875999999999998</v>
      </c>
    </row>
    <row r="449" spans="67:90" x14ac:dyDescent="0.25">
      <c r="CB449" s="27" t="s">
        <v>127</v>
      </c>
      <c r="CC449" s="104">
        <f>56000</f>
        <v>56000</v>
      </c>
      <c r="CD449" s="104" t="s">
        <v>9</v>
      </c>
      <c r="CE449" s="23">
        <f>0.0001</f>
        <v>1E-4</v>
      </c>
      <c r="CF449" s="23">
        <f t="shared" si="13"/>
        <v>5.6000000000000005</v>
      </c>
      <c r="CG449" s="23" t="s">
        <v>17</v>
      </c>
      <c r="CH449" s="23">
        <f>20/1000</f>
        <v>0.02</v>
      </c>
      <c r="CI449" s="23" t="s">
        <v>23</v>
      </c>
      <c r="CJ449" s="23">
        <f t="shared" si="14"/>
        <v>0.11200000000000002</v>
      </c>
    </row>
    <row r="450" spans="67:90" x14ac:dyDescent="0.25">
      <c r="CB450" s="27" t="s">
        <v>93</v>
      </c>
      <c r="CC450" s="104">
        <v>100</v>
      </c>
      <c r="CD450" s="104" t="s">
        <v>10</v>
      </c>
      <c r="CE450" s="23">
        <f>1/100</f>
        <v>0.01</v>
      </c>
      <c r="CF450" s="23">
        <f t="shared" si="13"/>
        <v>1</v>
      </c>
      <c r="CG450" s="23" t="s">
        <v>16</v>
      </c>
      <c r="CH450" s="23">
        <f>1/117.5</f>
        <v>8.5106382978723406E-3</v>
      </c>
      <c r="CI450" s="23" t="s">
        <v>22</v>
      </c>
      <c r="CJ450" s="23">
        <f>CF450*CH450</f>
        <v>8.5106382978723406E-3</v>
      </c>
    </row>
    <row r="451" spans="67:90" x14ac:dyDescent="0.25">
      <c r="CB451" s="132" t="s">
        <v>130</v>
      </c>
      <c r="CC451" s="104">
        <f>2400.96</f>
        <v>2400.96</v>
      </c>
      <c r="CD451" s="104" t="s">
        <v>10</v>
      </c>
      <c r="CE451" s="23">
        <f>1/100</f>
        <v>0.01</v>
      </c>
      <c r="CF451" s="23">
        <f t="shared" si="13"/>
        <v>24.009600000000002</v>
      </c>
      <c r="CG451" s="23" t="s">
        <v>16</v>
      </c>
      <c r="CH451" s="23">
        <v>7.7585999999999999E-5</v>
      </c>
      <c r="CI451" s="23" t="s">
        <v>22</v>
      </c>
      <c r="CJ451" s="23">
        <f>CF451*CH451</f>
        <v>1.8628088256000001E-3</v>
      </c>
      <c r="CK451" s="434" t="s">
        <v>205</v>
      </c>
      <c r="CL451" s="435"/>
    </row>
    <row r="452" spans="67:90" x14ac:dyDescent="0.25">
      <c r="CB452" s="132" t="s">
        <v>132</v>
      </c>
      <c r="CC452" s="131">
        <f>227*227</f>
        <v>51529</v>
      </c>
      <c r="CD452" s="131" t="s">
        <v>9</v>
      </c>
      <c r="CE452" s="39">
        <f>0.0001</f>
        <v>1E-4</v>
      </c>
      <c r="CF452" s="39">
        <f t="shared" si="13"/>
        <v>5.1528999999999998</v>
      </c>
      <c r="CG452" s="39" t="s">
        <v>17</v>
      </c>
      <c r="CH452" s="39">
        <v>0.1</v>
      </c>
      <c r="CI452" s="39" t="s">
        <v>23</v>
      </c>
      <c r="CJ452" s="39">
        <f>CF452*CH452</f>
        <v>0.51529000000000003</v>
      </c>
      <c r="CK452" s="4">
        <f>CJ446+CJ447+CJ448+CJ449+CJ450+CJ451+CJ452+CJ453+CJ454+CJ455+CJ457+CJ456</f>
        <v>11.285437300647073</v>
      </c>
      <c r="CL452" s="4" t="s">
        <v>18</v>
      </c>
    </row>
    <row r="453" spans="67:90" x14ac:dyDescent="0.25">
      <c r="CB453" s="108" t="s">
        <v>165</v>
      </c>
      <c r="CC453" s="71">
        <f>0.515*0.515*0.3</f>
        <v>7.9567499999999999E-2</v>
      </c>
      <c r="CD453" s="127" t="s">
        <v>26</v>
      </c>
      <c r="CE453" s="71">
        <v>9.9999999999999995E-7</v>
      </c>
      <c r="CF453" s="71">
        <f t="shared" si="13"/>
        <v>7.9567500000000001E-8</v>
      </c>
      <c r="CG453" s="71" t="s">
        <v>15</v>
      </c>
      <c r="CH453" s="71">
        <v>12</v>
      </c>
      <c r="CI453" s="71" t="s">
        <v>13</v>
      </c>
      <c r="CJ453" s="71">
        <f>CF453*CH453</f>
        <v>9.5481000000000001E-7</v>
      </c>
    </row>
    <row r="454" spans="67:90" x14ac:dyDescent="0.25">
      <c r="CB454" s="134" t="s">
        <v>166</v>
      </c>
      <c r="CC454" s="135"/>
      <c r="CD454" s="135"/>
      <c r="CE454" s="135"/>
      <c r="CF454" s="136">
        <v>1.23</v>
      </c>
      <c r="CG454" s="136" t="s">
        <v>17</v>
      </c>
      <c r="CH454" s="136">
        <v>0.1</v>
      </c>
      <c r="CI454" s="136" t="s">
        <v>22</v>
      </c>
      <c r="CJ454" s="136">
        <f>CF454*CH454</f>
        <v>0.123</v>
      </c>
    </row>
    <row r="455" spans="67:90" x14ac:dyDescent="0.25">
      <c r="CB455" s="137" t="s">
        <v>167</v>
      </c>
      <c r="CC455" s="71">
        <f>6*4</f>
        <v>24</v>
      </c>
      <c r="CD455" s="138" t="s">
        <v>5</v>
      </c>
      <c r="CE455" s="71"/>
      <c r="CF455" s="71"/>
      <c r="CG455" s="71"/>
      <c r="CH455" s="71">
        <f>1/1000</f>
        <v>1E-3</v>
      </c>
      <c r="CI455" s="139" t="s">
        <v>18</v>
      </c>
      <c r="CJ455" s="139">
        <f>CC455*CH455</f>
        <v>2.4E-2</v>
      </c>
    </row>
    <row r="456" spans="67:90" x14ac:dyDescent="0.25">
      <c r="CB456" s="137" t="s">
        <v>182</v>
      </c>
      <c r="CC456" s="14">
        <f>190*100*3</f>
        <v>57000</v>
      </c>
      <c r="CD456" s="104" t="s">
        <v>26</v>
      </c>
      <c r="CE456" s="23">
        <v>9.9999999999999995E-7</v>
      </c>
      <c r="CF456" s="23">
        <f>CC456*CE456</f>
        <v>5.6999999999999995E-2</v>
      </c>
      <c r="CG456" s="23" t="s">
        <v>15</v>
      </c>
      <c r="CH456" s="23">
        <v>80</v>
      </c>
      <c r="CI456" s="133" t="s">
        <v>13</v>
      </c>
      <c r="CJ456" s="133">
        <f>CH456*CF456</f>
        <v>4.5599999999999996</v>
      </c>
    </row>
    <row r="457" spans="67:90" x14ac:dyDescent="0.25">
      <c r="CB457" s="160" t="s">
        <v>12</v>
      </c>
      <c r="CC457" s="104">
        <v>580</v>
      </c>
      <c r="CD457" s="104" t="s">
        <v>14</v>
      </c>
      <c r="CE457" s="23">
        <f>1/1000000</f>
        <v>9.9999999999999995E-7</v>
      </c>
      <c r="CF457" s="23">
        <f t="shared" ref="CF457" si="15">CC457*CE457</f>
        <v>5.8E-4</v>
      </c>
      <c r="CG457" s="23" t="s">
        <v>15</v>
      </c>
      <c r="CH457" s="23">
        <v>1116.6400000000001</v>
      </c>
      <c r="CI457" s="23" t="s">
        <v>13</v>
      </c>
      <c r="CJ457" s="23">
        <f t="shared" ref="CJ457" si="16">CH457*CF457</f>
        <v>0.64765120000000009</v>
      </c>
    </row>
    <row r="460" spans="67:90" x14ac:dyDescent="0.25">
      <c r="BS460" s="140">
        <f>(BV466-BO470)</f>
        <v>1.032</v>
      </c>
    </row>
    <row r="461" spans="67:90" x14ac:dyDescent="0.25">
      <c r="BO461" s="18" t="s">
        <v>36</v>
      </c>
    </row>
    <row r="462" spans="67:90" x14ac:dyDescent="0.25">
      <c r="BO462" s="19">
        <v>1E-4</v>
      </c>
    </row>
    <row r="463" spans="67:90" x14ac:dyDescent="0.25">
      <c r="BO463" s="18">
        <f>BO464+BO464*BO462</f>
        <v>1.958660438275718</v>
      </c>
    </row>
    <row r="464" spans="67:90" x14ac:dyDescent="0.25">
      <c r="BO464" s="130">
        <f>BZ479</f>
        <v>1.9584645918165364</v>
      </c>
      <c r="BV464" s="41" t="s">
        <v>58</v>
      </c>
      <c r="BW464" s="41"/>
    </row>
    <row r="465" spans="67:78" x14ac:dyDescent="0.25">
      <c r="BO465" s="13" t="s">
        <v>34</v>
      </c>
      <c r="BV465" s="25" t="s">
        <v>156</v>
      </c>
      <c r="BW465" s="4"/>
    </row>
    <row r="466" spans="67:78" x14ac:dyDescent="0.25">
      <c r="BO466" s="29" t="s">
        <v>142</v>
      </c>
      <c r="BV466" s="129">
        <f>BZ479</f>
        <v>1.9584645918165364</v>
      </c>
      <c r="BW466" s="4" t="s">
        <v>18</v>
      </c>
    </row>
    <row r="467" spans="67:78" x14ac:dyDescent="0.25">
      <c r="BO467" s="14" t="s">
        <v>35</v>
      </c>
      <c r="BR467" s="404" t="s">
        <v>51</v>
      </c>
      <c r="BS467" s="405"/>
      <c r="BV467" s="12">
        <f>6/1000</f>
        <v>6.0000000000000001E-3</v>
      </c>
      <c r="BW467" s="4" t="s">
        <v>158</v>
      </c>
    </row>
    <row r="468" spans="67:78" x14ac:dyDescent="0.25">
      <c r="BO468" s="130">
        <f>BO464</f>
        <v>1.9584645918165364</v>
      </c>
      <c r="BR468" s="406" t="s">
        <v>159</v>
      </c>
      <c r="BS468" s="407"/>
    </row>
    <row r="469" spans="67:78" x14ac:dyDescent="0.25">
      <c r="BO469" s="15" t="s">
        <v>36</v>
      </c>
      <c r="BR469" s="43">
        <f>IF(CK517-BO464&lt;0,0,CK517-BO464)</f>
        <v>0</v>
      </c>
      <c r="BS469" s="44" t="s">
        <v>18</v>
      </c>
    </row>
    <row r="470" spans="67:78" x14ac:dyDescent="0.25">
      <c r="BO470" s="210">
        <f>BO468-CK517</f>
        <v>0.9264645918165364</v>
      </c>
      <c r="BP470" s="209"/>
      <c r="BQ470" s="209"/>
      <c r="BR470" s="43">
        <f>BR469</f>
        <v>0</v>
      </c>
      <c r="BS470" s="44" t="s">
        <v>18</v>
      </c>
    </row>
    <row r="471" spans="67:78" x14ac:dyDescent="0.25">
      <c r="BO471" s="209" t="s">
        <v>168</v>
      </c>
      <c r="BP471" s="209"/>
      <c r="BQ471" s="209"/>
    </row>
    <row r="475" spans="67:78" x14ac:dyDescent="0.25">
      <c r="BV475" s="10"/>
      <c r="BW475" s="10"/>
      <c r="BX475" s="10"/>
      <c r="BY475" s="10"/>
      <c r="BZ475" s="10"/>
    </row>
    <row r="476" spans="67:78" x14ac:dyDescent="0.25">
      <c r="BV476" s="10"/>
      <c r="BW476" s="10"/>
      <c r="BX476" s="10"/>
      <c r="BY476" s="10"/>
      <c r="BZ476" s="10" t="s">
        <v>141</v>
      </c>
    </row>
    <row r="477" spans="67:78" x14ac:dyDescent="0.25">
      <c r="BV477" s="10"/>
      <c r="BW477" s="10"/>
      <c r="BX477" s="10"/>
      <c r="BY477" s="10"/>
      <c r="BZ477" s="49" t="s">
        <v>36</v>
      </c>
    </row>
    <row r="478" spans="67:78" x14ac:dyDescent="0.25">
      <c r="BV478" s="10"/>
      <c r="BW478" s="10"/>
      <c r="BX478" s="10"/>
      <c r="BY478" s="10"/>
      <c r="BZ478" s="45" t="s">
        <v>54</v>
      </c>
    </row>
    <row r="479" spans="67:78" x14ac:dyDescent="0.25">
      <c r="BV479" s="10"/>
      <c r="BW479" s="10"/>
      <c r="BX479" s="10"/>
      <c r="BY479" s="10"/>
      <c r="BZ479" s="121">
        <f>BZ480-BZ484</f>
        <v>1.9584645918165364</v>
      </c>
    </row>
    <row r="480" spans="67:78" x14ac:dyDescent="0.25">
      <c r="BV480" s="10"/>
      <c r="BW480" s="10"/>
      <c r="BX480" s="10"/>
      <c r="BY480" s="10"/>
      <c r="BZ480" s="113">
        <f>BW486</f>
        <v>41.127756428147336</v>
      </c>
    </row>
    <row r="481" spans="74:93" x14ac:dyDescent="0.25">
      <c r="BV481" s="437" t="s">
        <v>139</v>
      </c>
      <c r="BW481" s="438"/>
      <c r="BX481" s="10"/>
      <c r="BY481" s="10"/>
      <c r="BZ481" s="47" t="s">
        <v>34</v>
      </c>
    </row>
    <row r="482" spans="74:93" x14ac:dyDescent="0.25">
      <c r="BV482" s="439"/>
      <c r="BW482" s="440"/>
      <c r="BX482" s="10"/>
      <c r="BY482" s="10"/>
      <c r="BZ482" s="118" t="s">
        <v>138</v>
      </c>
      <c r="CH482" s="419" t="s">
        <v>51</v>
      </c>
      <c r="CI482" s="420"/>
      <c r="CK482" s="419" t="s">
        <v>51</v>
      </c>
      <c r="CL482" s="420"/>
    </row>
    <row r="483" spans="74:93" x14ac:dyDescent="0.25">
      <c r="BV483" s="120" t="s">
        <v>1</v>
      </c>
      <c r="BW483" s="120" t="s">
        <v>1</v>
      </c>
      <c r="BX483" s="116"/>
      <c r="BY483" s="10"/>
      <c r="BZ483" s="48" t="s">
        <v>35</v>
      </c>
      <c r="CH483" s="142" t="str">
        <f>CI490</f>
        <v>pegante poliuretano</v>
      </c>
      <c r="CI483" s="143">
        <f>CL482</f>
        <v>0</v>
      </c>
      <c r="CK483" s="142" t="str">
        <f>CL490</f>
        <v>cassata</v>
      </c>
      <c r="CL483" s="143">
        <f>CO482</f>
        <v>0</v>
      </c>
    </row>
    <row r="484" spans="74:93" x14ac:dyDescent="0.25">
      <c r="BV484" s="120">
        <f>BW484</f>
        <v>41.127756428147336</v>
      </c>
      <c r="BW484" s="67">
        <f>BW486</f>
        <v>41.127756428147336</v>
      </c>
      <c r="BX484" s="55"/>
      <c r="BY484" s="10"/>
      <c r="BZ484" s="10">
        <f>CI499</f>
        <v>39.1692918363308</v>
      </c>
      <c r="CH484" s="120">
        <f>CI493</f>
        <v>2.494E-2</v>
      </c>
      <c r="CI484" s="141" t="str">
        <f>CI492</f>
        <v>en m^3</v>
      </c>
      <c r="CK484" s="120">
        <f>CL493</f>
        <v>4.9019999999999992</v>
      </c>
      <c r="CL484" s="141" t="str">
        <f>CL492</f>
        <v>en m^3</v>
      </c>
    </row>
    <row r="485" spans="74:93" x14ac:dyDescent="0.25">
      <c r="BV485" s="422" t="s">
        <v>212</v>
      </c>
      <c r="BW485" s="10"/>
      <c r="BX485" s="10"/>
      <c r="BY485" s="10"/>
      <c r="BZ485" s="50" t="s">
        <v>36</v>
      </c>
      <c r="CH485" s="120">
        <f>CJ493</f>
        <v>27.849001600000005</v>
      </c>
      <c r="CI485" s="141" t="str">
        <f>CJ492</f>
        <v>en kg</v>
      </c>
      <c r="CK485" s="120">
        <f>CM493</f>
        <v>784.31999999999994</v>
      </c>
      <c r="CL485" s="141" t="str">
        <f>CM492</f>
        <v>en kg</v>
      </c>
    </row>
    <row r="486" spans="74:93" x14ac:dyDescent="0.25">
      <c r="BV486" s="423"/>
      <c r="BW486" s="10">
        <f>BZ484+BZ484*0.05</f>
        <v>41.127756428147336</v>
      </c>
      <c r="BX486" s="10"/>
      <c r="BY486" s="10"/>
      <c r="BZ486" s="117" t="s">
        <v>63</v>
      </c>
    </row>
    <row r="487" spans="74:93" x14ac:dyDescent="0.25">
      <c r="BV487" s="10"/>
      <c r="BW487" s="48"/>
      <c r="BX487" s="10"/>
      <c r="BY487" s="10"/>
      <c r="BZ487" s="28"/>
    </row>
    <row r="488" spans="74:93" x14ac:dyDescent="0.25">
      <c r="BV488" s="10"/>
      <c r="BW488" s="10"/>
      <c r="BX488" s="10"/>
      <c r="BY488" s="10"/>
      <c r="BZ488" s="16"/>
    </row>
    <row r="489" spans="74:93" x14ac:dyDescent="0.25">
      <c r="BV489" s="10"/>
      <c r="BW489" s="10"/>
      <c r="BX489" s="10"/>
      <c r="BY489" s="10"/>
      <c r="BZ489" s="10"/>
    </row>
    <row r="490" spans="74:93" x14ac:dyDescent="0.25">
      <c r="BV490" s="10"/>
      <c r="BW490" s="10"/>
      <c r="BX490" s="10"/>
      <c r="BY490" s="48"/>
      <c r="BZ490" s="52">
        <f>BW486-CI499</f>
        <v>1.9584645918165364</v>
      </c>
      <c r="CI490" s="424" t="s">
        <v>183</v>
      </c>
      <c r="CJ490" s="425"/>
      <c r="CL490" s="424" t="s">
        <v>182</v>
      </c>
      <c r="CM490" s="425"/>
    </row>
    <row r="491" spans="74:93" x14ac:dyDescent="0.25">
      <c r="CI491" s="426"/>
      <c r="CJ491" s="427"/>
      <c r="CL491" s="426"/>
      <c r="CM491" s="427"/>
      <c r="CO491" s="14" t="s">
        <v>247</v>
      </c>
    </row>
    <row r="492" spans="74:93" x14ac:dyDescent="0.25">
      <c r="CI492" s="101" t="s">
        <v>50</v>
      </c>
      <c r="CJ492" s="101" t="s">
        <v>1</v>
      </c>
      <c r="CL492" s="101" t="s">
        <v>50</v>
      </c>
      <c r="CM492" s="101" t="s">
        <v>1</v>
      </c>
      <c r="CO492" s="14">
        <f>CK485+CH485+CJ505+CJ509+CK513+BR469</f>
        <v>1033.3125120914933</v>
      </c>
    </row>
    <row r="493" spans="74:93" x14ac:dyDescent="0.25">
      <c r="CI493" s="101">
        <f>CF533*CN502</f>
        <v>2.494E-2</v>
      </c>
      <c r="CJ493" s="4">
        <f>CN502*CJ533</f>
        <v>27.849001600000005</v>
      </c>
      <c r="CL493" s="101">
        <f>CF532*CN502</f>
        <v>4.9019999999999992</v>
      </c>
      <c r="CM493" s="4">
        <f>CN502*CJ532</f>
        <v>784.31999999999994</v>
      </c>
    </row>
    <row r="496" spans="74:93" x14ac:dyDescent="0.25">
      <c r="CI496" s="410" t="s">
        <v>141</v>
      </c>
      <c r="CJ496" s="410"/>
    </row>
    <row r="497" spans="78:94" x14ac:dyDescent="0.25">
      <c r="CI497" s="410"/>
      <c r="CJ497" s="410"/>
    </row>
    <row r="498" spans="78:94" x14ac:dyDescent="0.25">
      <c r="CI498" s="101" t="s">
        <v>1</v>
      </c>
      <c r="CJ498" s="101" t="s">
        <v>1</v>
      </c>
    </row>
    <row r="499" spans="78:94" x14ac:dyDescent="0.25">
      <c r="CI499" s="101">
        <f>CJ499</f>
        <v>39.1692918363308</v>
      </c>
      <c r="CJ499" s="4">
        <f>CN502*(CJ524+CJ525+CJ527+CJ528+CJ529+CJ530)</f>
        <v>39.1692918363308</v>
      </c>
    </row>
    <row r="500" spans="78:94" x14ac:dyDescent="0.25">
      <c r="CL500">
        <f>CJ499+CJ505+CJ509+CK513+CK517+CJ493+CM493</f>
        <v>1073.513803927824</v>
      </c>
      <c r="CN500" s="416" t="s">
        <v>52</v>
      </c>
      <c r="CO500" s="416"/>
    </row>
    <row r="501" spans="78:94" x14ac:dyDescent="0.25">
      <c r="CL501" s="13" t="s">
        <v>34</v>
      </c>
      <c r="CN501" s="436" t="s">
        <v>196</v>
      </c>
      <c r="CO501" s="417"/>
      <c r="CP501" s="127" t="s">
        <v>194</v>
      </c>
    </row>
    <row r="502" spans="78:94" x14ac:dyDescent="0.25">
      <c r="CL502" s="109" t="s">
        <v>160</v>
      </c>
      <c r="CN502" s="223">
        <v>43</v>
      </c>
      <c r="CO502" s="4" t="s">
        <v>27</v>
      </c>
    </row>
    <row r="503" spans="78:94" x14ac:dyDescent="0.25">
      <c r="CI503" s="410" t="s">
        <v>134</v>
      </c>
      <c r="CJ503" s="410"/>
      <c r="CL503" s="14" t="s">
        <v>35</v>
      </c>
      <c r="CN503" s="4">
        <f>CN502*CK528</f>
        <v>1073.513803927824</v>
      </c>
      <c r="CO503" s="4" t="s">
        <v>28</v>
      </c>
    </row>
    <row r="504" spans="78:94" x14ac:dyDescent="0.25">
      <c r="CI504" s="101" t="s">
        <v>50</v>
      </c>
      <c r="CJ504" s="101" t="s">
        <v>1</v>
      </c>
      <c r="CL504">
        <f>CN503</f>
        <v>1073.513803927824</v>
      </c>
    </row>
    <row r="505" spans="78:94" x14ac:dyDescent="0.25">
      <c r="CI505" s="101">
        <f>CN502*CF522</f>
        <v>12.254999999999999</v>
      </c>
      <c r="CJ505" s="4">
        <f>CN502*(CJ522)</f>
        <v>220.59</v>
      </c>
      <c r="CL505" s="15" t="s">
        <v>36</v>
      </c>
    </row>
    <row r="506" spans="78:94" x14ac:dyDescent="0.25">
      <c r="CA506" s="419" t="s">
        <v>51</v>
      </c>
      <c r="CB506" s="420"/>
      <c r="CL506" s="1">
        <f>CL500-CL504</f>
        <v>0</v>
      </c>
    </row>
    <row r="507" spans="78:94" x14ac:dyDescent="0.25">
      <c r="BZ507" s="161" t="s">
        <v>185</v>
      </c>
      <c r="CA507" s="142" t="str">
        <f>CI503</f>
        <v xml:space="preserve">Lámina de espuma </v>
      </c>
      <c r="CB507" s="143"/>
      <c r="CI507" s="410" t="s">
        <v>98</v>
      </c>
      <c r="CJ507" s="410"/>
      <c r="CL507" s="28" t="s">
        <v>45</v>
      </c>
    </row>
    <row r="508" spans="78:94" x14ac:dyDescent="0.25">
      <c r="CA508" s="120">
        <f>CI505</f>
        <v>12.254999999999999</v>
      </c>
      <c r="CB508" s="141" t="str">
        <f>CI504</f>
        <v>en m^3</v>
      </c>
      <c r="CI508" s="101" t="s">
        <v>30</v>
      </c>
      <c r="CJ508" s="101" t="s">
        <v>1</v>
      </c>
    </row>
    <row r="509" spans="78:94" x14ac:dyDescent="0.25">
      <c r="CA509" s="120">
        <f>CJ505</f>
        <v>220.59</v>
      </c>
      <c r="CB509" s="141" t="str">
        <f>CJ504</f>
        <v>en kg</v>
      </c>
      <c r="CI509" s="101">
        <f>CN502*CF526</f>
        <v>43</v>
      </c>
      <c r="CJ509" s="4">
        <f>CN502*(CJ526)</f>
        <v>0.36595744680851067</v>
      </c>
    </row>
    <row r="511" spans="78:94" x14ac:dyDescent="0.25">
      <c r="CF511" s="419" t="s">
        <v>51</v>
      </c>
      <c r="CG511" s="420"/>
      <c r="CH511" s="144"/>
      <c r="CJ511" s="410" t="s">
        <v>137</v>
      </c>
      <c r="CK511" s="410"/>
    </row>
    <row r="512" spans="78:94" x14ac:dyDescent="0.25">
      <c r="CF512" s="142" t="s">
        <v>98</v>
      </c>
      <c r="CG512" s="143" t="str">
        <f>CJ511</f>
        <v>Hilo</v>
      </c>
      <c r="CH512" s="103"/>
      <c r="CJ512" s="101" t="s">
        <v>30</v>
      </c>
      <c r="CK512" s="101" t="s">
        <v>1</v>
      </c>
      <c r="CO512" t="s">
        <v>91</v>
      </c>
    </row>
    <row r="513" spans="80:90" x14ac:dyDescent="0.25">
      <c r="CF513" s="120">
        <f>CJ509</f>
        <v>0.36595744680851067</v>
      </c>
      <c r="CG513" s="141">
        <f>CK513</f>
        <v>0.1875530446848</v>
      </c>
      <c r="CH513" s="4" t="s">
        <v>18</v>
      </c>
      <c r="CJ513" s="101">
        <f>CJ523*CN502</f>
        <v>0.1875530446848</v>
      </c>
      <c r="CK513" s="4">
        <f>CN502*(CJ523)</f>
        <v>0.1875530446848</v>
      </c>
    </row>
    <row r="514" spans="80:90" x14ac:dyDescent="0.25">
      <c r="CF514" s="120">
        <f>CI509</f>
        <v>43</v>
      </c>
      <c r="CG514" s="141">
        <f>CJ513</f>
        <v>0.1875530446848</v>
      </c>
      <c r="CH514" s="4" t="s">
        <v>16</v>
      </c>
    </row>
    <row r="515" spans="80:90" x14ac:dyDescent="0.25">
      <c r="CJ515" s="410" t="s">
        <v>161</v>
      </c>
      <c r="CK515" s="410"/>
    </row>
    <row r="516" spans="80:90" x14ac:dyDescent="0.25">
      <c r="CJ516" s="101" t="s">
        <v>4</v>
      </c>
      <c r="CK516" s="101" t="s">
        <v>1</v>
      </c>
    </row>
    <row r="517" spans="80:90" x14ac:dyDescent="0.25">
      <c r="CJ517" s="101">
        <f>CN502*4</f>
        <v>172</v>
      </c>
      <c r="CK517" s="4">
        <f>CJ531*CN502</f>
        <v>1.032</v>
      </c>
    </row>
    <row r="520" spans="80:90" x14ac:dyDescent="0.25">
      <c r="CC520" s="432" t="s">
        <v>195</v>
      </c>
      <c r="CD520" s="433"/>
      <c r="CE520" s="4" t="s">
        <v>19</v>
      </c>
      <c r="CF520" s="101" t="s">
        <v>20</v>
      </c>
      <c r="CG520" s="101" t="s">
        <v>2</v>
      </c>
      <c r="CH520" s="101" t="s">
        <v>21</v>
      </c>
      <c r="CI520" s="101" t="s">
        <v>2</v>
      </c>
      <c r="CJ520" s="11" t="s">
        <v>24</v>
      </c>
    </row>
    <row r="521" spans="80:90" x14ac:dyDescent="0.25">
      <c r="CB521" s="101"/>
      <c r="CC521" s="104"/>
      <c r="CD521" s="104"/>
      <c r="CE521" s="23"/>
      <c r="CF521" s="23"/>
      <c r="CG521" s="23"/>
      <c r="CH521" s="23"/>
      <c r="CI521" s="23"/>
      <c r="CJ521" s="39"/>
    </row>
    <row r="522" spans="80:90" x14ac:dyDescent="0.25">
      <c r="CB522" s="27" t="s">
        <v>128</v>
      </c>
      <c r="CC522" s="104">
        <f>100*190*15</f>
        <v>285000</v>
      </c>
      <c r="CD522" s="104" t="s">
        <v>26</v>
      </c>
      <c r="CE522" s="23">
        <v>9.9999999999999995E-7</v>
      </c>
      <c r="CF522" s="23">
        <f t="shared" ref="CF522:CF529" si="17">CC522*CE522</f>
        <v>0.28499999999999998</v>
      </c>
      <c r="CG522" s="23" t="s">
        <v>15</v>
      </c>
      <c r="CH522" s="23">
        <v>18</v>
      </c>
      <c r="CI522" s="23" t="s">
        <v>13</v>
      </c>
      <c r="CJ522" s="23">
        <f>CF522*CH522</f>
        <v>5.13</v>
      </c>
    </row>
    <row r="523" spans="80:90" x14ac:dyDescent="0.25">
      <c r="CB523" s="27" t="s">
        <v>130</v>
      </c>
      <c r="CC523" s="104">
        <f>5621.76</f>
        <v>5621.76</v>
      </c>
      <c r="CD523" s="104" t="s">
        <v>10</v>
      </c>
      <c r="CE523" s="23">
        <f>1/100</f>
        <v>0.01</v>
      </c>
      <c r="CF523" s="23">
        <f t="shared" si="17"/>
        <v>56.217600000000004</v>
      </c>
      <c r="CG523" s="23" t="s">
        <v>16</v>
      </c>
      <c r="CH523" s="23">
        <v>7.7585999999999999E-5</v>
      </c>
      <c r="CI523" s="23" t="s">
        <v>22</v>
      </c>
      <c r="CJ523" s="23">
        <f t="shared" ref="CJ523:CJ525" si="18">CF523*CH523</f>
        <v>4.3616987136000001E-3</v>
      </c>
    </row>
    <row r="524" spans="80:90" x14ac:dyDescent="0.25">
      <c r="CB524" s="27" t="s">
        <v>164</v>
      </c>
      <c r="CC524" s="104">
        <f>210*210*0.3</f>
        <v>13230</v>
      </c>
      <c r="CD524" s="104" t="s">
        <v>26</v>
      </c>
      <c r="CE524" s="23">
        <v>9.9999999999999995E-7</v>
      </c>
      <c r="CF524" s="23">
        <f t="shared" si="17"/>
        <v>1.3229999999999999E-2</v>
      </c>
      <c r="CG524" s="23" t="s">
        <v>15</v>
      </c>
      <c r="CH524" s="23">
        <v>12</v>
      </c>
      <c r="CI524" s="23" t="s">
        <v>13</v>
      </c>
      <c r="CJ524" s="23">
        <f t="shared" si="18"/>
        <v>0.15875999999999998</v>
      </c>
    </row>
    <row r="525" spans="80:90" x14ac:dyDescent="0.25">
      <c r="CB525" s="27" t="s">
        <v>127</v>
      </c>
      <c r="CC525" s="104">
        <f>56000</f>
        <v>56000</v>
      </c>
      <c r="CD525" s="104" t="s">
        <v>9</v>
      </c>
      <c r="CE525" s="23">
        <f>0.0001</f>
        <v>1E-4</v>
      </c>
      <c r="CF525" s="23">
        <f t="shared" si="17"/>
        <v>5.6000000000000005</v>
      </c>
      <c r="CG525" s="23" t="s">
        <v>17</v>
      </c>
      <c r="CH525" s="23">
        <f>20/1000</f>
        <v>0.02</v>
      </c>
      <c r="CI525" s="23" t="s">
        <v>23</v>
      </c>
      <c r="CJ525" s="23">
        <f t="shared" si="18"/>
        <v>0.11200000000000002</v>
      </c>
    </row>
    <row r="526" spans="80:90" x14ac:dyDescent="0.25">
      <c r="CB526" s="27" t="s">
        <v>93</v>
      </c>
      <c r="CC526" s="104">
        <v>100</v>
      </c>
      <c r="CD526" s="104" t="s">
        <v>10</v>
      </c>
      <c r="CE526" s="23">
        <f>1/100</f>
        <v>0.01</v>
      </c>
      <c r="CF526" s="23">
        <f t="shared" si="17"/>
        <v>1</v>
      </c>
      <c r="CG526" s="23" t="s">
        <v>16</v>
      </c>
      <c r="CH526" s="23">
        <f>1/117.5</f>
        <v>8.5106382978723406E-3</v>
      </c>
      <c r="CI526" s="23" t="s">
        <v>22</v>
      </c>
      <c r="CJ526" s="23">
        <f>CF526*CH526</f>
        <v>8.5106382978723406E-3</v>
      </c>
    </row>
    <row r="527" spans="80:90" x14ac:dyDescent="0.25">
      <c r="CB527" s="132" t="s">
        <v>130</v>
      </c>
      <c r="CC527" s="104">
        <f>2400.96</f>
        <v>2400.96</v>
      </c>
      <c r="CD527" s="104" t="s">
        <v>10</v>
      </c>
      <c r="CE527" s="23">
        <f>1/100</f>
        <v>0.01</v>
      </c>
      <c r="CF527" s="23">
        <f t="shared" si="17"/>
        <v>24.009600000000002</v>
      </c>
      <c r="CG527" s="23" t="s">
        <v>16</v>
      </c>
      <c r="CH527" s="23">
        <v>7.7585999999999999E-5</v>
      </c>
      <c r="CI527" s="23" t="s">
        <v>22</v>
      </c>
      <c r="CJ527" s="23">
        <f>CF527*CH527</f>
        <v>1.8628088256000001E-3</v>
      </c>
      <c r="CK527" s="434" t="s">
        <v>197</v>
      </c>
      <c r="CL527" s="435"/>
    </row>
    <row r="528" spans="80:90" x14ac:dyDescent="0.25">
      <c r="CB528" s="132" t="s">
        <v>132</v>
      </c>
      <c r="CC528" s="131">
        <f>227*227</f>
        <v>51529</v>
      </c>
      <c r="CD528" s="131" t="s">
        <v>9</v>
      </c>
      <c r="CE528" s="39">
        <f>0.0001</f>
        <v>1E-4</v>
      </c>
      <c r="CF528" s="39">
        <f t="shared" si="17"/>
        <v>5.1528999999999998</v>
      </c>
      <c r="CG528" s="39" t="s">
        <v>17</v>
      </c>
      <c r="CH528" s="39">
        <v>0.1</v>
      </c>
      <c r="CI528" s="39" t="s">
        <v>23</v>
      </c>
      <c r="CJ528" s="39">
        <f>CF528*CH528</f>
        <v>0.51529000000000003</v>
      </c>
      <c r="CK528" s="4">
        <f>CJ522+CJ523+CJ524+CJ525+CJ526+CJ527+CJ528+CJ529+CJ530+CJ531+CJ533+CJ532</f>
        <v>24.965437300647071</v>
      </c>
      <c r="CL528" s="4" t="s">
        <v>18</v>
      </c>
    </row>
    <row r="529" spans="67:88" x14ac:dyDescent="0.25">
      <c r="CB529" s="108" t="s">
        <v>165</v>
      </c>
      <c r="CC529" s="71">
        <f>0.515*0.515*0.3</f>
        <v>7.9567499999999999E-2</v>
      </c>
      <c r="CD529" s="127" t="s">
        <v>26</v>
      </c>
      <c r="CE529" s="71">
        <v>9.9999999999999995E-7</v>
      </c>
      <c r="CF529" s="71">
        <f t="shared" si="17"/>
        <v>7.9567500000000001E-8</v>
      </c>
      <c r="CG529" s="71" t="s">
        <v>15</v>
      </c>
      <c r="CH529" s="71">
        <v>12</v>
      </c>
      <c r="CI529" s="71" t="s">
        <v>13</v>
      </c>
      <c r="CJ529" s="71">
        <f>CF529*CH529</f>
        <v>9.5481000000000001E-7</v>
      </c>
    </row>
    <row r="530" spans="67:88" x14ac:dyDescent="0.25">
      <c r="CB530" s="134" t="s">
        <v>166</v>
      </c>
      <c r="CC530" s="135"/>
      <c r="CD530" s="135"/>
      <c r="CE530" s="135"/>
      <c r="CF530" s="136">
        <v>1.23</v>
      </c>
      <c r="CG530" s="136" t="s">
        <v>17</v>
      </c>
      <c r="CH530" s="136">
        <v>0.1</v>
      </c>
      <c r="CI530" s="136" t="s">
        <v>22</v>
      </c>
      <c r="CJ530" s="136">
        <f>CF530*CH530</f>
        <v>0.123</v>
      </c>
    </row>
    <row r="531" spans="67:88" x14ac:dyDescent="0.25">
      <c r="CB531" s="137" t="s">
        <v>167</v>
      </c>
      <c r="CC531" s="71">
        <f>6*4</f>
        <v>24</v>
      </c>
      <c r="CD531" s="138" t="s">
        <v>5</v>
      </c>
      <c r="CE531" s="71"/>
      <c r="CF531" s="71"/>
      <c r="CG531" s="71"/>
      <c r="CH531" s="71">
        <f>1/1000</f>
        <v>1E-3</v>
      </c>
      <c r="CI531" s="139" t="s">
        <v>18</v>
      </c>
      <c r="CJ531" s="139">
        <f>CC531*CH531</f>
        <v>2.4E-2</v>
      </c>
    </row>
    <row r="532" spans="67:88" x14ac:dyDescent="0.25">
      <c r="CB532" s="137" t="s">
        <v>182</v>
      </c>
      <c r="CC532" s="14">
        <f>(190*100*3)*2</f>
        <v>114000</v>
      </c>
      <c r="CD532" s="104" t="s">
        <v>26</v>
      </c>
      <c r="CE532" s="23">
        <v>9.9999999999999995E-7</v>
      </c>
      <c r="CF532" s="23">
        <f>CC532*CE532</f>
        <v>0.11399999999999999</v>
      </c>
      <c r="CG532" s="23" t="s">
        <v>15</v>
      </c>
      <c r="CH532" s="23">
        <v>80</v>
      </c>
      <c r="CI532" s="133" t="s">
        <v>13</v>
      </c>
      <c r="CJ532" s="133">
        <f>CH532*CF532*2</f>
        <v>18.239999999999998</v>
      </c>
    </row>
    <row r="533" spans="67:88" x14ac:dyDescent="0.25">
      <c r="CB533" s="160" t="s">
        <v>12</v>
      </c>
      <c r="CC533" s="104">
        <v>580</v>
      </c>
      <c r="CD533" s="104" t="s">
        <v>14</v>
      </c>
      <c r="CE533" s="23">
        <f>1/1000000</f>
        <v>9.9999999999999995E-7</v>
      </c>
      <c r="CF533" s="23">
        <f t="shared" ref="CF533" si="19">CC533*CE533</f>
        <v>5.8E-4</v>
      </c>
      <c r="CG533" s="23" t="s">
        <v>15</v>
      </c>
      <c r="CH533" s="23">
        <v>1116.6400000000001</v>
      </c>
      <c r="CI533" s="23" t="s">
        <v>13</v>
      </c>
      <c r="CJ533" s="23">
        <f t="shared" ref="CJ533" si="20">CH533*CF533</f>
        <v>0.64765120000000009</v>
      </c>
    </row>
    <row r="538" spans="67:88" x14ac:dyDescent="0.25">
      <c r="BS538" s="140">
        <f>(BV544-BO548)</f>
        <v>1.232</v>
      </c>
    </row>
    <row r="539" spans="67:88" x14ac:dyDescent="0.25">
      <c r="BO539" s="18" t="s">
        <v>36</v>
      </c>
    </row>
    <row r="540" spans="67:88" x14ac:dyDescent="0.25">
      <c r="BO540" s="19">
        <v>1E-4</v>
      </c>
    </row>
    <row r="541" spans="67:88" x14ac:dyDescent="0.25">
      <c r="BO541" s="18">
        <f>BO542+BO542*BO540</f>
        <v>1.8588371422389109</v>
      </c>
    </row>
    <row r="542" spans="67:88" x14ac:dyDescent="0.25">
      <c r="BO542" s="130">
        <f>BZ557</f>
        <v>1.8586512771111998</v>
      </c>
      <c r="BV542" s="41" t="s">
        <v>58</v>
      </c>
      <c r="BW542" s="41"/>
    </row>
    <row r="543" spans="67:88" x14ac:dyDescent="0.25">
      <c r="BO543" s="13" t="s">
        <v>34</v>
      </c>
      <c r="BV543" s="25" t="s">
        <v>156</v>
      </c>
      <c r="BW543" s="4"/>
    </row>
    <row r="544" spans="67:88" x14ac:dyDescent="0.25">
      <c r="BO544" s="29" t="s">
        <v>142</v>
      </c>
      <c r="BV544" s="129">
        <f>BZ557</f>
        <v>1.8586512771111998</v>
      </c>
      <c r="BW544" s="4" t="s">
        <v>18</v>
      </c>
    </row>
    <row r="545" spans="67:87" x14ac:dyDescent="0.25">
      <c r="BO545" s="14" t="s">
        <v>35</v>
      </c>
      <c r="BR545" s="404" t="s">
        <v>51</v>
      </c>
      <c r="BS545" s="405"/>
      <c r="BV545" s="12">
        <f>6/1000</f>
        <v>6.0000000000000001E-3</v>
      </c>
      <c r="BW545" s="4" t="s">
        <v>158</v>
      </c>
    </row>
    <row r="546" spans="67:87" x14ac:dyDescent="0.25">
      <c r="BO546" s="130">
        <f>BO542</f>
        <v>1.8586512771111998</v>
      </c>
      <c r="BR546" s="406" t="s">
        <v>159</v>
      </c>
      <c r="BS546" s="407"/>
    </row>
    <row r="547" spans="67:87" x14ac:dyDescent="0.25">
      <c r="BO547" s="15" t="s">
        <v>36</v>
      </c>
      <c r="BR547" s="43">
        <f>IF(CK595-BO542&lt;0,0,CK595-BO542)</f>
        <v>0</v>
      </c>
      <c r="BS547" s="44" t="s">
        <v>18</v>
      </c>
    </row>
    <row r="548" spans="67:87" x14ac:dyDescent="0.25">
      <c r="BO548" s="17">
        <f>BO546-CK595</f>
        <v>0.62665127711119983</v>
      </c>
      <c r="BR548" s="43">
        <f>BR547</f>
        <v>0</v>
      </c>
      <c r="BS548" s="44" t="s">
        <v>18</v>
      </c>
    </row>
    <row r="549" spans="67:87" x14ac:dyDescent="0.25">
      <c r="BO549" s="14" t="s">
        <v>168</v>
      </c>
    </row>
    <row r="553" spans="67:87" x14ac:dyDescent="0.25">
      <c r="BV553" s="10"/>
      <c r="BW553" s="10"/>
      <c r="BX553" s="10"/>
      <c r="BY553" s="10"/>
      <c r="BZ553" s="10"/>
    </row>
    <row r="554" spans="67:87" x14ac:dyDescent="0.25">
      <c r="BV554" s="10"/>
      <c r="BW554" s="10"/>
      <c r="BX554" s="10"/>
      <c r="BY554" s="10"/>
      <c r="BZ554" s="10" t="s">
        <v>141</v>
      </c>
    </row>
    <row r="555" spans="67:87" x14ac:dyDescent="0.25">
      <c r="BQ555" s="226"/>
      <c r="BV555" s="10"/>
      <c r="BW555" s="10"/>
      <c r="BX555" s="10"/>
      <c r="BY555" s="10"/>
      <c r="BZ555" s="49" t="s">
        <v>36</v>
      </c>
    </row>
    <row r="556" spans="67:87" x14ac:dyDescent="0.25">
      <c r="BV556" s="10"/>
      <c r="BW556" s="10"/>
      <c r="BX556" s="10"/>
      <c r="BY556" s="10"/>
      <c r="BZ556" s="45" t="s">
        <v>54</v>
      </c>
    </row>
    <row r="557" spans="67:87" x14ac:dyDescent="0.25">
      <c r="BV557" s="10"/>
      <c r="BW557" s="10"/>
      <c r="BX557" s="10"/>
      <c r="BY557" s="10"/>
      <c r="BZ557" s="121">
        <f>BZ558-BZ562</f>
        <v>1.8586512771111998</v>
      </c>
    </row>
    <row r="558" spans="67:87" x14ac:dyDescent="0.25">
      <c r="BV558" s="10"/>
      <c r="BW558" s="10"/>
      <c r="BX558" s="10"/>
      <c r="BY558" s="10"/>
      <c r="BZ558" s="113">
        <f>BW564</f>
        <v>39.031676819335203</v>
      </c>
    </row>
    <row r="559" spans="67:87" x14ac:dyDescent="0.25">
      <c r="BV559" s="421" t="s">
        <v>139</v>
      </c>
      <c r="BW559" s="421"/>
      <c r="BX559" s="10"/>
      <c r="BY559" s="10"/>
      <c r="BZ559" s="47" t="s">
        <v>34</v>
      </c>
    </row>
    <row r="560" spans="67:87" x14ac:dyDescent="0.25">
      <c r="BV560" s="421"/>
      <c r="BW560" s="421"/>
      <c r="BX560" s="10"/>
      <c r="BY560" s="10"/>
      <c r="BZ560" s="118" t="s">
        <v>138</v>
      </c>
      <c r="CH560" s="409" t="s">
        <v>51</v>
      </c>
      <c r="CI560" s="409"/>
    </row>
    <row r="561" spans="74:93" x14ac:dyDescent="0.25">
      <c r="BV561" s="120" t="s">
        <v>1</v>
      </c>
      <c r="BW561" s="120" t="s">
        <v>1</v>
      </c>
      <c r="BX561" s="116"/>
      <c r="BY561" s="10"/>
      <c r="BZ561" s="48" t="s">
        <v>35</v>
      </c>
      <c r="CH561" s="142" t="str">
        <f>CI568</f>
        <v>unidad resortada</v>
      </c>
      <c r="CI561" s="143">
        <f>CL560</f>
        <v>0</v>
      </c>
    </row>
    <row r="562" spans="74:93" x14ac:dyDescent="0.25">
      <c r="BV562" s="162">
        <f>BW562</f>
        <v>39.031676819335203</v>
      </c>
      <c r="BW562" s="67">
        <f>BW564</f>
        <v>39.031676819335203</v>
      </c>
      <c r="BX562" s="55"/>
      <c r="BY562" s="10"/>
      <c r="BZ562" s="10">
        <f>CI577</f>
        <v>37.173025542224003</v>
      </c>
      <c r="CH562" s="120">
        <f>CI571</f>
        <v>44</v>
      </c>
      <c r="CI562" s="141" t="str">
        <f>CI570</f>
        <v>en unidades</v>
      </c>
    </row>
    <row r="563" spans="74:93" x14ac:dyDescent="0.25">
      <c r="BV563" s="423" t="s">
        <v>206</v>
      </c>
      <c r="BW563" s="10"/>
      <c r="BX563" s="10"/>
      <c r="BY563" s="10"/>
      <c r="BZ563" s="50" t="s">
        <v>36</v>
      </c>
      <c r="CH563" s="120">
        <f>CJ571</f>
        <v>816.28800000000001</v>
      </c>
      <c r="CI563" s="141" t="str">
        <f>CJ570</f>
        <v>en kg</v>
      </c>
    </row>
    <row r="564" spans="74:93" x14ac:dyDescent="0.25">
      <c r="BV564" s="423"/>
      <c r="BW564" s="10">
        <f>BZ562+BZ562*0.05</f>
        <v>39.031676819335203</v>
      </c>
      <c r="BX564" s="10"/>
      <c r="BY564" s="10"/>
      <c r="BZ564" s="117" t="s">
        <v>63</v>
      </c>
    </row>
    <row r="565" spans="74:93" x14ac:dyDescent="0.25">
      <c r="BV565" s="117"/>
      <c r="BW565" s="48"/>
      <c r="BX565" s="10"/>
      <c r="BY565" s="10"/>
      <c r="BZ565" s="28"/>
    </row>
    <row r="566" spans="74:93" x14ac:dyDescent="0.25">
      <c r="BV566" s="117"/>
      <c r="BW566" s="10"/>
      <c r="BX566" s="10"/>
      <c r="BY566" s="10"/>
      <c r="BZ566" s="16"/>
    </row>
    <row r="567" spans="74:93" x14ac:dyDescent="0.25">
      <c r="BV567" s="10"/>
      <c r="BW567" s="10"/>
      <c r="BX567" s="10"/>
      <c r="BY567" s="10"/>
      <c r="BZ567" s="10"/>
    </row>
    <row r="568" spans="74:93" x14ac:dyDescent="0.25">
      <c r="BV568" s="10"/>
      <c r="BW568" s="10"/>
      <c r="BX568" s="10"/>
      <c r="BY568" s="48"/>
      <c r="BZ568" s="52">
        <f>BW564-CI577</f>
        <v>1.8586512771111998</v>
      </c>
      <c r="CI568" s="410" t="s">
        <v>174</v>
      </c>
      <c r="CJ568" s="410"/>
    </row>
    <row r="569" spans="74:93" x14ac:dyDescent="0.25">
      <c r="CI569" s="410"/>
      <c r="CJ569" s="410"/>
      <c r="CO569" s="14" t="s">
        <v>247</v>
      </c>
    </row>
    <row r="570" spans="74:93" x14ac:dyDescent="0.25">
      <c r="CI570" s="101" t="s">
        <v>4</v>
      </c>
      <c r="CJ570" s="101" t="s">
        <v>1</v>
      </c>
      <c r="CO570" s="14">
        <f>CK563+CH563+CJ583+CJ587+CK591+BR547</f>
        <v>862.0038803862584</v>
      </c>
    </row>
    <row r="571" spans="74:93" x14ac:dyDescent="0.25">
      <c r="CI571" s="101">
        <f>CN580*CC608</f>
        <v>44</v>
      </c>
      <c r="CJ571" s="4">
        <f>CN580*CJ608</f>
        <v>816.28800000000001</v>
      </c>
    </row>
    <row r="574" spans="74:93" x14ac:dyDescent="0.25">
      <c r="CI574" s="424" t="s">
        <v>141</v>
      </c>
      <c r="CJ574" s="425"/>
    </row>
    <row r="575" spans="74:93" x14ac:dyDescent="0.25">
      <c r="CI575" s="426"/>
      <c r="CJ575" s="427"/>
    </row>
    <row r="576" spans="74:93" x14ac:dyDescent="0.25">
      <c r="CI576" s="101" t="s">
        <v>1</v>
      </c>
      <c r="CJ576" s="101" t="s">
        <v>1</v>
      </c>
    </row>
    <row r="577" spans="80:94" x14ac:dyDescent="0.25">
      <c r="CI577" s="101">
        <f>CJ577</f>
        <v>37.173025542224003</v>
      </c>
      <c r="CJ577" s="4">
        <f>CN580*(CJ602+CJ603+CJ605+CJ606+CJ607)</f>
        <v>37.173025542224003</v>
      </c>
    </row>
    <row r="578" spans="80:94" x14ac:dyDescent="0.25">
      <c r="CL578">
        <f>CJ577+CJ583+CJ587+CK591+CK595+CJ571</f>
        <v>900.40890592848245</v>
      </c>
      <c r="CN578" s="430" t="s">
        <v>52</v>
      </c>
      <c r="CO578" s="431"/>
    </row>
    <row r="579" spans="80:94" x14ac:dyDescent="0.25">
      <c r="CL579" s="13" t="s">
        <v>34</v>
      </c>
      <c r="CN579" s="417" t="s">
        <v>202</v>
      </c>
      <c r="CO579" s="418"/>
      <c r="CP579" s="127" t="s">
        <v>200</v>
      </c>
    </row>
    <row r="580" spans="80:94" x14ac:dyDescent="0.25">
      <c r="CL580" s="109" t="s">
        <v>179</v>
      </c>
      <c r="CN580" s="223">
        <v>44</v>
      </c>
      <c r="CO580" s="4" t="s">
        <v>27</v>
      </c>
    </row>
    <row r="581" spans="80:94" x14ac:dyDescent="0.25">
      <c r="CC581" s="409" t="s">
        <v>51</v>
      </c>
      <c r="CD581" s="409"/>
      <c r="CI581" s="428" t="s">
        <v>134</v>
      </c>
      <c r="CJ581" s="429"/>
      <c r="CL581" s="14" t="s">
        <v>35</v>
      </c>
      <c r="CN581" s="4">
        <f>CN580*CK606</f>
        <v>900.40890592848223</v>
      </c>
      <c r="CO581" s="4" t="s">
        <v>28</v>
      </c>
    </row>
    <row r="582" spans="80:94" x14ac:dyDescent="0.25">
      <c r="CB582" s="161" t="s">
        <v>185</v>
      </c>
      <c r="CC582" s="142" t="str">
        <f>CI581</f>
        <v xml:space="preserve">Lámina de espuma </v>
      </c>
      <c r="CD582" s="143">
        <f>CG581</f>
        <v>0</v>
      </c>
      <c r="CI582" s="101" t="s">
        <v>50</v>
      </c>
      <c r="CJ582" s="101" t="s">
        <v>1</v>
      </c>
      <c r="CL582">
        <f>CN581</f>
        <v>900.40890592848223</v>
      </c>
    </row>
    <row r="583" spans="80:94" x14ac:dyDescent="0.25">
      <c r="CC583" s="120">
        <f>CI583</f>
        <v>2.508</v>
      </c>
      <c r="CD583" s="141" t="str">
        <f>CI582</f>
        <v>en m^3</v>
      </c>
      <c r="CI583" s="101">
        <f>CN580*CF600</f>
        <v>2.508</v>
      </c>
      <c r="CJ583" s="4">
        <f>CN580*(CJ600)</f>
        <v>45.143999999999991</v>
      </c>
      <c r="CL583" s="15" t="s">
        <v>36</v>
      </c>
    </row>
    <row r="584" spans="80:94" x14ac:dyDescent="0.25">
      <c r="CC584" s="120">
        <f>CJ583</f>
        <v>45.143999999999991</v>
      </c>
      <c r="CD584" s="141" t="str">
        <f>CJ582</f>
        <v>en kg</v>
      </c>
      <c r="CL584" s="1">
        <f>CL578-CL582</f>
        <v>0</v>
      </c>
    </row>
    <row r="585" spans="80:94" x14ac:dyDescent="0.25">
      <c r="CI585" s="428" t="s">
        <v>98</v>
      </c>
      <c r="CJ585" s="429"/>
      <c r="CL585" s="28" t="s">
        <v>45</v>
      </c>
    </row>
    <row r="586" spans="80:94" x14ac:dyDescent="0.25">
      <c r="CI586" s="101" t="s">
        <v>30</v>
      </c>
      <c r="CJ586" s="101" t="s">
        <v>1</v>
      </c>
    </row>
    <row r="587" spans="80:94" x14ac:dyDescent="0.25">
      <c r="CI587" s="101">
        <f>CN580*CF604</f>
        <v>44</v>
      </c>
      <c r="CJ587" s="4">
        <f>CN580*(CJ604)</f>
        <v>0.37446808510638296</v>
      </c>
    </row>
    <row r="589" spans="80:94" x14ac:dyDescent="0.25">
      <c r="CF589" s="409" t="s">
        <v>51</v>
      </c>
      <c r="CG589" s="409"/>
      <c r="CH589" s="144"/>
      <c r="CJ589" s="428" t="s">
        <v>137</v>
      </c>
      <c r="CK589" s="429"/>
    </row>
    <row r="590" spans="80:94" x14ac:dyDescent="0.25">
      <c r="CF590" s="142" t="s">
        <v>98</v>
      </c>
      <c r="CG590" s="143" t="str">
        <f>CJ589</f>
        <v>Hilo</v>
      </c>
      <c r="CH590" s="103"/>
      <c r="CJ590" s="101" t="s">
        <v>30</v>
      </c>
      <c r="CK590" s="101" t="s">
        <v>1</v>
      </c>
      <c r="CO590" t="s">
        <v>91</v>
      </c>
    </row>
    <row r="591" spans="80:94" x14ac:dyDescent="0.25">
      <c r="CF591" s="120">
        <f>CJ587</f>
        <v>0.37446808510638296</v>
      </c>
      <c r="CG591" s="141">
        <f>CK591</f>
        <v>0.19741230115200001</v>
      </c>
      <c r="CH591" s="4" t="s">
        <v>18</v>
      </c>
      <c r="CJ591" s="101">
        <f>CF601*CN580</f>
        <v>2544.4320000000002</v>
      </c>
      <c r="CK591" s="4">
        <f>CN580*(CJ601)</f>
        <v>0.19741230115200001</v>
      </c>
    </row>
    <row r="592" spans="80:94" x14ac:dyDescent="0.25">
      <c r="CF592" s="120">
        <f>CI587</f>
        <v>44</v>
      </c>
      <c r="CG592" s="141">
        <f>CJ591</f>
        <v>2544.4320000000002</v>
      </c>
      <c r="CH592" s="4" t="s">
        <v>16</v>
      </c>
    </row>
    <row r="593" spans="80:90" x14ac:dyDescent="0.25">
      <c r="CJ593" s="428" t="s">
        <v>161</v>
      </c>
      <c r="CK593" s="429"/>
    </row>
    <row r="594" spans="80:90" x14ac:dyDescent="0.25">
      <c r="CJ594" s="101" t="s">
        <v>4</v>
      </c>
      <c r="CK594" s="101" t="s">
        <v>1</v>
      </c>
    </row>
    <row r="595" spans="80:90" x14ac:dyDescent="0.25">
      <c r="CJ595" s="101">
        <f>CN580*4</f>
        <v>176</v>
      </c>
      <c r="CK595" s="4">
        <f>CJ609*CN580</f>
        <v>1.232</v>
      </c>
    </row>
    <row r="598" spans="80:90" x14ac:dyDescent="0.25">
      <c r="CC598" s="415" t="s">
        <v>188</v>
      </c>
      <c r="CD598" s="415"/>
      <c r="CE598" s="4" t="s">
        <v>19</v>
      </c>
      <c r="CF598" s="101" t="s">
        <v>20</v>
      </c>
      <c r="CG598" s="101" t="s">
        <v>2</v>
      </c>
      <c r="CH598" s="101" t="s">
        <v>21</v>
      </c>
      <c r="CI598" s="101" t="s">
        <v>2</v>
      </c>
      <c r="CJ598" s="11" t="s">
        <v>24</v>
      </c>
    </row>
    <row r="599" spans="80:90" x14ac:dyDescent="0.25">
      <c r="CB599" s="153"/>
      <c r="CC599" s="104"/>
      <c r="CD599" s="104"/>
      <c r="CE599" s="23"/>
      <c r="CF599" s="23"/>
      <c r="CG599" s="23"/>
      <c r="CH599" s="23"/>
      <c r="CI599" s="23"/>
      <c r="CJ599" s="39"/>
    </row>
    <row r="600" spans="80:90" x14ac:dyDescent="0.25">
      <c r="CB600" s="149" t="s">
        <v>128</v>
      </c>
      <c r="CC600" s="158">
        <f>100*190*3</f>
        <v>57000</v>
      </c>
      <c r="CD600" s="104" t="s">
        <v>26</v>
      </c>
      <c r="CE600" s="23">
        <v>9.9999999999999995E-7</v>
      </c>
      <c r="CF600" s="23">
        <f t="shared" ref="CF600:CF607" si="21">CC600*CE600</f>
        <v>5.6999999999999995E-2</v>
      </c>
      <c r="CG600" s="23" t="s">
        <v>15</v>
      </c>
      <c r="CH600" s="23">
        <v>18</v>
      </c>
      <c r="CI600" s="23" t="s">
        <v>13</v>
      </c>
      <c r="CJ600" s="23">
        <f>CF600*CH600</f>
        <v>1.0259999999999998</v>
      </c>
    </row>
    <row r="601" spans="80:90" x14ac:dyDescent="0.25">
      <c r="CB601" s="149" t="s">
        <v>130</v>
      </c>
      <c r="CC601" s="158">
        <f>5782.8</f>
        <v>5782.8</v>
      </c>
      <c r="CD601" s="104" t="s">
        <v>10</v>
      </c>
      <c r="CE601" s="23">
        <f>1/100</f>
        <v>0.01</v>
      </c>
      <c r="CF601" s="23">
        <f t="shared" si="21"/>
        <v>57.828000000000003</v>
      </c>
      <c r="CG601" s="23" t="s">
        <v>16</v>
      </c>
      <c r="CH601" s="23">
        <v>7.7585999999999999E-5</v>
      </c>
      <c r="CI601" s="23" t="s">
        <v>22</v>
      </c>
      <c r="CJ601" s="23">
        <f t="shared" ref="CJ601:CJ603" si="22">CF601*CH601</f>
        <v>4.4866432080000003E-3</v>
      </c>
    </row>
    <row r="602" spans="80:90" x14ac:dyDescent="0.25">
      <c r="CB602" s="149" t="s">
        <v>164</v>
      </c>
      <c r="CC602" s="158">
        <f>230*230*0.3</f>
        <v>15870</v>
      </c>
      <c r="CD602" s="104" t="s">
        <v>26</v>
      </c>
      <c r="CE602" s="23">
        <v>9.9999999999999995E-7</v>
      </c>
      <c r="CF602" s="23">
        <f t="shared" si="21"/>
        <v>1.5869999999999999E-2</v>
      </c>
      <c r="CG602" s="23" t="s">
        <v>15</v>
      </c>
      <c r="CH602" s="23">
        <v>12</v>
      </c>
      <c r="CI602" s="23" t="s">
        <v>13</v>
      </c>
      <c r="CJ602" s="23">
        <f t="shared" si="22"/>
        <v>0.19044</v>
      </c>
    </row>
    <row r="603" spans="80:90" x14ac:dyDescent="0.25">
      <c r="CB603" s="149" t="s">
        <v>127</v>
      </c>
      <c r="CC603" s="158">
        <v>59400</v>
      </c>
      <c r="CD603" s="104" t="s">
        <v>9</v>
      </c>
      <c r="CE603" s="23">
        <f>0.0001</f>
        <v>1E-4</v>
      </c>
      <c r="CF603" s="23">
        <f t="shared" si="21"/>
        <v>5.94</v>
      </c>
      <c r="CG603" s="23" t="s">
        <v>17</v>
      </c>
      <c r="CH603" s="23">
        <f>20/1000</f>
        <v>0.02</v>
      </c>
      <c r="CI603" s="23" t="s">
        <v>23</v>
      </c>
      <c r="CJ603" s="23">
        <f t="shared" si="22"/>
        <v>0.11880000000000002</v>
      </c>
    </row>
    <row r="604" spans="80:90" x14ac:dyDescent="0.25">
      <c r="CB604" s="149" t="s">
        <v>93</v>
      </c>
      <c r="CC604" s="158">
        <v>100</v>
      </c>
      <c r="CD604" s="104" t="s">
        <v>10</v>
      </c>
      <c r="CE604" s="23">
        <f>1/100</f>
        <v>0.01</v>
      </c>
      <c r="CF604" s="23">
        <f t="shared" si="21"/>
        <v>1</v>
      </c>
      <c r="CG604" s="23" t="s">
        <v>16</v>
      </c>
      <c r="CH604" s="23">
        <f>1/117.5</f>
        <v>8.5106382978723406E-3</v>
      </c>
      <c r="CI604" s="23" t="s">
        <v>22</v>
      </c>
      <c r="CJ604" s="23">
        <f>CF604*CH604</f>
        <v>8.5106382978723406E-3</v>
      </c>
    </row>
    <row r="605" spans="80:90" x14ac:dyDescent="0.25">
      <c r="CB605" s="137" t="s">
        <v>130</v>
      </c>
      <c r="CC605" s="158">
        <f>26177.96</f>
        <v>26177.96</v>
      </c>
      <c r="CD605" s="104" t="s">
        <v>10</v>
      </c>
      <c r="CE605" s="23">
        <f>1/100</f>
        <v>0.01</v>
      </c>
      <c r="CF605" s="23">
        <f t="shared" si="21"/>
        <v>261.77960000000002</v>
      </c>
      <c r="CG605" s="23" t="s">
        <v>16</v>
      </c>
      <c r="CH605" s="23">
        <v>7.7585999999999999E-5</v>
      </c>
      <c r="CI605" s="23" t="s">
        <v>22</v>
      </c>
      <c r="CJ605" s="23">
        <f>CF605*CH605</f>
        <v>2.0310432045599999E-2</v>
      </c>
      <c r="CK605" s="408" t="s">
        <v>203</v>
      </c>
      <c r="CL605" s="408"/>
    </row>
    <row r="606" spans="80:90" x14ac:dyDescent="0.25">
      <c r="CB606" s="137" t="s">
        <v>132</v>
      </c>
      <c r="CC606" s="151">
        <f>227*227</f>
        <v>51529</v>
      </c>
      <c r="CD606" s="131" t="s">
        <v>9</v>
      </c>
      <c r="CE606" s="39">
        <f>0.0001</f>
        <v>1E-4</v>
      </c>
      <c r="CF606" s="39">
        <f t="shared" si="21"/>
        <v>5.1528999999999998</v>
      </c>
      <c r="CG606" s="39" t="s">
        <v>17</v>
      </c>
      <c r="CH606" s="39">
        <v>0.1</v>
      </c>
      <c r="CI606" s="39" t="s">
        <v>23</v>
      </c>
      <c r="CJ606" s="39">
        <f>CF606*CH606</f>
        <v>0.51529000000000003</v>
      </c>
      <c r="CK606" s="4">
        <f>CJ600+CJ601+CJ602+CJ603+CJ604+CJ605+CJ606+CJ607+CJ608+CJ609</f>
        <v>20.463838771101869</v>
      </c>
      <c r="CL606" s="4" t="s">
        <v>18</v>
      </c>
    </row>
    <row r="607" spans="80:90" x14ac:dyDescent="0.25">
      <c r="CB607" s="149" t="s">
        <v>165</v>
      </c>
      <c r="CC607" s="152">
        <f>0.542*0.542*0.3</f>
        <v>8.8129200000000005E-2</v>
      </c>
      <c r="CD607" s="127" t="s">
        <v>26</v>
      </c>
      <c r="CE607" s="71">
        <v>9.9999999999999995E-7</v>
      </c>
      <c r="CF607" s="71">
        <f t="shared" si="21"/>
        <v>8.8129200000000005E-8</v>
      </c>
      <c r="CG607" s="71" t="s">
        <v>15</v>
      </c>
      <c r="CH607" s="71">
        <v>12</v>
      </c>
      <c r="CI607" s="71" t="s">
        <v>13</v>
      </c>
      <c r="CJ607" s="71">
        <f>CF607*CH607</f>
        <v>1.0575504000000001E-6</v>
      </c>
    </row>
    <row r="608" spans="80:90" x14ac:dyDescent="0.25">
      <c r="CB608" s="137" t="s">
        <v>174</v>
      </c>
      <c r="CC608" s="155">
        <v>1</v>
      </c>
      <c r="CD608" s="156" t="s">
        <v>2</v>
      </c>
      <c r="CE608" s="67"/>
      <c r="CF608" s="67"/>
      <c r="CG608" s="139" t="s">
        <v>18</v>
      </c>
      <c r="CH608" s="67"/>
      <c r="CI608" s="139" t="s">
        <v>18</v>
      </c>
      <c r="CJ608" s="71">
        <f>18.552</f>
        <v>18.552</v>
      </c>
    </row>
    <row r="609" spans="80:88" x14ac:dyDescent="0.25">
      <c r="CB609" s="137" t="s">
        <v>175</v>
      </c>
      <c r="CC609" s="152">
        <f>7*4</f>
        <v>28</v>
      </c>
      <c r="CD609" s="138" t="s">
        <v>5</v>
      </c>
      <c r="CE609" s="71"/>
      <c r="CF609" s="71"/>
      <c r="CG609" s="71"/>
      <c r="CH609" s="71">
        <f>1/1000</f>
        <v>1E-3</v>
      </c>
      <c r="CI609" s="139" t="s">
        <v>18</v>
      </c>
      <c r="CJ609" s="139">
        <f>CC609*CH609</f>
        <v>2.8000000000000001E-2</v>
      </c>
    </row>
    <row r="657" spans="66:74" x14ac:dyDescent="0.25">
      <c r="BR657" s="140">
        <f>(BU666-BN670)</f>
        <v>1.56</v>
      </c>
    </row>
    <row r="661" spans="66:74" x14ac:dyDescent="0.25">
      <c r="BN661" s="18" t="s">
        <v>36</v>
      </c>
    </row>
    <row r="662" spans="66:74" x14ac:dyDescent="0.25">
      <c r="BN662" s="19">
        <v>1E-4</v>
      </c>
    </row>
    <row r="663" spans="66:74" x14ac:dyDescent="0.25">
      <c r="BN663" s="18">
        <f>BN664+BN664*BN662</f>
        <v>2.9607657787888808</v>
      </c>
    </row>
    <row r="664" spans="66:74" x14ac:dyDescent="0.25">
      <c r="BN664" s="130">
        <f>BN623+BY679</f>
        <v>2.9604697318156994</v>
      </c>
      <c r="BU664" s="41" t="s">
        <v>58</v>
      </c>
      <c r="BV664" s="41"/>
    </row>
    <row r="665" spans="66:74" x14ac:dyDescent="0.25">
      <c r="BN665" s="13" t="s">
        <v>34</v>
      </c>
      <c r="BU665" s="25" t="s">
        <v>156</v>
      </c>
      <c r="BV665" s="4"/>
    </row>
    <row r="666" spans="66:74" x14ac:dyDescent="0.25">
      <c r="BN666" s="29" t="s">
        <v>238</v>
      </c>
      <c r="BU666" s="129">
        <f>BY679</f>
        <v>2.9604697318156994</v>
      </c>
      <c r="BV666" s="4" t="s">
        <v>18</v>
      </c>
    </row>
    <row r="667" spans="66:74" x14ac:dyDescent="0.25">
      <c r="BN667" s="14" t="s">
        <v>35</v>
      </c>
      <c r="BQ667" s="404" t="s">
        <v>51</v>
      </c>
      <c r="BR667" s="405"/>
      <c r="BU667" s="12">
        <f>6/1000</f>
        <v>6.0000000000000001E-3</v>
      </c>
      <c r="BV667" s="4" t="s">
        <v>158</v>
      </c>
    </row>
    <row r="668" spans="66:74" x14ac:dyDescent="0.25">
      <c r="BN668" s="130">
        <f>BN664</f>
        <v>2.9604697318156994</v>
      </c>
      <c r="BQ668" s="406" t="s">
        <v>159</v>
      </c>
      <c r="BR668" s="407"/>
    </row>
    <row r="669" spans="66:74" x14ac:dyDescent="0.25">
      <c r="BN669" s="15" t="s">
        <v>36</v>
      </c>
      <c r="BQ669" s="43">
        <f>IF(CJ717-BN664&lt;0,0,CJ717-BN664)</f>
        <v>0</v>
      </c>
      <c r="BR669" s="44" t="s">
        <v>18</v>
      </c>
    </row>
    <row r="670" spans="66:74" x14ac:dyDescent="0.25">
      <c r="BN670" s="210">
        <f>BN668-CJ717</f>
        <v>1.4004697318156993</v>
      </c>
      <c r="BO670" s="209"/>
      <c r="BQ670" s="43">
        <f>BQ669</f>
        <v>0</v>
      </c>
      <c r="BR670" s="44" t="s">
        <v>18</v>
      </c>
    </row>
    <row r="671" spans="66:74" x14ac:dyDescent="0.25">
      <c r="BN671" s="209" t="s">
        <v>168</v>
      </c>
      <c r="BO671" s="209"/>
    </row>
    <row r="675" spans="73:89" x14ac:dyDescent="0.25">
      <c r="BU675" s="10"/>
      <c r="BV675" s="10"/>
      <c r="BW675" s="10"/>
      <c r="BX675" s="10"/>
      <c r="BY675" s="10"/>
    </row>
    <row r="676" spans="73:89" x14ac:dyDescent="0.25">
      <c r="BU676" s="10"/>
      <c r="BV676" s="10"/>
      <c r="BW676" s="10"/>
      <c r="BX676" s="10"/>
      <c r="BY676" s="48" t="s">
        <v>141</v>
      </c>
    </row>
    <row r="677" spans="73:89" x14ac:dyDescent="0.25">
      <c r="BU677" s="10"/>
      <c r="BV677" s="10"/>
      <c r="BW677" s="10"/>
      <c r="BX677" s="10"/>
      <c r="BY677" s="49" t="s">
        <v>36</v>
      </c>
    </row>
    <row r="678" spans="73:89" x14ac:dyDescent="0.25">
      <c r="BU678" s="10"/>
      <c r="BV678" s="10"/>
      <c r="BW678" s="10"/>
      <c r="BX678" s="10"/>
      <c r="BY678" s="45" t="s">
        <v>54</v>
      </c>
    </row>
    <row r="679" spans="73:89" x14ac:dyDescent="0.25">
      <c r="BU679" s="10"/>
      <c r="BV679" s="10"/>
      <c r="BW679" s="10"/>
      <c r="BX679" s="10"/>
      <c r="BY679" s="121">
        <f>BY680-BY684</f>
        <v>2.9604697318156994</v>
      </c>
    </row>
    <row r="680" spans="73:89" x14ac:dyDescent="0.25">
      <c r="BU680" s="10"/>
      <c r="BV680" s="10"/>
      <c r="BW680" s="10"/>
      <c r="BX680" s="10"/>
      <c r="BY680" s="113">
        <f>BV686</f>
        <v>62.169864368129694</v>
      </c>
    </row>
    <row r="681" spans="73:89" x14ac:dyDescent="0.25">
      <c r="BU681" s="421" t="s">
        <v>139</v>
      </c>
      <c r="BV681" s="421"/>
      <c r="BW681" s="10"/>
      <c r="BX681" s="10"/>
      <c r="BY681" s="47" t="s">
        <v>34</v>
      </c>
      <c r="CJ681" s="419" t="s">
        <v>51</v>
      </c>
      <c r="CK681" s="420"/>
    </row>
    <row r="682" spans="73:89" x14ac:dyDescent="0.25">
      <c r="BU682" s="421"/>
      <c r="BV682" s="421"/>
      <c r="BW682" s="10"/>
      <c r="BX682" s="10"/>
      <c r="BY682" s="118" t="s">
        <v>138</v>
      </c>
      <c r="CJ682" s="142" t="str">
        <f>CK689</f>
        <v>cassata</v>
      </c>
      <c r="CK682" s="143">
        <f>CN681</f>
        <v>0</v>
      </c>
    </row>
    <row r="683" spans="73:89" x14ac:dyDescent="0.25">
      <c r="BU683" s="120" t="s">
        <v>1</v>
      </c>
      <c r="BV683" s="120" t="s">
        <v>1</v>
      </c>
      <c r="BW683" s="116"/>
      <c r="BX683" s="10"/>
      <c r="BY683" s="48" t="s">
        <v>35</v>
      </c>
      <c r="CJ683" s="120">
        <f>CK692</f>
        <v>9.879999999999999</v>
      </c>
      <c r="CK683" s="141" t="str">
        <f>CK691</f>
        <v>en m^3</v>
      </c>
    </row>
    <row r="684" spans="73:89" x14ac:dyDescent="0.25">
      <c r="BU684" s="120">
        <f>BV684</f>
        <v>62.169864368129694</v>
      </c>
      <c r="BV684" s="67">
        <f>BV686</f>
        <v>62.169864368129694</v>
      </c>
      <c r="BW684" s="55"/>
      <c r="BX684" s="10"/>
      <c r="BY684" s="10">
        <f>CH699</f>
        <v>59.209394636313995</v>
      </c>
      <c r="CJ684" s="120">
        <f>CL692</f>
        <v>1580.8</v>
      </c>
      <c r="CK684" s="141" t="str">
        <f>CL691</f>
        <v>en kg</v>
      </c>
    </row>
    <row r="685" spans="73:89" x14ac:dyDescent="0.25">
      <c r="BU685" s="422" t="s">
        <v>251</v>
      </c>
      <c r="BV685" s="10"/>
      <c r="BW685" s="10"/>
      <c r="BX685" s="10"/>
      <c r="BY685" s="50" t="s">
        <v>36</v>
      </c>
    </row>
    <row r="686" spans="73:89" x14ac:dyDescent="0.25">
      <c r="BU686" s="423"/>
      <c r="BV686" s="10">
        <f>BY684+BY684*0.05</f>
        <v>62.169864368129694</v>
      </c>
      <c r="BW686" s="10"/>
      <c r="BX686" s="10"/>
      <c r="BY686" s="117" t="s">
        <v>63</v>
      </c>
    </row>
    <row r="687" spans="73:89" x14ac:dyDescent="0.25">
      <c r="BU687" s="10"/>
      <c r="BV687" s="48"/>
      <c r="BW687" s="10"/>
      <c r="BX687" s="10"/>
      <c r="BY687" s="28"/>
    </row>
    <row r="688" spans="73:89" x14ac:dyDescent="0.25">
      <c r="BU688" s="10"/>
      <c r="BV688" s="10"/>
      <c r="BW688" s="10"/>
      <c r="BX688" s="10"/>
      <c r="BY688" s="16"/>
    </row>
    <row r="689" spans="73:93" x14ac:dyDescent="0.25">
      <c r="BU689" s="10"/>
      <c r="BV689" s="10"/>
      <c r="BW689" s="10"/>
      <c r="BX689" s="10"/>
      <c r="BY689" s="10"/>
      <c r="CK689" s="424" t="s">
        <v>182</v>
      </c>
      <c r="CL689" s="425"/>
    </row>
    <row r="690" spans="73:93" x14ac:dyDescent="0.25">
      <c r="BU690" s="10"/>
      <c r="BV690" s="10"/>
      <c r="BW690" s="10"/>
      <c r="BX690" s="48"/>
      <c r="BY690" s="52">
        <f>BV686-CB685</f>
        <v>62.169864368129694</v>
      </c>
      <c r="CK690" s="426"/>
      <c r="CL690" s="427"/>
    </row>
    <row r="691" spans="73:93" x14ac:dyDescent="0.25">
      <c r="CK691" s="101" t="s">
        <v>50</v>
      </c>
      <c r="CL691" s="101" t="s">
        <v>1</v>
      </c>
    </row>
    <row r="692" spans="73:93" x14ac:dyDescent="0.25">
      <c r="CK692" s="101">
        <f>CE731*CM702</f>
        <v>9.879999999999999</v>
      </c>
      <c r="CL692" s="4">
        <f>CM702*CI731</f>
        <v>1580.8</v>
      </c>
      <c r="CN692" s="14" t="s">
        <v>247</v>
      </c>
    </row>
    <row r="693" spans="73:93" x14ac:dyDescent="0.25">
      <c r="CN693" s="14">
        <f>CJ684+CI709+CJ713</f>
        <v>1581.6367019057457</v>
      </c>
    </row>
    <row r="696" spans="73:93" x14ac:dyDescent="0.25">
      <c r="CH696" s="410" t="s">
        <v>141</v>
      </c>
      <c r="CI696" s="410"/>
    </row>
    <row r="697" spans="73:93" x14ac:dyDescent="0.25">
      <c r="CH697" s="410"/>
      <c r="CI697" s="410"/>
    </row>
    <row r="698" spans="73:93" x14ac:dyDescent="0.25">
      <c r="CH698" s="101" t="s">
        <v>1</v>
      </c>
      <c r="CI698" s="101" t="s">
        <v>1</v>
      </c>
    </row>
    <row r="699" spans="73:93" x14ac:dyDescent="0.25">
      <c r="CH699" s="101">
        <f>CI699</f>
        <v>59.209394636313995</v>
      </c>
      <c r="CI699" s="4">
        <f>CM702*(CI724+CI725+CI727+CI728+CI729+CI730)</f>
        <v>59.209394636313995</v>
      </c>
    </row>
    <row r="700" spans="73:93" x14ac:dyDescent="0.25">
      <c r="CK700">
        <f>CI699+CI705+CI709+CJ713+CJ717</f>
        <v>194.98609654205964</v>
      </c>
      <c r="CM700" s="416" t="s">
        <v>52</v>
      </c>
      <c r="CN700" s="416"/>
    </row>
    <row r="701" spans="73:93" x14ac:dyDescent="0.25">
      <c r="CK701" s="13" t="s">
        <v>34</v>
      </c>
      <c r="CM701" s="417" t="s">
        <v>248</v>
      </c>
      <c r="CN701" s="418"/>
      <c r="CO701" s="127" t="s">
        <v>249</v>
      </c>
    </row>
    <row r="702" spans="73:93" x14ac:dyDescent="0.25">
      <c r="CK702" s="109" t="s">
        <v>160</v>
      </c>
      <c r="CM702" s="223">
        <v>65</v>
      </c>
      <c r="CN702" s="4" t="s">
        <v>27</v>
      </c>
    </row>
    <row r="703" spans="73:93" x14ac:dyDescent="0.25">
      <c r="CH703" s="410" t="s">
        <v>134</v>
      </c>
      <c r="CI703" s="410"/>
      <c r="CK703" s="14" t="s">
        <v>35</v>
      </c>
      <c r="CM703" s="4">
        <f>CM702*CJ728</f>
        <v>1775.7860965420596</v>
      </c>
      <c r="CN703" s="4" t="s">
        <v>28</v>
      </c>
    </row>
    <row r="704" spans="73:93" x14ac:dyDescent="0.25">
      <c r="CH704" s="101" t="s">
        <v>50</v>
      </c>
      <c r="CI704" s="101" t="s">
        <v>1</v>
      </c>
      <c r="CK704">
        <f>CM703</f>
        <v>1775.7860965420596</v>
      </c>
    </row>
    <row r="705" spans="78:92" x14ac:dyDescent="0.25">
      <c r="CH705" s="11">
        <f>CM702*CE722</f>
        <v>7.4099999999999993</v>
      </c>
      <c r="CI705" s="289">
        <f>CM702*(CI722)</f>
        <v>133.37999999999997</v>
      </c>
      <c r="CK705" s="15" t="s">
        <v>36</v>
      </c>
    </row>
    <row r="706" spans="78:92" x14ac:dyDescent="0.25">
      <c r="CK706" s="1">
        <f>CK700-CK704</f>
        <v>-1580.8</v>
      </c>
    </row>
    <row r="707" spans="78:92" x14ac:dyDescent="0.25">
      <c r="CH707" s="410" t="s">
        <v>98</v>
      </c>
      <c r="CI707" s="410"/>
      <c r="CK707" s="28" t="s">
        <v>45</v>
      </c>
    </row>
    <row r="708" spans="78:92" x14ac:dyDescent="0.25">
      <c r="CH708" s="101" t="s">
        <v>30</v>
      </c>
      <c r="CI708" s="101" t="s">
        <v>1</v>
      </c>
    </row>
    <row r="709" spans="78:92" x14ac:dyDescent="0.25">
      <c r="CH709" s="101">
        <f>CM702*CE726</f>
        <v>65</v>
      </c>
      <c r="CI709" s="4">
        <f>CM702*(CI726)</f>
        <v>0.55319148936170215</v>
      </c>
    </row>
    <row r="711" spans="78:92" x14ac:dyDescent="0.25">
      <c r="CE711" s="409" t="s">
        <v>51</v>
      </c>
      <c r="CF711" s="409"/>
      <c r="CG711" s="144"/>
      <c r="CI711" s="410" t="s">
        <v>137</v>
      </c>
      <c r="CJ711" s="410"/>
    </row>
    <row r="712" spans="78:92" x14ac:dyDescent="0.25">
      <c r="CE712" s="142" t="s">
        <v>98</v>
      </c>
      <c r="CF712" s="143" t="str">
        <f>CI711</f>
        <v>Hilo</v>
      </c>
      <c r="CG712" s="103"/>
      <c r="CI712" s="101" t="s">
        <v>30</v>
      </c>
      <c r="CJ712" s="101" t="s">
        <v>1</v>
      </c>
      <c r="CM712" s="140"/>
      <c r="CN712" t="s">
        <v>91</v>
      </c>
    </row>
    <row r="713" spans="78:92" x14ac:dyDescent="0.25">
      <c r="CA713" s="411" t="s">
        <v>51</v>
      </c>
      <c r="CB713" s="412"/>
      <c r="CE713" s="120">
        <f>CI709</f>
        <v>0.55319148936170215</v>
      </c>
      <c r="CF713" s="141">
        <f>CJ713</f>
        <v>0.28351041638399999</v>
      </c>
      <c r="CG713" s="4" t="s">
        <v>18</v>
      </c>
      <c r="CI713" s="101">
        <f>CE723*CM702</f>
        <v>3654.1440000000002</v>
      </c>
      <c r="CJ713" s="4">
        <f>CM702*(CI723)</f>
        <v>0.28351041638399999</v>
      </c>
    </row>
    <row r="714" spans="78:92" x14ac:dyDescent="0.25">
      <c r="CA714" s="413"/>
      <c r="CB714" s="414"/>
      <c r="CE714" s="120">
        <f>CH709</f>
        <v>65</v>
      </c>
      <c r="CF714" s="141">
        <f>CI713</f>
        <v>3654.1440000000002</v>
      </c>
      <c r="CG714" s="4" t="s">
        <v>16</v>
      </c>
    </row>
    <row r="715" spans="78:92" x14ac:dyDescent="0.25">
      <c r="CA715" s="101" t="s">
        <v>50</v>
      </c>
      <c r="CB715" s="101" t="s">
        <v>1</v>
      </c>
      <c r="CC715" s="101" t="s">
        <v>42</v>
      </c>
      <c r="CI715" s="410" t="s">
        <v>161</v>
      </c>
      <c r="CJ715" s="410"/>
    </row>
    <row r="716" spans="78:92" x14ac:dyDescent="0.25">
      <c r="CA716" s="27"/>
      <c r="CB716" s="4"/>
      <c r="CC716" s="101"/>
      <c r="CI716" s="101" t="s">
        <v>4</v>
      </c>
      <c r="CJ716" s="101" t="s">
        <v>1</v>
      </c>
    </row>
    <row r="717" spans="78:92" x14ac:dyDescent="0.25">
      <c r="BZ717" s="14" t="s">
        <v>252</v>
      </c>
      <c r="CA717" s="14">
        <f>CH705</f>
        <v>7.4099999999999993</v>
      </c>
      <c r="CB717" s="14">
        <f>CI705</f>
        <v>133.37999999999997</v>
      </c>
      <c r="CI717" s="101">
        <f>CM702*4</f>
        <v>260</v>
      </c>
      <c r="CJ717" s="4">
        <f>CI732*CM702</f>
        <v>1.56</v>
      </c>
    </row>
    <row r="720" spans="78:92" x14ac:dyDescent="0.25">
      <c r="CB720" s="415" t="str">
        <f>CM701</f>
        <v>C. Cassata 100 x190</v>
      </c>
      <c r="CC720" s="415"/>
      <c r="CD720" s="4" t="s">
        <v>19</v>
      </c>
      <c r="CE720" s="101" t="s">
        <v>20</v>
      </c>
      <c r="CF720" s="101" t="s">
        <v>2</v>
      </c>
      <c r="CG720" s="101" t="s">
        <v>21</v>
      </c>
      <c r="CH720" s="101" t="s">
        <v>2</v>
      </c>
      <c r="CI720" s="11" t="s">
        <v>24</v>
      </c>
    </row>
    <row r="721" spans="79:89" x14ac:dyDescent="0.25">
      <c r="CA721" s="101"/>
      <c r="CB721" s="104"/>
      <c r="CC721" s="104"/>
      <c r="CD721" s="23"/>
      <c r="CE721" s="23"/>
      <c r="CF721" s="23"/>
      <c r="CG721" s="23"/>
      <c r="CH721" s="23"/>
      <c r="CI721" s="39"/>
    </row>
    <row r="722" spans="79:89" x14ac:dyDescent="0.25">
      <c r="CA722" s="27" t="s">
        <v>128</v>
      </c>
      <c r="CB722" s="104">
        <f>(100*190*3)*2</f>
        <v>114000</v>
      </c>
      <c r="CC722" s="104" t="s">
        <v>26</v>
      </c>
      <c r="CD722" s="23">
        <v>9.9999999999999995E-7</v>
      </c>
      <c r="CE722" s="23">
        <f t="shared" ref="CE722:CE729" si="23">CB722*CD722</f>
        <v>0.11399999999999999</v>
      </c>
      <c r="CF722" s="23" t="s">
        <v>15</v>
      </c>
      <c r="CG722" s="23">
        <v>18</v>
      </c>
      <c r="CH722" s="23" t="s">
        <v>13</v>
      </c>
      <c r="CI722" s="23">
        <f>CE722*CG722</f>
        <v>2.0519999999999996</v>
      </c>
    </row>
    <row r="723" spans="79:89" x14ac:dyDescent="0.25">
      <c r="CA723" s="27" t="s">
        <v>130</v>
      </c>
      <c r="CB723" s="104">
        <f>5621.76</f>
        <v>5621.76</v>
      </c>
      <c r="CC723" s="104" t="s">
        <v>10</v>
      </c>
      <c r="CD723" s="23">
        <f>1/100</f>
        <v>0.01</v>
      </c>
      <c r="CE723" s="23">
        <f t="shared" si="23"/>
        <v>56.217600000000004</v>
      </c>
      <c r="CF723" s="23" t="s">
        <v>16</v>
      </c>
      <c r="CG723" s="23">
        <v>7.7585999999999999E-5</v>
      </c>
      <c r="CH723" s="23" t="s">
        <v>22</v>
      </c>
      <c r="CI723" s="23">
        <f t="shared" ref="CI723:CI725" si="24">CE723*CG723</f>
        <v>4.3616987136000001E-3</v>
      </c>
    </row>
    <row r="724" spans="79:89" x14ac:dyDescent="0.25">
      <c r="CA724" s="27" t="s">
        <v>164</v>
      </c>
      <c r="CB724" s="104">
        <f>210*210*0.3</f>
        <v>13230</v>
      </c>
      <c r="CC724" s="104" t="s">
        <v>26</v>
      </c>
      <c r="CD724" s="23">
        <v>9.9999999999999995E-7</v>
      </c>
      <c r="CE724" s="23">
        <f t="shared" si="23"/>
        <v>1.3229999999999999E-2</v>
      </c>
      <c r="CF724" s="23" t="s">
        <v>15</v>
      </c>
      <c r="CG724" s="23">
        <v>12</v>
      </c>
      <c r="CH724" s="23" t="s">
        <v>13</v>
      </c>
      <c r="CI724" s="23">
        <f t="shared" si="24"/>
        <v>0.15875999999999998</v>
      </c>
    </row>
    <row r="725" spans="79:89" x14ac:dyDescent="0.25">
      <c r="CA725" s="27" t="s">
        <v>127</v>
      </c>
      <c r="CB725" s="104">
        <f>56000</f>
        <v>56000</v>
      </c>
      <c r="CC725" s="104" t="s">
        <v>9</v>
      </c>
      <c r="CD725" s="23">
        <f>0.0001</f>
        <v>1E-4</v>
      </c>
      <c r="CE725" s="23">
        <f t="shared" si="23"/>
        <v>5.6000000000000005</v>
      </c>
      <c r="CF725" s="23" t="s">
        <v>17</v>
      </c>
      <c r="CG725" s="23">
        <f>20/1000</f>
        <v>0.02</v>
      </c>
      <c r="CH725" s="23" t="s">
        <v>23</v>
      </c>
      <c r="CI725" s="23">
        <f t="shared" si="24"/>
        <v>0.11200000000000002</v>
      </c>
    </row>
    <row r="726" spans="79:89" x14ac:dyDescent="0.25">
      <c r="CA726" s="27" t="s">
        <v>93</v>
      </c>
      <c r="CB726" s="104">
        <v>100</v>
      </c>
      <c r="CC726" s="104" t="s">
        <v>10</v>
      </c>
      <c r="CD726" s="23">
        <f>1/100</f>
        <v>0.01</v>
      </c>
      <c r="CE726" s="23">
        <f t="shared" si="23"/>
        <v>1</v>
      </c>
      <c r="CF726" s="23" t="s">
        <v>16</v>
      </c>
      <c r="CG726" s="23">
        <f>1/117.5</f>
        <v>8.5106382978723406E-3</v>
      </c>
      <c r="CH726" s="23" t="s">
        <v>22</v>
      </c>
      <c r="CI726" s="23">
        <f>CE726*CG726</f>
        <v>8.5106382978723406E-3</v>
      </c>
    </row>
    <row r="727" spans="79:89" x14ac:dyDescent="0.25">
      <c r="CA727" s="132" t="s">
        <v>130</v>
      </c>
      <c r="CB727" s="104">
        <f>2400.96</f>
        <v>2400.96</v>
      </c>
      <c r="CC727" s="104" t="s">
        <v>10</v>
      </c>
      <c r="CD727" s="23">
        <f>1/100</f>
        <v>0.01</v>
      </c>
      <c r="CE727" s="23">
        <f t="shared" si="23"/>
        <v>24.009600000000002</v>
      </c>
      <c r="CF727" s="23" t="s">
        <v>16</v>
      </c>
      <c r="CG727" s="23">
        <v>7.7585999999999999E-5</v>
      </c>
      <c r="CH727" s="23" t="s">
        <v>22</v>
      </c>
      <c r="CI727" s="23">
        <f>CE727*CG727</f>
        <v>1.8628088256000001E-3</v>
      </c>
      <c r="CJ727" s="408" t="s">
        <v>250</v>
      </c>
      <c r="CK727" s="408"/>
    </row>
    <row r="728" spans="79:89" x14ac:dyDescent="0.25">
      <c r="CA728" s="132" t="s">
        <v>132</v>
      </c>
      <c r="CB728" s="131">
        <f>227*227</f>
        <v>51529</v>
      </c>
      <c r="CC728" s="131" t="s">
        <v>9</v>
      </c>
      <c r="CD728" s="39">
        <f>0.0001</f>
        <v>1E-4</v>
      </c>
      <c r="CE728" s="39">
        <f t="shared" si="23"/>
        <v>5.1528999999999998</v>
      </c>
      <c r="CF728" s="39" t="s">
        <v>17</v>
      </c>
      <c r="CG728" s="39">
        <v>0.1</v>
      </c>
      <c r="CH728" s="39" t="s">
        <v>23</v>
      </c>
      <c r="CI728" s="39">
        <f>CE728*CG728</f>
        <v>0.51529000000000003</v>
      </c>
      <c r="CJ728" s="4">
        <f>CI722+CI723+CI724+CI725+CI726+CI727+CI728+CI729+CI730+CI731+CI732</f>
        <v>27.319786100647072</v>
      </c>
      <c r="CK728" s="4" t="s">
        <v>18</v>
      </c>
    </row>
    <row r="729" spans="79:89" x14ac:dyDescent="0.25">
      <c r="CA729" s="108" t="s">
        <v>165</v>
      </c>
      <c r="CB729" s="71">
        <f>0.515*0.515*0.3</f>
        <v>7.9567499999999999E-2</v>
      </c>
      <c r="CC729" s="127" t="s">
        <v>26</v>
      </c>
      <c r="CD729" s="71">
        <v>9.9999999999999995E-7</v>
      </c>
      <c r="CE729" s="71">
        <f t="shared" si="23"/>
        <v>7.9567500000000001E-8</v>
      </c>
      <c r="CF729" s="71" t="s">
        <v>15</v>
      </c>
      <c r="CG729" s="71">
        <v>12</v>
      </c>
      <c r="CH729" s="71" t="s">
        <v>13</v>
      </c>
      <c r="CI729" s="71">
        <f>CE729*CG729</f>
        <v>9.5481000000000001E-7</v>
      </c>
    </row>
    <row r="730" spans="79:89" x14ac:dyDescent="0.25">
      <c r="CA730" s="134" t="s">
        <v>166</v>
      </c>
      <c r="CB730" s="135"/>
      <c r="CC730" s="135"/>
      <c r="CD730" s="135"/>
      <c r="CE730" s="136">
        <v>1.23</v>
      </c>
      <c r="CF730" s="136" t="s">
        <v>17</v>
      </c>
      <c r="CG730" s="136">
        <v>0.1</v>
      </c>
      <c r="CH730" s="136" t="s">
        <v>22</v>
      </c>
      <c r="CI730" s="136">
        <f>CE730*CG730</f>
        <v>0.123</v>
      </c>
    </row>
    <row r="731" spans="79:89" x14ac:dyDescent="0.25">
      <c r="CA731" s="137" t="s">
        <v>182</v>
      </c>
      <c r="CB731" s="14">
        <f>190*100*8</f>
        <v>152000</v>
      </c>
      <c r="CC731" s="104" t="s">
        <v>26</v>
      </c>
      <c r="CD731" s="23">
        <v>9.9999999999999995E-7</v>
      </c>
      <c r="CE731" s="23">
        <f>CB731*CD731</f>
        <v>0.152</v>
      </c>
      <c r="CF731" s="23" t="s">
        <v>15</v>
      </c>
      <c r="CG731" s="23">
        <v>80</v>
      </c>
      <c r="CH731" s="133" t="s">
        <v>13</v>
      </c>
      <c r="CI731" s="133">
        <f>CG731*CE731*2</f>
        <v>24.32</v>
      </c>
    </row>
    <row r="732" spans="79:89" x14ac:dyDescent="0.25">
      <c r="CA732" s="137" t="s">
        <v>167</v>
      </c>
      <c r="CB732" s="71">
        <f>6*4</f>
        <v>24</v>
      </c>
      <c r="CC732" s="138" t="s">
        <v>5</v>
      </c>
      <c r="CD732" s="71"/>
      <c r="CE732" s="71"/>
      <c r="CF732" s="71"/>
      <c r="CG732" s="71">
        <f>1/1000</f>
        <v>1E-3</v>
      </c>
      <c r="CH732" s="139" t="s">
        <v>18</v>
      </c>
      <c r="CI732" s="139">
        <f>CB732*CG732</f>
        <v>2.4E-2</v>
      </c>
    </row>
    <row r="759" spans="75:96" x14ac:dyDescent="0.25">
      <c r="BW759" s="224"/>
    </row>
    <row r="760" spans="75:96" x14ac:dyDescent="0.25">
      <c r="BW760" s="224"/>
    </row>
    <row r="761" spans="75:96" x14ac:dyDescent="0.25">
      <c r="BW761" s="224"/>
    </row>
    <row r="762" spans="75:96" x14ac:dyDescent="0.25">
      <c r="BW762" s="224"/>
    </row>
    <row r="763" spans="75:96" x14ac:dyDescent="0.25">
      <c r="BW763" s="224"/>
    </row>
    <row r="764" spans="75:96" x14ac:dyDescent="0.25">
      <c r="BW764" s="224"/>
    </row>
    <row r="765" spans="75:96" x14ac:dyDescent="0.25">
      <c r="BW765" s="224"/>
    </row>
    <row r="766" spans="75:96" x14ac:dyDescent="0.25">
      <c r="BW766" s="224"/>
      <c r="BX766" s="224"/>
      <c r="BY766" s="224"/>
      <c r="BZ766" s="224"/>
      <c r="CA766" s="224"/>
      <c r="CB766" s="224"/>
      <c r="CC766" s="224"/>
      <c r="CD766" s="224"/>
      <c r="CE766" s="224"/>
      <c r="CF766" s="224"/>
      <c r="CG766" s="224"/>
      <c r="CH766" s="224"/>
      <c r="CI766" s="224"/>
      <c r="CJ766" s="224"/>
      <c r="CK766" s="224"/>
      <c r="CL766" s="224"/>
      <c r="CM766" s="224"/>
      <c r="CN766" s="225" t="s">
        <v>247</v>
      </c>
      <c r="CO766" s="224"/>
      <c r="CP766" s="224"/>
      <c r="CQ766" s="224"/>
      <c r="CR766" s="224"/>
    </row>
    <row r="767" spans="75:96" x14ac:dyDescent="0.25">
      <c r="BW767" s="224"/>
      <c r="BX767" s="224"/>
      <c r="BY767" s="224"/>
      <c r="BZ767" s="224"/>
      <c r="CA767" s="224"/>
      <c r="CB767" s="224"/>
      <c r="CC767" s="224"/>
      <c r="CD767" s="224"/>
      <c r="CE767" s="224"/>
      <c r="CF767" s="224"/>
      <c r="CG767" s="224"/>
      <c r="CH767" s="224"/>
      <c r="CI767" s="224"/>
      <c r="CJ767" s="224"/>
      <c r="CK767" s="224"/>
      <c r="CL767" s="224"/>
      <c r="CM767" s="224"/>
      <c r="CN767" s="225">
        <f>CJ791+CJ787</f>
        <v>4986.3386819999996</v>
      </c>
      <c r="CO767" s="224"/>
      <c r="CP767" s="224"/>
      <c r="CQ767" s="224"/>
      <c r="CR767" s="224"/>
    </row>
    <row r="768" spans="75:96" x14ac:dyDescent="0.25">
      <c r="BW768" s="224"/>
      <c r="BX768" s="224"/>
      <c r="BY768" s="224"/>
      <c r="BZ768" s="224"/>
      <c r="CA768" s="224"/>
      <c r="CB768" s="224"/>
      <c r="CC768" s="224"/>
      <c r="CD768" s="224"/>
      <c r="CE768" s="224"/>
      <c r="CF768" s="224"/>
      <c r="CG768" s="224"/>
      <c r="CH768" s="224"/>
      <c r="CI768" s="224"/>
      <c r="CJ768" s="224"/>
      <c r="CK768" s="224"/>
      <c r="CL768" s="224"/>
      <c r="CM768" s="224"/>
      <c r="CN768" s="224"/>
      <c r="CO768" s="224"/>
      <c r="CP768" s="224"/>
      <c r="CQ768" s="224"/>
      <c r="CR768" s="224"/>
    </row>
    <row r="769" spans="75:96" x14ac:dyDescent="0.25">
      <c r="BW769" s="224"/>
      <c r="BX769" s="224"/>
      <c r="BY769" s="224"/>
      <c r="BZ769" s="224"/>
      <c r="CA769" s="224"/>
      <c r="CB769" s="224"/>
      <c r="CC769" s="224"/>
      <c r="CD769" s="224"/>
      <c r="CE769" s="224"/>
      <c r="CF769" s="224"/>
      <c r="CG769" s="224"/>
      <c r="CH769" s="224"/>
      <c r="CI769" s="224"/>
      <c r="CJ769" s="224"/>
      <c r="CK769" s="224"/>
      <c r="CL769" s="224"/>
      <c r="CM769" s="224"/>
      <c r="CN769" s="224"/>
      <c r="CO769" s="224"/>
      <c r="CP769" s="224"/>
      <c r="CQ769" s="224"/>
      <c r="CR769" s="224"/>
    </row>
    <row r="770" spans="75:96" x14ac:dyDescent="0.25">
      <c r="BW770" s="224"/>
      <c r="BX770" s="224"/>
      <c r="BY770" s="224"/>
      <c r="BZ770" s="224"/>
      <c r="CA770" s="224"/>
      <c r="CB770" s="224"/>
      <c r="CC770" s="224"/>
      <c r="CD770" s="224"/>
      <c r="CE770" s="224"/>
      <c r="CF770" s="224"/>
      <c r="CG770" s="224"/>
      <c r="CH770" s="224"/>
      <c r="CI770" s="224"/>
      <c r="CJ770" s="224"/>
      <c r="CK770" s="224"/>
      <c r="CL770" s="224"/>
      <c r="CM770" s="224"/>
      <c r="CN770" s="224"/>
      <c r="CO770" s="224"/>
      <c r="CP770" s="224"/>
      <c r="CQ770" s="224"/>
      <c r="CR770" s="224"/>
    </row>
    <row r="771" spans="75:96" x14ac:dyDescent="0.25">
      <c r="BW771" s="224"/>
      <c r="BX771" s="224"/>
      <c r="BY771" s="224"/>
      <c r="BZ771" s="224"/>
      <c r="CA771" s="224"/>
      <c r="CB771" s="224"/>
      <c r="CC771" s="224"/>
      <c r="CD771" s="224"/>
      <c r="CE771" s="224"/>
      <c r="CF771" s="224"/>
      <c r="CG771" s="224"/>
      <c r="CH771" s="224"/>
      <c r="CI771" s="224"/>
      <c r="CJ771" s="224"/>
      <c r="CK771" s="224"/>
      <c r="CL771" s="224"/>
      <c r="CM771" s="224"/>
      <c r="CN771" s="224"/>
      <c r="CO771" s="224"/>
      <c r="CP771" s="224"/>
      <c r="CQ771" s="224"/>
      <c r="CR771" s="224"/>
    </row>
    <row r="772" spans="75:96" x14ac:dyDescent="0.25">
      <c r="BW772" s="224"/>
      <c r="BX772" s="224"/>
      <c r="BY772" s="224"/>
      <c r="BZ772" s="224"/>
      <c r="CA772" s="224"/>
      <c r="CB772" s="224"/>
      <c r="CC772" s="224"/>
      <c r="CD772" s="224"/>
      <c r="CE772" s="224"/>
      <c r="CF772" s="224"/>
      <c r="CG772" s="224"/>
      <c r="CH772" s="224"/>
      <c r="CI772" s="224"/>
      <c r="CJ772" s="224"/>
      <c r="CK772" s="224"/>
      <c r="CL772" s="224"/>
      <c r="CM772" s="224"/>
      <c r="CN772" s="224"/>
      <c r="CO772" s="224"/>
      <c r="CP772" s="224"/>
      <c r="CQ772" s="224"/>
      <c r="CR772" s="224"/>
    </row>
    <row r="773" spans="75:96" x14ac:dyDescent="0.25">
      <c r="BW773" s="224"/>
      <c r="BX773" s="224"/>
      <c r="BY773" s="224"/>
      <c r="BZ773" s="224"/>
      <c r="CA773" s="224"/>
      <c r="CB773" s="224"/>
      <c r="CC773" s="224"/>
      <c r="CD773" s="224"/>
      <c r="CE773" s="224"/>
      <c r="CF773" s="224"/>
      <c r="CG773" s="224"/>
      <c r="CH773" s="224"/>
      <c r="CI773" s="224"/>
      <c r="CJ773" s="224"/>
      <c r="CK773" s="224"/>
      <c r="CL773" s="224"/>
      <c r="CM773" s="224"/>
      <c r="CN773" s="224"/>
      <c r="CO773" s="224"/>
      <c r="CP773" s="224"/>
      <c r="CQ773" s="224"/>
      <c r="CR773" s="224"/>
    </row>
    <row r="774" spans="75:96" x14ac:dyDescent="0.25">
      <c r="BW774" s="224"/>
      <c r="BX774" s="224"/>
      <c r="BY774" s="224"/>
      <c r="BZ774" s="224"/>
      <c r="CA774" s="224"/>
      <c r="CB774" s="224"/>
      <c r="CC774" s="224"/>
      <c r="CD774" s="224"/>
      <c r="CE774" s="224"/>
      <c r="CF774" s="224"/>
      <c r="CG774" s="224"/>
      <c r="CH774" s="224"/>
      <c r="CI774" s="224"/>
      <c r="CJ774" s="224"/>
      <c r="CK774" s="224"/>
      <c r="CL774" s="224"/>
      <c r="CM774" s="387" t="s">
        <v>52</v>
      </c>
      <c r="CN774" s="388"/>
      <c r="CO774" s="224"/>
      <c r="CP774" s="224"/>
      <c r="CQ774" s="224"/>
      <c r="CR774" s="224"/>
    </row>
    <row r="775" spans="75:96" x14ac:dyDescent="0.25">
      <c r="BW775" s="224"/>
      <c r="BX775" s="224"/>
      <c r="BY775" s="224"/>
      <c r="BZ775" s="224"/>
      <c r="CA775" s="224"/>
      <c r="CB775" s="224"/>
      <c r="CC775" s="224"/>
      <c r="CD775" s="224"/>
      <c r="CE775" s="224"/>
      <c r="CF775" s="224"/>
      <c r="CG775" s="224"/>
      <c r="CH775" s="224"/>
      <c r="CI775" s="224"/>
      <c r="CJ775" s="224"/>
      <c r="CK775" s="291" t="s">
        <v>34</v>
      </c>
      <c r="CL775" s="224"/>
      <c r="CM775" s="389" t="s">
        <v>263</v>
      </c>
      <c r="CN775" s="390"/>
      <c r="CO775" s="138" t="s">
        <v>267</v>
      </c>
      <c r="CP775" s="224"/>
      <c r="CQ775" s="224"/>
      <c r="CR775" s="224"/>
    </row>
    <row r="776" spans="75:96" x14ac:dyDescent="0.25">
      <c r="BW776" s="224"/>
      <c r="BX776" s="224"/>
      <c r="BY776" s="224"/>
      <c r="BZ776" s="224"/>
      <c r="CA776" s="224"/>
      <c r="CB776" s="224"/>
      <c r="CC776" s="224"/>
      <c r="CD776" s="224"/>
      <c r="CE776" s="224"/>
      <c r="CF776" s="224"/>
      <c r="CG776" s="224"/>
      <c r="CH776" s="224"/>
      <c r="CI776" s="224"/>
      <c r="CJ776" s="224"/>
      <c r="CK776" s="292" t="s">
        <v>256</v>
      </c>
      <c r="CL776" s="224"/>
      <c r="CM776" s="293">
        <v>276</v>
      </c>
      <c r="CN776" s="289" t="s">
        <v>27</v>
      </c>
      <c r="CO776" s="224"/>
      <c r="CP776" s="224"/>
      <c r="CQ776" s="224"/>
      <c r="CR776" s="224"/>
    </row>
    <row r="777" spans="75:96" x14ac:dyDescent="0.25">
      <c r="BW777" s="224"/>
      <c r="BX777" s="224"/>
      <c r="BY777" s="224"/>
      <c r="BZ777" s="224"/>
      <c r="CA777" s="224"/>
      <c r="CB777" s="224"/>
      <c r="CC777" s="224"/>
      <c r="CD777" s="224"/>
      <c r="CE777" s="224"/>
      <c r="CF777" s="224"/>
      <c r="CG777" s="224"/>
      <c r="CH777" s="396" t="s">
        <v>257</v>
      </c>
      <c r="CI777" s="397"/>
      <c r="CJ777" s="224"/>
      <c r="CK777" s="225" t="s">
        <v>35</v>
      </c>
      <c r="CL777" s="224"/>
      <c r="CM777" s="289">
        <f>CM776*CJ802</f>
        <v>5378.4119999999994</v>
      </c>
      <c r="CN777" s="289" t="s">
        <v>28</v>
      </c>
      <c r="CO777" s="224"/>
      <c r="CP777" s="224"/>
      <c r="CQ777" s="224"/>
      <c r="CR777" s="224"/>
    </row>
    <row r="778" spans="75:96" x14ac:dyDescent="0.25">
      <c r="BW778" s="224"/>
      <c r="BX778" s="224"/>
      <c r="BY778" s="224"/>
      <c r="BZ778" s="224"/>
      <c r="CA778" s="224"/>
      <c r="CB778" s="224"/>
      <c r="CC778" s="224"/>
      <c r="CD778" s="294"/>
      <c r="CE778" s="224"/>
      <c r="CF778" s="224"/>
      <c r="CG778" s="224"/>
      <c r="CH778" s="11" t="str">
        <f>CF802</f>
        <v>m^2</v>
      </c>
      <c r="CI778" s="11" t="s">
        <v>1</v>
      </c>
      <c r="CJ778" s="224"/>
      <c r="CK778" s="224">
        <f>CM777</f>
        <v>5378.4119999999994</v>
      </c>
      <c r="CL778" s="224"/>
      <c r="CM778" s="224"/>
      <c r="CN778" s="224"/>
      <c r="CO778" s="224"/>
      <c r="CP778" s="224"/>
      <c r="CQ778" s="224"/>
      <c r="CR778" s="224"/>
    </row>
    <row r="779" spans="75:96" x14ac:dyDescent="0.25">
      <c r="BW779" s="224"/>
      <c r="BX779" s="224"/>
      <c r="BY779" s="224"/>
      <c r="BZ779" s="224"/>
      <c r="CA779" s="224"/>
      <c r="CB779" s="224"/>
      <c r="CC779" s="224"/>
      <c r="CD779" s="294" t="s">
        <v>36</v>
      </c>
      <c r="CE779" s="224"/>
      <c r="CF779" s="224"/>
      <c r="CG779" s="224"/>
      <c r="CH779" s="11">
        <f>CE802*CM776</f>
        <v>1130.2200000000003</v>
      </c>
      <c r="CI779" s="289">
        <f>CI802*CM776</f>
        <v>392.07331800000003</v>
      </c>
      <c r="CJ779" s="224"/>
      <c r="CK779" s="295" t="s">
        <v>36</v>
      </c>
      <c r="CL779" s="224"/>
      <c r="CM779" s="224"/>
      <c r="CN779" s="224"/>
      <c r="CO779" s="224"/>
      <c r="CP779" s="224"/>
      <c r="CQ779" s="224"/>
      <c r="CR779" s="224"/>
    </row>
    <row r="780" spans="75:96" x14ac:dyDescent="0.25">
      <c r="BW780" s="224"/>
      <c r="BX780" s="224"/>
      <c r="BY780" s="224"/>
      <c r="BZ780" s="224"/>
      <c r="CA780" s="224"/>
      <c r="CB780" s="224"/>
      <c r="CC780" s="224"/>
      <c r="CD780" s="296">
        <v>1.0000000000000001E-5</v>
      </c>
      <c r="CE780" s="224"/>
      <c r="CF780" s="224"/>
      <c r="CG780" s="224"/>
      <c r="CH780" s="224"/>
      <c r="CI780" s="224"/>
      <c r="CJ780" s="224"/>
      <c r="CK780" s="294">
        <f>CK774-CK778</f>
        <v>-5378.4119999999994</v>
      </c>
      <c r="CL780" s="224"/>
      <c r="CM780" s="224"/>
      <c r="CN780" s="224"/>
      <c r="CO780" s="224"/>
      <c r="CP780" s="224"/>
      <c r="CQ780" s="224"/>
      <c r="CR780" s="224"/>
    </row>
    <row r="781" spans="75:96" x14ac:dyDescent="0.25">
      <c r="BW781" s="224"/>
      <c r="BX781" s="398" t="s">
        <v>51</v>
      </c>
      <c r="BY781" s="399"/>
      <c r="BZ781" s="313"/>
      <c r="CA781" s="224"/>
      <c r="CB781" s="224"/>
      <c r="CC781" s="224"/>
      <c r="CD781" s="294">
        <f>CD782-CD786</f>
        <v>0</v>
      </c>
      <c r="CE781" s="224"/>
      <c r="CF781" s="224"/>
      <c r="CG781" s="224"/>
      <c r="CH781" s="224"/>
      <c r="CI781" s="224"/>
      <c r="CJ781" s="224"/>
      <c r="CK781" s="297" t="s">
        <v>45</v>
      </c>
      <c r="CL781" s="224"/>
      <c r="CM781" s="224"/>
      <c r="CN781" s="224"/>
      <c r="CO781" s="224"/>
      <c r="CP781" s="224"/>
      <c r="CQ781" s="224"/>
      <c r="CR781" s="224"/>
    </row>
    <row r="782" spans="75:96" x14ac:dyDescent="0.25">
      <c r="BW782" s="224"/>
      <c r="BX782" s="298" t="str">
        <f>CA787</f>
        <v>rollo tela dacrón</v>
      </c>
      <c r="BY782" s="299"/>
      <c r="BZ782" s="300"/>
      <c r="CA782" s="224"/>
      <c r="CB782" s="224"/>
      <c r="CC782" s="224"/>
      <c r="CD782" s="294">
        <f>CI779</f>
        <v>392.07331800000003</v>
      </c>
      <c r="CE782" s="224"/>
      <c r="CF782" s="224"/>
      <c r="CG782" s="224"/>
      <c r="CH782" s="224"/>
      <c r="CI782" s="224"/>
      <c r="CJ782" s="224"/>
      <c r="CK782" s="224"/>
      <c r="CL782" s="224"/>
      <c r="CM782" s="224"/>
      <c r="CN782" s="224"/>
      <c r="CO782" s="224"/>
      <c r="CP782" s="224"/>
      <c r="CQ782" s="224"/>
      <c r="CR782" s="224"/>
    </row>
    <row r="783" spans="75:96" x14ac:dyDescent="0.25">
      <c r="BW783" s="224"/>
      <c r="BX783" s="301"/>
      <c r="BY783" s="302">
        <f>CB790</f>
        <v>392.07331800000003</v>
      </c>
      <c r="BZ783" s="289" t="s">
        <v>18</v>
      </c>
      <c r="CA783" s="224"/>
      <c r="CB783" s="224"/>
      <c r="CC783" s="224"/>
      <c r="CD783" s="291" t="s">
        <v>34</v>
      </c>
      <c r="CE783" s="224"/>
      <c r="CF783" s="224"/>
      <c r="CG783" s="224"/>
      <c r="CH783" s="224"/>
      <c r="CI783" s="224"/>
      <c r="CJ783" s="224"/>
      <c r="CK783" s="224"/>
      <c r="CL783" s="224"/>
      <c r="CM783" s="224"/>
      <c r="CN783" s="224"/>
      <c r="CO783" s="224"/>
      <c r="CP783" s="224"/>
      <c r="CQ783" s="224"/>
      <c r="CR783" s="224"/>
    </row>
    <row r="784" spans="75:96" x14ac:dyDescent="0.25">
      <c r="BW784" s="224"/>
      <c r="BX784" s="301"/>
      <c r="BY784" s="302">
        <f>CA790</f>
        <v>1130.2200000000003</v>
      </c>
      <c r="BZ784" s="289" t="s">
        <v>17</v>
      </c>
      <c r="CA784" s="224"/>
      <c r="CB784" s="224"/>
      <c r="CC784" s="224"/>
      <c r="CD784" s="292" t="s">
        <v>264</v>
      </c>
      <c r="CE784" s="224"/>
      <c r="CF784" s="224"/>
      <c r="CG784" s="224"/>
      <c r="CH784" s="224"/>
      <c r="CI784" s="224"/>
      <c r="CJ784" s="224"/>
      <c r="CK784" s="224"/>
      <c r="CL784" s="224"/>
      <c r="CM784" s="224"/>
      <c r="CN784" s="224"/>
      <c r="CO784" s="224"/>
      <c r="CP784" s="224"/>
      <c r="CQ784" s="224"/>
      <c r="CR784" s="224"/>
    </row>
    <row r="785" spans="75:96" x14ac:dyDescent="0.25">
      <c r="BW785" s="224"/>
      <c r="BX785" s="224"/>
      <c r="BY785" s="224"/>
      <c r="BZ785" s="224"/>
      <c r="CA785" s="224"/>
      <c r="CB785" s="224"/>
      <c r="CC785" s="224"/>
      <c r="CD785" s="225" t="s">
        <v>35</v>
      </c>
      <c r="CE785" s="398" t="s">
        <v>51</v>
      </c>
      <c r="CF785" s="399"/>
      <c r="CG785" s="313"/>
      <c r="CH785" s="224"/>
      <c r="CI785" s="396" t="s">
        <v>137</v>
      </c>
      <c r="CJ785" s="397"/>
      <c r="CK785" s="224"/>
      <c r="CL785" s="224"/>
      <c r="CM785" s="224"/>
      <c r="CN785" s="224"/>
      <c r="CO785" s="224"/>
      <c r="CP785" s="224"/>
      <c r="CQ785" s="224"/>
      <c r="CR785" s="224"/>
    </row>
    <row r="786" spans="75:96" x14ac:dyDescent="0.25">
      <c r="BW786" s="224"/>
      <c r="BX786" s="224"/>
      <c r="BY786" s="224"/>
      <c r="BZ786" s="224"/>
      <c r="CA786" s="224"/>
      <c r="CB786" s="224"/>
      <c r="CC786" s="224"/>
      <c r="CD786" s="224">
        <f>CI779</f>
        <v>392.07331800000003</v>
      </c>
      <c r="CE786" s="298" t="str">
        <f>CI785</f>
        <v>Hilo</v>
      </c>
      <c r="CF786" s="299"/>
      <c r="CG786" s="300"/>
      <c r="CH786" s="224"/>
      <c r="CI786" s="11" t="s">
        <v>30</v>
      </c>
      <c r="CJ786" s="11" t="s">
        <v>1</v>
      </c>
      <c r="CK786" s="224"/>
      <c r="CL786" s="224"/>
      <c r="CM786" s="303"/>
      <c r="CN786" s="224" t="s">
        <v>91</v>
      </c>
      <c r="CO786" s="224"/>
      <c r="CP786" s="224"/>
      <c r="CQ786" s="224"/>
      <c r="CR786" s="224"/>
    </row>
    <row r="787" spans="75:96" x14ac:dyDescent="0.25">
      <c r="BW787" s="224"/>
      <c r="BX787" s="224"/>
      <c r="BY787" s="224"/>
      <c r="BZ787" s="224"/>
      <c r="CA787" s="400" t="s">
        <v>259</v>
      </c>
      <c r="CB787" s="401"/>
      <c r="CC787" s="224"/>
      <c r="CD787" s="295" t="s">
        <v>36</v>
      </c>
      <c r="CE787" s="301"/>
      <c r="CF787" s="302">
        <f>CJ787</f>
        <v>1.5674854752</v>
      </c>
      <c r="CG787" s="289" t="s">
        <v>18</v>
      </c>
      <c r="CH787" s="224"/>
      <c r="CI787" s="11">
        <f>CE801*CM776</f>
        <v>20203.2</v>
      </c>
      <c r="CJ787" s="289">
        <f>CI801*CM776</f>
        <v>1.5674854752</v>
      </c>
      <c r="CK787" s="224"/>
      <c r="CL787" s="224"/>
      <c r="CM787" s="224"/>
      <c r="CN787" s="224"/>
      <c r="CO787" s="224"/>
      <c r="CP787" s="224"/>
      <c r="CQ787" s="224"/>
      <c r="CR787" s="224"/>
    </row>
    <row r="788" spans="75:96" x14ac:dyDescent="0.25">
      <c r="BW788" s="224"/>
      <c r="BX788" s="224"/>
      <c r="BY788" s="224"/>
      <c r="BZ788" s="224"/>
      <c r="CA788" s="402"/>
      <c r="CB788" s="403"/>
      <c r="CC788" s="224"/>
      <c r="CD788" s="297" t="s">
        <v>45</v>
      </c>
      <c r="CE788" s="301"/>
      <c r="CF788" s="302">
        <f>CI787</f>
        <v>20203.2</v>
      </c>
      <c r="CG788" s="289" t="s">
        <v>16</v>
      </c>
      <c r="CH788" s="224"/>
      <c r="CI788" s="224"/>
      <c r="CJ788" s="224"/>
      <c r="CK788" s="224"/>
      <c r="CL788" s="224"/>
      <c r="CM788" s="224"/>
      <c r="CN788" s="224"/>
      <c r="CO788" s="224"/>
      <c r="CP788" s="224"/>
      <c r="CQ788" s="224"/>
      <c r="CR788" s="224"/>
    </row>
    <row r="789" spans="75:96" x14ac:dyDescent="0.25">
      <c r="BW789" s="224"/>
      <c r="BX789" s="224"/>
      <c r="BY789" s="224"/>
      <c r="BZ789" s="224"/>
      <c r="CA789" s="11" t="str">
        <f>CH778</f>
        <v>m^2</v>
      </c>
      <c r="CB789" s="11" t="s">
        <v>1</v>
      </c>
      <c r="CC789" s="11" t="s">
        <v>42</v>
      </c>
      <c r="CD789" s="297"/>
      <c r="CE789" s="224"/>
      <c r="CF789" s="224"/>
      <c r="CG789" s="224"/>
      <c r="CH789" s="224"/>
      <c r="CI789" s="396" t="s">
        <v>258</v>
      </c>
      <c r="CJ789" s="397"/>
      <c r="CK789" s="224"/>
      <c r="CL789" s="224"/>
      <c r="CM789" s="224"/>
      <c r="CN789" s="224"/>
      <c r="CO789" s="224"/>
      <c r="CP789" s="224"/>
      <c r="CQ789" s="224"/>
      <c r="CR789" s="224"/>
    </row>
    <row r="790" spans="75:96" x14ac:dyDescent="0.25">
      <c r="BW790" s="224"/>
      <c r="BX790" s="224"/>
      <c r="BY790" s="224"/>
      <c r="BZ790" s="224"/>
      <c r="CA790" s="11">
        <f>CH779</f>
        <v>1130.2200000000003</v>
      </c>
      <c r="CB790" s="289">
        <f>CD782</f>
        <v>392.07331800000003</v>
      </c>
      <c r="CC790" s="11"/>
      <c r="CD790" s="304"/>
      <c r="CE790" s="398" t="s">
        <v>51</v>
      </c>
      <c r="CF790" s="399"/>
      <c r="CG790" s="313"/>
      <c r="CH790" s="224"/>
      <c r="CI790" s="11"/>
      <c r="CJ790" s="11" t="s">
        <v>1</v>
      </c>
      <c r="CK790" s="224"/>
      <c r="CL790" s="224"/>
      <c r="CM790" s="224"/>
      <c r="CN790" s="224"/>
      <c r="CO790" s="224"/>
      <c r="CP790" s="224"/>
      <c r="CQ790" s="224"/>
      <c r="CR790" s="224"/>
    </row>
    <row r="791" spans="75:96" x14ac:dyDescent="0.25">
      <c r="BW791" s="224"/>
      <c r="BX791" s="224"/>
      <c r="BY791" s="224"/>
      <c r="BZ791" s="225"/>
      <c r="CA791" s="225"/>
      <c r="CB791" s="225"/>
      <c r="CC791" s="224"/>
      <c r="CD791" s="224"/>
      <c r="CE791" s="298" t="str">
        <f>CI789</f>
        <v>Algodón industrial</v>
      </c>
      <c r="CF791" s="299"/>
      <c r="CG791" s="300"/>
      <c r="CH791" s="224"/>
      <c r="CI791" s="11"/>
      <c r="CJ791" s="289">
        <f>CI800*CM776</f>
        <v>4984.7711965248</v>
      </c>
      <c r="CK791" s="224"/>
      <c r="CL791" s="224"/>
      <c r="CM791" s="224"/>
      <c r="CN791" s="224"/>
      <c r="CO791" s="224"/>
      <c r="CP791" s="224"/>
      <c r="CQ791" s="224"/>
      <c r="CR791" s="224"/>
    </row>
    <row r="792" spans="75:96" x14ac:dyDescent="0.25">
      <c r="BW792" s="224"/>
      <c r="BX792" s="224"/>
      <c r="BY792" s="224"/>
      <c r="BZ792" s="224"/>
      <c r="CA792" s="224"/>
      <c r="CB792" s="224"/>
      <c r="CC792" s="224"/>
      <c r="CD792" s="305">
        <f>CB790-CI779</f>
        <v>0</v>
      </c>
      <c r="CE792" s="301"/>
      <c r="CF792" s="302">
        <f>CJ791</f>
        <v>4984.7711965248</v>
      </c>
      <c r="CG792" s="289" t="s">
        <v>18</v>
      </c>
      <c r="CH792" s="224"/>
      <c r="CI792" s="224"/>
      <c r="CJ792" s="224"/>
      <c r="CK792" s="224"/>
      <c r="CL792" s="224"/>
      <c r="CM792" s="224"/>
      <c r="CN792" s="224"/>
      <c r="CO792" s="224"/>
      <c r="CP792" s="224"/>
      <c r="CQ792" s="224"/>
      <c r="CR792" s="224"/>
    </row>
    <row r="793" spans="75:96" x14ac:dyDescent="0.25">
      <c r="BW793" s="224"/>
      <c r="BX793" s="224"/>
      <c r="BY793" s="224"/>
      <c r="BZ793" s="224"/>
      <c r="CA793" s="224"/>
      <c r="CB793" s="224"/>
      <c r="CC793" s="224"/>
      <c r="CD793" s="224"/>
      <c r="CE793" s="301"/>
      <c r="CF793" s="302">
        <f>CF792</f>
        <v>4984.7711965248</v>
      </c>
      <c r="CG793" s="289" t="s">
        <v>18</v>
      </c>
      <c r="CH793" s="224"/>
      <c r="CI793" s="224"/>
      <c r="CJ793" s="224"/>
      <c r="CK793" s="224"/>
      <c r="CL793" s="224"/>
      <c r="CM793" s="224"/>
      <c r="CN793" s="224"/>
      <c r="CO793" s="224"/>
      <c r="CP793" s="224"/>
      <c r="CQ793" s="224"/>
      <c r="CR793" s="224"/>
    </row>
    <row r="794" spans="75:96" x14ac:dyDescent="0.25">
      <c r="BW794" s="224"/>
      <c r="BX794" s="224"/>
      <c r="BY794" s="224"/>
      <c r="BZ794" s="224"/>
      <c r="CA794" s="224"/>
      <c r="CB794" s="391" t="str">
        <f>CM775</f>
        <v>C. en algodón</v>
      </c>
      <c r="CC794" s="392"/>
      <c r="CD794" s="289" t="s">
        <v>19</v>
      </c>
      <c r="CE794" s="11" t="s">
        <v>20</v>
      </c>
      <c r="CF794" s="11" t="s">
        <v>2</v>
      </c>
      <c r="CG794" s="11" t="s">
        <v>21</v>
      </c>
      <c r="CH794" s="11" t="s">
        <v>2</v>
      </c>
      <c r="CI794" s="11" t="s">
        <v>24</v>
      </c>
      <c r="CJ794" s="224"/>
      <c r="CK794" s="224"/>
      <c r="CL794" s="224"/>
      <c r="CM794" s="224"/>
      <c r="CN794" s="224"/>
      <c r="CO794" s="224"/>
      <c r="CP794" s="224"/>
      <c r="CQ794" s="224"/>
      <c r="CR794" s="224"/>
    </row>
    <row r="795" spans="75:96" x14ac:dyDescent="0.25">
      <c r="BW795" s="224"/>
      <c r="BX795" s="224"/>
      <c r="BY795" s="224"/>
      <c r="BZ795" s="224"/>
      <c r="CA795" s="11"/>
      <c r="CB795" s="306"/>
      <c r="CC795" s="306"/>
      <c r="CD795" s="307"/>
      <c r="CE795" s="307"/>
      <c r="CF795" s="307"/>
      <c r="CG795" s="307"/>
      <c r="CH795" s="307"/>
      <c r="CI795" s="308"/>
      <c r="CJ795" s="224"/>
      <c r="CK795" s="224"/>
      <c r="CL795" s="224"/>
      <c r="CM795" s="224"/>
      <c r="CN795" s="224"/>
      <c r="CO795" s="224"/>
      <c r="CP795" s="224"/>
      <c r="CQ795" s="224"/>
      <c r="CR795" s="224"/>
    </row>
    <row r="796" spans="75:96" x14ac:dyDescent="0.25">
      <c r="BW796" s="224"/>
      <c r="BX796" s="224"/>
      <c r="BY796" s="224"/>
      <c r="BZ796" s="224"/>
      <c r="CA796" s="132"/>
      <c r="CB796" s="306"/>
      <c r="CC796" s="306"/>
      <c r="CD796" s="307"/>
      <c r="CE796" s="307"/>
      <c r="CF796" s="307"/>
      <c r="CG796" s="307"/>
      <c r="CH796" s="307"/>
      <c r="CI796" s="307"/>
      <c r="CJ796" s="224"/>
      <c r="CK796" s="224"/>
      <c r="CL796" s="224"/>
      <c r="CM796" s="224"/>
      <c r="CN796" s="224"/>
      <c r="CO796" s="224"/>
      <c r="CP796" s="224"/>
      <c r="CQ796" s="224"/>
      <c r="CR796" s="224"/>
    </row>
    <row r="797" spans="75:96" x14ac:dyDescent="0.25">
      <c r="BW797" s="224"/>
      <c r="BX797" s="224"/>
      <c r="BY797" s="224"/>
      <c r="BZ797" s="224"/>
      <c r="CA797" s="132"/>
      <c r="CB797" s="306"/>
      <c r="CC797" s="306"/>
      <c r="CD797" s="307"/>
      <c r="CE797" s="307"/>
      <c r="CF797" s="307"/>
      <c r="CG797" s="307"/>
      <c r="CH797" s="307"/>
      <c r="CI797" s="307"/>
      <c r="CJ797" s="224"/>
      <c r="CK797" s="224"/>
      <c r="CL797" s="224"/>
      <c r="CM797" s="224"/>
      <c r="CN797" s="224"/>
      <c r="CO797" s="224"/>
      <c r="CP797" s="224"/>
      <c r="CQ797" s="224"/>
      <c r="CR797" s="224"/>
    </row>
    <row r="798" spans="75:96" x14ac:dyDescent="0.25">
      <c r="BW798" s="224"/>
      <c r="BX798" s="224"/>
      <c r="BY798" s="224"/>
      <c r="BZ798" s="224"/>
      <c r="CA798" s="132"/>
      <c r="CB798" s="306"/>
      <c r="CC798" s="306"/>
      <c r="CD798" s="307"/>
      <c r="CE798" s="307"/>
      <c r="CF798" s="307"/>
      <c r="CG798" s="307"/>
      <c r="CH798" s="307"/>
      <c r="CI798" s="307"/>
      <c r="CJ798" s="224"/>
      <c r="CK798" s="224"/>
      <c r="CL798" s="224"/>
      <c r="CM798" s="224"/>
      <c r="CN798" s="224"/>
      <c r="CO798" s="224"/>
      <c r="CP798" s="224"/>
      <c r="CQ798" s="224"/>
      <c r="CR798" s="224"/>
    </row>
    <row r="799" spans="75:96" x14ac:dyDescent="0.25">
      <c r="BW799" s="224"/>
      <c r="BX799" s="224"/>
      <c r="BY799" s="224"/>
      <c r="BZ799" s="224"/>
      <c r="CA799" s="132"/>
      <c r="CB799" s="306"/>
      <c r="CC799" s="306"/>
      <c r="CD799" s="307"/>
      <c r="CE799" s="307"/>
      <c r="CF799" s="307"/>
      <c r="CG799" s="307"/>
      <c r="CH799" s="307"/>
      <c r="CI799" s="307"/>
      <c r="CJ799" s="224"/>
      <c r="CK799" s="224"/>
      <c r="CL799" s="224"/>
      <c r="CM799" s="224"/>
      <c r="CN799" s="224"/>
      <c r="CO799" s="224"/>
      <c r="CP799" s="224"/>
      <c r="CQ799" s="224"/>
      <c r="CR799" s="224"/>
    </row>
    <row r="800" spans="75:96" x14ac:dyDescent="0.25">
      <c r="BW800" s="224"/>
      <c r="BX800" s="224"/>
      <c r="BY800" s="224"/>
      <c r="BZ800" s="224"/>
      <c r="CA800" s="132" t="s">
        <v>255</v>
      </c>
      <c r="CB800" s="306"/>
      <c r="CC800" s="306"/>
      <c r="CD800" s="307"/>
      <c r="CE800" s="307"/>
      <c r="CF800" s="307"/>
      <c r="CG800" s="307"/>
      <c r="CH800" s="307"/>
      <c r="CI800" s="307">
        <f>19.487-(CI801+CI802)</f>
        <v>18.060765204799999</v>
      </c>
      <c r="CJ800" s="224"/>
      <c r="CK800" s="224"/>
      <c r="CL800" s="224"/>
      <c r="CM800" s="224"/>
      <c r="CN800" s="224"/>
      <c r="CO800" s="224"/>
      <c r="CP800" s="224"/>
      <c r="CQ800" s="224"/>
      <c r="CR800" s="224"/>
    </row>
    <row r="801" spans="75:96" x14ac:dyDescent="0.25">
      <c r="BW801" s="224"/>
      <c r="BX801" s="224"/>
      <c r="BY801" s="224"/>
      <c r="BZ801" s="224"/>
      <c r="CA801" s="132" t="s">
        <v>130</v>
      </c>
      <c r="CB801" s="306">
        <f>7320</f>
        <v>7320</v>
      </c>
      <c r="CC801" s="306" t="s">
        <v>10</v>
      </c>
      <c r="CD801" s="307">
        <f>1/100</f>
        <v>0.01</v>
      </c>
      <c r="CE801" s="307">
        <f t="shared" ref="CE801:CE802" si="25">CB801*CD801</f>
        <v>73.2</v>
      </c>
      <c r="CF801" s="307" t="s">
        <v>16</v>
      </c>
      <c r="CG801" s="307">
        <v>7.7585999999999999E-5</v>
      </c>
      <c r="CH801" s="307" t="s">
        <v>22</v>
      </c>
      <c r="CI801" s="307">
        <f>CE801*CG801</f>
        <v>5.6792952000000001E-3</v>
      </c>
      <c r="CJ801" s="393" t="s">
        <v>250</v>
      </c>
      <c r="CK801" s="394"/>
      <c r="CL801" s="224"/>
      <c r="CM801" s="224"/>
      <c r="CN801" s="224"/>
      <c r="CO801" s="224"/>
      <c r="CP801" s="224"/>
      <c r="CQ801" s="224"/>
      <c r="CR801" s="224"/>
    </row>
    <row r="802" spans="75:96" x14ac:dyDescent="0.25">
      <c r="BW802" s="224"/>
      <c r="BX802" s="224"/>
      <c r="BY802" s="224"/>
      <c r="BZ802" s="224"/>
      <c r="CA802" s="132" t="s">
        <v>257</v>
      </c>
      <c r="CB802" s="309">
        <f>105*195*2</f>
        <v>40950</v>
      </c>
      <c r="CC802" s="309" t="s">
        <v>9</v>
      </c>
      <c r="CD802" s="308">
        <f>0.0001</f>
        <v>1E-4</v>
      </c>
      <c r="CE802" s="308">
        <f t="shared" si="25"/>
        <v>4.0950000000000006</v>
      </c>
      <c r="CF802" s="308" t="s">
        <v>17</v>
      </c>
      <c r="CG802" s="308">
        <v>0.34689999999999999</v>
      </c>
      <c r="CH802" s="308" t="s">
        <v>23</v>
      </c>
      <c r="CI802" s="308">
        <f>CE802*CG802</f>
        <v>1.4205555000000001</v>
      </c>
      <c r="CJ802" s="289">
        <f>CI796+CI797+CI798+CI799+CI800+CI801+CI802+CI803+CI804+CI805+CI806</f>
        <v>19.486999999999998</v>
      </c>
      <c r="CK802" s="289" t="s">
        <v>18</v>
      </c>
      <c r="CL802" s="224"/>
      <c r="CM802" s="224"/>
      <c r="CN802" s="224"/>
      <c r="CO802" s="224"/>
      <c r="CP802" s="224"/>
      <c r="CQ802" s="224"/>
      <c r="CR802" s="224"/>
    </row>
    <row r="803" spans="75:96" x14ac:dyDescent="0.25">
      <c r="BW803" s="224"/>
      <c r="BX803" s="224"/>
      <c r="BY803" s="224"/>
      <c r="BZ803" s="224"/>
      <c r="CA803" s="310"/>
      <c r="CB803" s="139"/>
      <c r="CC803" s="138"/>
      <c r="CD803" s="139"/>
      <c r="CE803" s="139"/>
      <c r="CF803" s="139"/>
      <c r="CG803" s="139"/>
      <c r="CH803" s="139"/>
      <c r="CI803" s="139"/>
      <c r="CJ803" s="224"/>
      <c r="CK803" s="224"/>
      <c r="CL803" s="224"/>
      <c r="CM803" s="224"/>
      <c r="CN803" s="224"/>
      <c r="CO803" s="224"/>
      <c r="CP803" s="224"/>
      <c r="CQ803" s="224"/>
      <c r="CR803" s="224"/>
    </row>
    <row r="804" spans="75:96" x14ac:dyDescent="0.25">
      <c r="BW804" s="224"/>
      <c r="BX804" s="224"/>
      <c r="BY804" s="224"/>
      <c r="BZ804" s="224"/>
      <c r="CA804" s="134"/>
      <c r="CB804" s="311"/>
      <c r="CC804" s="311"/>
      <c r="CD804" s="311"/>
      <c r="CE804" s="312"/>
      <c r="CF804" s="312"/>
      <c r="CG804" s="312"/>
      <c r="CH804" s="312"/>
      <c r="CI804" s="312"/>
      <c r="CJ804" s="224"/>
      <c r="CK804" s="224"/>
      <c r="CL804" s="224"/>
      <c r="CM804" s="224"/>
      <c r="CN804" s="224"/>
      <c r="CO804" s="224"/>
      <c r="CP804" s="224"/>
      <c r="CQ804" s="224"/>
      <c r="CR804" s="224"/>
    </row>
    <row r="805" spans="75:96" x14ac:dyDescent="0.25">
      <c r="BW805" s="224"/>
      <c r="BX805" s="224"/>
      <c r="BY805" s="224"/>
      <c r="BZ805" s="224"/>
      <c r="CA805" s="137"/>
      <c r="CB805" s="225"/>
      <c r="CC805" s="306"/>
      <c r="CD805" s="307"/>
      <c r="CE805" s="307"/>
      <c r="CF805" s="307"/>
      <c r="CG805" s="307"/>
      <c r="CH805" s="133"/>
      <c r="CI805" s="133"/>
      <c r="CJ805" s="224"/>
      <c r="CK805" s="224"/>
      <c r="CL805" s="224"/>
      <c r="CM805" s="224"/>
      <c r="CN805" s="224"/>
      <c r="CO805" s="224"/>
      <c r="CP805" s="224"/>
      <c r="CQ805" s="224"/>
      <c r="CR805" s="224"/>
    </row>
    <row r="806" spans="75:96" x14ac:dyDescent="0.25">
      <c r="BW806" s="224"/>
      <c r="BX806" s="224"/>
      <c r="BY806" s="224"/>
      <c r="BZ806" s="224"/>
      <c r="CA806" s="137"/>
      <c r="CB806" s="139"/>
      <c r="CC806" s="138"/>
      <c r="CD806" s="139"/>
      <c r="CE806" s="139"/>
      <c r="CF806" s="139"/>
      <c r="CG806" s="139"/>
      <c r="CH806" s="139"/>
      <c r="CI806" s="139"/>
      <c r="CJ806" s="224"/>
      <c r="CK806" s="224"/>
      <c r="CL806" s="224"/>
      <c r="CM806" s="224"/>
      <c r="CN806" s="224"/>
      <c r="CO806" s="224"/>
      <c r="CP806" s="224"/>
      <c r="CQ806" s="224"/>
      <c r="CR806" s="224"/>
    </row>
    <row r="807" spans="75:96" x14ac:dyDescent="0.25">
      <c r="BW807" s="224"/>
      <c r="BX807" s="224"/>
      <c r="BY807" s="224"/>
      <c r="BZ807" s="224"/>
      <c r="CA807" s="137"/>
      <c r="CB807" s="139"/>
      <c r="CC807" s="138"/>
      <c r="CD807" s="139"/>
      <c r="CE807" s="139"/>
      <c r="CF807" s="139"/>
      <c r="CG807" s="139"/>
      <c r="CH807" s="139"/>
      <c r="CI807" s="139"/>
      <c r="CJ807" s="224"/>
      <c r="CK807" s="224"/>
      <c r="CL807" s="224"/>
      <c r="CM807" s="224"/>
      <c r="CN807" s="224"/>
      <c r="CO807" s="224"/>
      <c r="CP807" s="224"/>
      <c r="CQ807" s="224"/>
      <c r="CR807" s="224"/>
    </row>
    <row r="808" spans="75:96" x14ac:dyDescent="0.25">
      <c r="BW808" s="224"/>
      <c r="BX808" s="224"/>
      <c r="BY808" s="224"/>
      <c r="BZ808" s="224"/>
      <c r="CA808" s="224"/>
      <c r="CB808" s="224"/>
      <c r="CC808" s="224"/>
      <c r="CD808" s="224"/>
      <c r="CE808" s="224"/>
      <c r="CF808" s="224"/>
      <c r="CG808" s="224"/>
      <c r="CH808" s="224"/>
      <c r="CI808" s="224"/>
      <c r="CJ808" s="224"/>
      <c r="CK808" s="224"/>
      <c r="CL808" s="224"/>
      <c r="CM808" s="224"/>
      <c r="CN808" s="224"/>
      <c r="CO808" s="224"/>
      <c r="CP808" s="224"/>
      <c r="CQ808" s="224"/>
      <c r="CR808" s="224"/>
    </row>
    <row r="809" spans="75:96" x14ac:dyDescent="0.25">
      <c r="BW809" s="224"/>
      <c r="BX809" s="224"/>
      <c r="BY809" s="224"/>
      <c r="BZ809" s="224"/>
      <c r="CA809" s="224"/>
      <c r="CB809" s="224"/>
      <c r="CC809" s="224"/>
      <c r="CD809" s="224"/>
      <c r="CE809" s="224"/>
      <c r="CF809" s="224"/>
      <c r="CG809" s="224"/>
      <c r="CH809" s="224"/>
      <c r="CI809" s="224"/>
      <c r="CJ809" s="224"/>
      <c r="CK809" s="224"/>
      <c r="CL809" s="224"/>
      <c r="CM809" s="224"/>
      <c r="CN809" s="224"/>
      <c r="CO809" s="224"/>
      <c r="CP809" s="224"/>
      <c r="CQ809" s="224"/>
      <c r="CR809" s="224"/>
    </row>
    <row r="810" spans="75:96" x14ac:dyDescent="0.25">
      <c r="BW810" s="224"/>
      <c r="BX810" s="224"/>
      <c r="BY810" s="224"/>
      <c r="BZ810" s="224"/>
      <c r="CA810" s="224"/>
      <c r="CB810" s="224"/>
      <c r="CC810" s="224"/>
      <c r="CD810" s="224"/>
      <c r="CE810" s="224"/>
      <c r="CF810" s="224"/>
      <c r="CG810" s="224"/>
      <c r="CH810" s="224"/>
      <c r="CI810" s="224"/>
      <c r="CJ810" s="224"/>
      <c r="CK810" s="224"/>
      <c r="CL810" s="224"/>
      <c r="CM810" s="224"/>
      <c r="CN810" s="224"/>
      <c r="CO810" s="224"/>
      <c r="CP810" s="224"/>
      <c r="CQ810" s="224"/>
      <c r="CR810" s="224"/>
    </row>
    <row r="811" spans="75:96" x14ac:dyDescent="0.25">
      <c r="BW811" s="224"/>
      <c r="BX811" s="224"/>
      <c r="BY811" s="224"/>
      <c r="BZ811" s="224"/>
      <c r="CA811" s="224"/>
      <c r="CB811" s="224"/>
      <c r="CC811" s="224"/>
      <c r="CD811" s="224"/>
      <c r="CE811" s="224"/>
      <c r="CF811" s="224"/>
      <c r="CG811" s="224"/>
      <c r="CH811" s="224"/>
      <c r="CI811" s="224"/>
      <c r="CJ811" s="224"/>
      <c r="CK811" s="224"/>
      <c r="CL811" s="224"/>
      <c r="CM811" s="224"/>
      <c r="CN811" s="224"/>
      <c r="CO811" s="224"/>
      <c r="CP811" s="224"/>
      <c r="CQ811" s="224"/>
      <c r="CR811" s="224"/>
    </row>
    <row r="812" spans="75:96" x14ac:dyDescent="0.25">
      <c r="BW812" s="224"/>
      <c r="BX812" s="224"/>
      <c r="BY812" s="224"/>
      <c r="BZ812" s="224"/>
      <c r="CA812" s="224"/>
      <c r="CB812" s="224"/>
      <c r="CC812" s="224"/>
      <c r="CD812" s="224"/>
      <c r="CE812" s="224"/>
      <c r="CF812" s="224"/>
      <c r="CG812" s="224"/>
      <c r="CH812" s="224"/>
      <c r="CI812" s="224"/>
      <c r="CJ812" s="224"/>
      <c r="CK812" s="224"/>
      <c r="CL812" s="224"/>
      <c r="CM812" s="224"/>
      <c r="CN812" s="224"/>
      <c r="CO812" s="224"/>
      <c r="CP812" s="224"/>
      <c r="CQ812" s="224"/>
      <c r="CR812" s="224"/>
    </row>
    <row r="813" spans="75:96" x14ac:dyDescent="0.25">
      <c r="BW813" s="224"/>
      <c r="BX813" s="224"/>
      <c r="BY813" s="224"/>
      <c r="BZ813" s="224"/>
      <c r="CA813" s="224"/>
      <c r="CB813" s="224"/>
      <c r="CC813" s="224"/>
      <c r="CD813" s="224"/>
      <c r="CE813" s="224"/>
      <c r="CF813" s="224"/>
      <c r="CG813" s="224"/>
      <c r="CH813" s="224"/>
      <c r="CI813" s="224"/>
      <c r="CJ813" s="224"/>
      <c r="CK813" s="224"/>
      <c r="CL813" s="224"/>
      <c r="CM813" s="224"/>
      <c r="CN813" s="224"/>
      <c r="CO813" s="224"/>
      <c r="CP813" s="224"/>
      <c r="CQ813" s="224"/>
      <c r="CR813" s="224"/>
    </row>
    <row r="814" spans="75:96" x14ac:dyDescent="0.25">
      <c r="BW814" s="224"/>
      <c r="BX814" s="224"/>
      <c r="BY814" s="224"/>
      <c r="BZ814" s="224"/>
      <c r="CA814" s="224"/>
      <c r="CB814" s="224"/>
      <c r="CC814" s="224"/>
      <c r="CD814" s="224"/>
      <c r="CE814" s="224"/>
      <c r="CF814" s="224"/>
      <c r="CG814" s="224"/>
      <c r="CH814" s="224"/>
      <c r="CI814" s="224"/>
      <c r="CJ814" s="224"/>
      <c r="CK814" s="224"/>
      <c r="CL814" s="224"/>
      <c r="CM814" s="224"/>
      <c r="CN814" s="224"/>
      <c r="CO814" s="224"/>
      <c r="CP814" s="224"/>
      <c r="CQ814" s="224"/>
      <c r="CR814" s="224"/>
    </row>
    <row r="817" spans="90:93" x14ac:dyDescent="0.25">
      <c r="CL817" s="224"/>
      <c r="CM817" s="224"/>
      <c r="CN817" s="224"/>
      <c r="CO817" s="224"/>
    </row>
    <row r="818" spans="90:93" x14ac:dyDescent="0.25">
      <c r="CL818" s="224"/>
      <c r="CM818" s="387" t="s">
        <v>52</v>
      </c>
      <c r="CN818" s="388"/>
      <c r="CO818" s="224"/>
    </row>
    <row r="819" spans="90:93" x14ac:dyDescent="0.25">
      <c r="CL819" s="224"/>
      <c r="CM819" s="389" t="s">
        <v>270</v>
      </c>
      <c r="CN819" s="390"/>
      <c r="CO819" s="138" t="s">
        <v>269</v>
      </c>
    </row>
    <row r="820" spans="90:93" x14ac:dyDescent="0.25">
      <c r="CL820" s="224"/>
      <c r="CM820" s="44">
        <v>58</v>
      </c>
      <c r="CN820" s="289" t="s">
        <v>27</v>
      </c>
      <c r="CO820" s="224"/>
    </row>
    <row r="821" spans="90:93" x14ac:dyDescent="0.25">
      <c r="CL821" s="224"/>
      <c r="CM821" s="289">
        <f>CM820*CJ846</f>
        <v>2184.3849800000003</v>
      </c>
      <c r="CN821" s="289" t="s">
        <v>28</v>
      </c>
      <c r="CO821" s="224"/>
    </row>
    <row r="822" spans="90:93" x14ac:dyDescent="0.25">
      <c r="CL822" s="224"/>
      <c r="CM822" s="224"/>
      <c r="CN822" s="224"/>
      <c r="CO822" s="224"/>
    </row>
    <row r="823" spans="90:93" x14ac:dyDescent="0.25">
      <c r="CL823" s="224"/>
      <c r="CM823" s="224"/>
      <c r="CN823" s="224"/>
      <c r="CO823" s="224"/>
    </row>
    <row r="824" spans="90:93" x14ac:dyDescent="0.25">
      <c r="CL824" s="224"/>
      <c r="CM824" s="224"/>
      <c r="CN824" s="224"/>
      <c r="CO824" s="224"/>
    </row>
    <row r="825" spans="90:93" x14ac:dyDescent="0.25">
      <c r="CL825" s="224"/>
      <c r="CM825" s="224"/>
      <c r="CN825" s="224"/>
      <c r="CO825" s="224"/>
    </row>
    <row r="826" spans="90:93" x14ac:dyDescent="0.25">
      <c r="CL826" s="224"/>
      <c r="CM826" s="224"/>
      <c r="CN826" s="224"/>
      <c r="CO826" s="224"/>
    </row>
    <row r="827" spans="90:93" x14ac:dyDescent="0.25">
      <c r="CL827" s="224"/>
      <c r="CM827" s="224"/>
      <c r="CN827" s="224"/>
      <c r="CO827" s="224"/>
    </row>
    <row r="828" spans="90:93" x14ac:dyDescent="0.25">
      <c r="CL828" s="224"/>
      <c r="CM828" s="224"/>
      <c r="CN828" s="224"/>
      <c r="CO828" s="224"/>
    </row>
    <row r="829" spans="90:93" x14ac:dyDescent="0.25">
      <c r="CL829" s="224"/>
      <c r="CM829" s="224"/>
      <c r="CN829" s="224"/>
      <c r="CO829" s="224"/>
    </row>
    <row r="830" spans="90:93" x14ac:dyDescent="0.25">
      <c r="CL830" s="224"/>
      <c r="CM830" s="303"/>
      <c r="CN830" s="224" t="s">
        <v>91</v>
      </c>
      <c r="CO830" s="224"/>
    </row>
    <row r="831" spans="90:93" x14ac:dyDescent="0.25">
      <c r="CL831" s="224"/>
      <c r="CM831" s="224"/>
      <c r="CN831" s="224"/>
      <c r="CO831" s="224"/>
    </row>
    <row r="832" spans="90:93" x14ac:dyDescent="0.25">
      <c r="CL832" s="224">
        <f>CK835-CM835</f>
        <v>0.20729809000022215</v>
      </c>
      <c r="CM832" s="224"/>
      <c r="CN832" s="224"/>
      <c r="CO832" s="224"/>
    </row>
    <row r="833" spans="79:93" x14ac:dyDescent="0.25">
      <c r="CK833" s="224"/>
      <c r="CL833" s="224">
        <f>CK834-CM834</f>
        <v>20.729808999999932</v>
      </c>
      <c r="CM833" s="224"/>
      <c r="CN833" s="224"/>
      <c r="CO833" s="224"/>
    </row>
    <row r="834" spans="79:93" x14ac:dyDescent="0.25">
      <c r="CK834" s="224">
        <f>SUM(CI839:CI845)*CM820+SUM(CI839:CI845)*0.01*CM820</f>
        <v>2093.710709</v>
      </c>
      <c r="CL834" s="224" t="s">
        <v>142</v>
      </c>
      <c r="CM834" s="224">
        <f>SUM(CI839:CI845)*CM820</f>
        <v>2072.9809</v>
      </c>
      <c r="CN834" s="224"/>
      <c r="CO834" s="224"/>
    </row>
    <row r="835" spans="79:93" x14ac:dyDescent="0.25">
      <c r="CK835" s="224">
        <f>CM834</f>
        <v>2072.9809</v>
      </c>
      <c r="CL835" s="224" t="s">
        <v>291</v>
      </c>
      <c r="CM835" s="224">
        <f>CK835-CK835*0.0001</f>
        <v>2072.7736019099998</v>
      </c>
      <c r="CN835" s="224"/>
      <c r="CO835" s="224"/>
    </row>
    <row r="836" spans="79:93" x14ac:dyDescent="0.25">
      <c r="CK836" s="224">
        <f>CM835+CI850*CM820</f>
        <v>2103.6156819099997</v>
      </c>
      <c r="CL836" s="224" t="s">
        <v>292</v>
      </c>
      <c r="CM836" s="224">
        <f>CK836</f>
        <v>2103.6156819099997</v>
      </c>
      <c r="CN836" s="224"/>
      <c r="CO836" s="224"/>
    </row>
    <row r="837" spans="79:93" x14ac:dyDescent="0.25">
      <c r="CA837" s="224"/>
      <c r="CB837" s="224"/>
      <c r="CC837" s="224"/>
      <c r="CD837" s="224"/>
      <c r="CE837" s="301"/>
      <c r="CF837" s="302">
        <f>CF836</f>
        <v>0</v>
      </c>
      <c r="CG837" s="289" t="s">
        <v>18</v>
      </c>
      <c r="CK837" s="224">
        <f>CM836+CI846*CM820</f>
        <v>2184.1776819099996</v>
      </c>
      <c r="CL837" s="224" t="s">
        <v>293</v>
      </c>
      <c r="CM837" s="224">
        <f>CK837</f>
        <v>2184.1776819099996</v>
      </c>
      <c r="CN837" s="224"/>
      <c r="CO837" s="224"/>
    </row>
    <row r="838" spans="79:93" x14ac:dyDescent="0.25">
      <c r="CA838" s="224"/>
      <c r="CB838" s="391" t="str">
        <f>CM819</f>
        <v>Base cama 100 x190</v>
      </c>
      <c r="CC838" s="392"/>
      <c r="CD838" s="289" t="s">
        <v>19</v>
      </c>
      <c r="CE838" s="11" t="s">
        <v>20</v>
      </c>
      <c r="CF838" s="11" t="s">
        <v>2</v>
      </c>
      <c r="CG838" s="11" t="s">
        <v>21</v>
      </c>
      <c r="CH838" s="11" t="s">
        <v>2</v>
      </c>
      <c r="CI838" s="11" t="s">
        <v>24</v>
      </c>
      <c r="CJ838" s="224"/>
      <c r="CK838" s="224"/>
      <c r="CL838" s="224"/>
      <c r="CM838" s="224"/>
      <c r="CN838" s="224"/>
      <c r="CO838" s="224"/>
    </row>
    <row r="839" spans="79:93" x14ac:dyDescent="0.25">
      <c r="CA839" s="11" t="s">
        <v>271</v>
      </c>
      <c r="CB839" s="306">
        <f>(5.5*5.5*42.5)*2</f>
        <v>2571.25</v>
      </c>
      <c r="CC839" s="306" t="s">
        <v>26</v>
      </c>
      <c r="CD839" s="23">
        <v>9.9999999999999995E-7</v>
      </c>
      <c r="CE839" s="307">
        <f>CB839*CD839</f>
        <v>2.5712499999999998E-3</v>
      </c>
      <c r="CF839" s="307" t="s">
        <v>284</v>
      </c>
      <c r="CG839" s="307">
        <v>580</v>
      </c>
      <c r="CH839" s="307" t="s">
        <v>22</v>
      </c>
      <c r="CI839" s="308">
        <f>CE839*CG839</f>
        <v>1.4913249999999998</v>
      </c>
      <c r="CJ839" s="224"/>
      <c r="CK839" s="224"/>
      <c r="CL839" s="224"/>
      <c r="CM839" s="224"/>
      <c r="CN839" s="224"/>
      <c r="CO839" s="224"/>
    </row>
    <row r="840" spans="79:93" x14ac:dyDescent="0.25">
      <c r="CA840" s="132" t="s">
        <v>272</v>
      </c>
      <c r="CB840" s="306">
        <f>(5.5*5.5*72)*2</f>
        <v>4356</v>
      </c>
      <c r="CC840" s="306" t="s">
        <v>278</v>
      </c>
      <c r="CD840" s="23">
        <v>9.9999999999999995E-7</v>
      </c>
      <c r="CE840" s="307">
        <f t="shared" ref="CE840:CE845" si="26">CB840*CD840</f>
        <v>4.3559999999999996E-3</v>
      </c>
      <c r="CF840" s="307" t="s">
        <v>284</v>
      </c>
      <c r="CG840" s="307">
        <v>580</v>
      </c>
      <c r="CH840" s="307" t="s">
        <v>22</v>
      </c>
      <c r="CI840" s="308">
        <f t="shared" ref="CI840:CI845" si="27">CE840*CG840</f>
        <v>2.5264799999999998</v>
      </c>
      <c r="CJ840" s="224"/>
      <c r="CK840" s="224"/>
      <c r="CL840" s="224"/>
      <c r="CM840" s="224"/>
      <c r="CN840" s="224"/>
      <c r="CO840" s="224"/>
    </row>
    <row r="841" spans="79:93" x14ac:dyDescent="0.25">
      <c r="CA841" s="132" t="s">
        <v>273</v>
      </c>
      <c r="CB841" s="306">
        <f>(12.75*2.75*186)*2</f>
        <v>13043.25</v>
      </c>
      <c r="CC841" s="306" t="s">
        <v>279</v>
      </c>
      <c r="CD841" s="23">
        <v>9.9999999999999995E-7</v>
      </c>
      <c r="CE841" s="307">
        <f t="shared" si="26"/>
        <v>1.3043249999999999E-2</v>
      </c>
      <c r="CF841" s="307" t="s">
        <v>284</v>
      </c>
      <c r="CG841" s="307">
        <v>580</v>
      </c>
      <c r="CH841" s="307" t="s">
        <v>22</v>
      </c>
      <c r="CI841" s="308">
        <f t="shared" si="27"/>
        <v>7.5650849999999998</v>
      </c>
      <c r="CJ841" s="224"/>
      <c r="CK841" s="224"/>
      <c r="CL841" s="224"/>
      <c r="CM841" s="224"/>
      <c r="CN841" s="224"/>
      <c r="CO841" s="224"/>
    </row>
    <row r="842" spans="79:93" x14ac:dyDescent="0.25">
      <c r="CA842" s="132" t="s">
        <v>274</v>
      </c>
      <c r="CB842" s="306">
        <f>30*2.5*89</f>
        <v>6675</v>
      </c>
      <c r="CC842" s="306" t="s">
        <v>280</v>
      </c>
      <c r="CD842" s="23">
        <v>9.9999999999999995E-7</v>
      </c>
      <c r="CE842" s="307">
        <f t="shared" si="26"/>
        <v>6.6749999999999995E-3</v>
      </c>
      <c r="CF842" s="307" t="s">
        <v>284</v>
      </c>
      <c r="CG842" s="307">
        <v>580</v>
      </c>
      <c r="CH842" s="307" t="s">
        <v>22</v>
      </c>
      <c r="CI842" s="308">
        <f t="shared" si="27"/>
        <v>3.8714999999999997</v>
      </c>
      <c r="CJ842" s="224"/>
      <c r="CK842" s="224"/>
      <c r="CL842" s="224"/>
      <c r="CM842" s="224"/>
      <c r="CN842" s="224"/>
      <c r="CO842" s="224"/>
    </row>
    <row r="843" spans="79:93" x14ac:dyDescent="0.25">
      <c r="CA843" s="132" t="s">
        <v>275</v>
      </c>
      <c r="CB843" s="306">
        <f>(2.5*89*20)*3</f>
        <v>13350</v>
      </c>
      <c r="CC843" s="306" t="s">
        <v>281</v>
      </c>
      <c r="CD843" s="23">
        <v>9.9999999999999995E-7</v>
      </c>
      <c r="CE843" s="307">
        <f t="shared" si="26"/>
        <v>1.3349999999999999E-2</v>
      </c>
      <c r="CF843" s="307" t="s">
        <v>284</v>
      </c>
      <c r="CG843" s="307">
        <v>580</v>
      </c>
      <c r="CH843" s="307" t="s">
        <v>22</v>
      </c>
      <c r="CI843" s="308">
        <f t="shared" si="27"/>
        <v>7.7429999999999994</v>
      </c>
      <c r="CJ843" s="224"/>
      <c r="CK843" s="224"/>
      <c r="CL843" s="224"/>
      <c r="CM843" s="224"/>
      <c r="CN843" s="224"/>
      <c r="CO843" s="224"/>
    </row>
    <row r="844" spans="79:93" x14ac:dyDescent="0.25">
      <c r="CA844" s="132" t="s">
        <v>276</v>
      </c>
      <c r="CB844" s="306">
        <f>(3*12.75*3)*4</f>
        <v>459</v>
      </c>
      <c r="CC844" s="306" t="s">
        <v>282</v>
      </c>
      <c r="CD844" s="23">
        <v>9.9999999999999995E-7</v>
      </c>
      <c r="CE844" s="307">
        <f t="shared" si="26"/>
        <v>4.5899999999999999E-4</v>
      </c>
      <c r="CF844" s="307" t="s">
        <v>284</v>
      </c>
      <c r="CG844" s="307">
        <v>580</v>
      </c>
      <c r="CH844" s="307" t="s">
        <v>22</v>
      </c>
      <c r="CI844" s="308">
        <f t="shared" si="27"/>
        <v>0.26622000000000001</v>
      </c>
      <c r="CJ844" s="224"/>
      <c r="CK844" s="224"/>
      <c r="CL844" s="224"/>
      <c r="CM844" s="224"/>
      <c r="CN844" s="224"/>
      <c r="CO844" s="224"/>
    </row>
    <row r="845" spans="79:93" x14ac:dyDescent="0.25">
      <c r="CA845" s="132" t="s">
        <v>277</v>
      </c>
      <c r="CB845" s="309">
        <f>(1.75*7*96)*18</f>
        <v>21168</v>
      </c>
      <c r="CC845" s="309" t="s">
        <v>283</v>
      </c>
      <c r="CD845" s="39">
        <v>9.9999999999999995E-7</v>
      </c>
      <c r="CE845" s="308">
        <f t="shared" si="26"/>
        <v>2.1167999999999999E-2</v>
      </c>
      <c r="CF845" s="308" t="s">
        <v>284</v>
      </c>
      <c r="CG845" s="308">
        <v>580</v>
      </c>
      <c r="CH845" s="308" t="s">
        <v>22</v>
      </c>
      <c r="CI845" s="308">
        <f t="shared" si="27"/>
        <v>12.27744</v>
      </c>
      <c r="CJ845" s="393" t="s">
        <v>250</v>
      </c>
      <c r="CK845" s="394"/>
      <c r="CL845" s="224"/>
      <c r="CM845" s="224"/>
      <c r="CN845" s="224"/>
      <c r="CO845" s="224"/>
    </row>
    <row r="846" spans="79:93" x14ac:dyDescent="0.25">
      <c r="CA846" s="310" t="s">
        <v>285</v>
      </c>
      <c r="CB846" s="138">
        <f>4</f>
        <v>4</v>
      </c>
      <c r="CC846" s="138" t="s">
        <v>2</v>
      </c>
      <c r="CD846" s="139"/>
      <c r="CE846" s="139"/>
      <c r="CF846" s="139"/>
      <c r="CG846" s="139"/>
      <c r="CH846" s="139"/>
      <c r="CI846" s="395">
        <f>1.389</f>
        <v>1.389</v>
      </c>
      <c r="CJ846" s="323">
        <f>CI839+CI840+CI841+CI842+CI843+CI844+CI845+CI846+CI850</f>
        <v>37.661810000000003</v>
      </c>
      <c r="CK846" s="289" t="s">
        <v>18</v>
      </c>
      <c r="CL846" s="224"/>
      <c r="CM846" s="224"/>
      <c r="CN846" s="224"/>
      <c r="CO846" s="224"/>
    </row>
    <row r="847" spans="79:93" x14ac:dyDescent="0.25">
      <c r="CA847" s="310" t="s">
        <v>286</v>
      </c>
      <c r="CB847" s="322">
        <f>8</f>
        <v>8</v>
      </c>
      <c r="CC847" s="138" t="s">
        <v>2</v>
      </c>
      <c r="CD847" s="139"/>
      <c r="CE847" s="139"/>
      <c r="CF847" s="139"/>
      <c r="CG847" s="139"/>
      <c r="CH847" s="139"/>
      <c r="CI847" s="395"/>
      <c r="CJ847" s="224"/>
      <c r="CK847" s="224"/>
      <c r="CL847" s="224"/>
      <c r="CM847" s="224"/>
      <c r="CN847" s="224"/>
      <c r="CO847" s="224"/>
    </row>
    <row r="848" spans="79:93" x14ac:dyDescent="0.25">
      <c r="CA848" s="134" t="s">
        <v>287</v>
      </c>
      <c r="CB848" s="322">
        <v>36</v>
      </c>
      <c r="CC848" s="322" t="s">
        <v>2</v>
      </c>
      <c r="CD848" s="325"/>
      <c r="CE848" s="139"/>
      <c r="CF848" s="139"/>
      <c r="CG848" s="139"/>
      <c r="CH848" s="139"/>
      <c r="CI848" s="395"/>
      <c r="CJ848" s="224"/>
      <c r="CK848" s="224"/>
      <c r="CL848" s="224"/>
      <c r="CM848" s="224"/>
      <c r="CN848" s="224"/>
      <c r="CO848" s="224"/>
    </row>
    <row r="849" spans="79:93" x14ac:dyDescent="0.25">
      <c r="CA849" s="324" t="s">
        <v>288</v>
      </c>
      <c r="CB849" s="322">
        <v>4</v>
      </c>
      <c r="CC849" s="138" t="s">
        <v>2</v>
      </c>
      <c r="CD849" s="139"/>
      <c r="CE849" s="139"/>
      <c r="CF849" s="139"/>
      <c r="CG849" s="139"/>
      <c r="CH849" s="139"/>
      <c r="CI849" s="395"/>
      <c r="CJ849" s="224"/>
      <c r="CK849" s="224"/>
      <c r="CL849" s="224">
        <v>4</v>
      </c>
      <c r="CM849" s="224"/>
      <c r="CN849" s="224"/>
      <c r="CO849" s="224"/>
    </row>
    <row r="850" spans="79:93" x14ac:dyDescent="0.25">
      <c r="CA850" s="324" t="s">
        <v>289</v>
      </c>
      <c r="CB850" s="322">
        <f>0.578</f>
        <v>0.57799999999999996</v>
      </c>
      <c r="CC850" s="138" t="s">
        <v>290</v>
      </c>
      <c r="CD850" s="139">
        <f>0.001</f>
        <v>1E-3</v>
      </c>
      <c r="CE850" s="139">
        <f>CB850*CD850</f>
        <v>5.7799999999999995E-4</v>
      </c>
      <c r="CF850" s="139" t="s">
        <v>15</v>
      </c>
      <c r="CG850" s="139">
        <v>920</v>
      </c>
      <c r="CH850" s="139" t="s">
        <v>13</v>
      </c>
      <c r="CI850" s="139">
        <f>CE850*CG850</f>
        <v>0.53176000000000001</v>
      </c>
      <c r="CJ850" s="224"/>
      <c r="CK850" s="224"/>
      <c r="CL850" s="224"/>
      <c r="CM850" s="224"/>
      <c r="CN850" s="224"/>
      <c r="CO850" s="224"/>
    </row>
  </sheetData>
  <mergeCells count="192">
    <mergeCell ref="BW9:BX14"/>
    <mergeCell ref="CB16:CC21"/>
    <mergeCell ref="BW20:BX20"/>
    <mergeCell ref="BW21:BX21"/>
    <mergeCell ref="CB27:CC27"/>
    <mergeCell ref="CB28:CC28"/>
    <mergeCell ref="CG49:CH50"/>
    <mergeCell ref="BF50:BG51"/>
    <mergeCell ref="BW50:BX50"/>
    <mergeCell ref="BN51:BO52"/>
    <mergeCell ref="BW51:BX51"/>
    <mergeCell ref="CL53:CM53"/>
    <mergeCell ref="BT34:BU35"/>
    <mergeCell ref="BZ35:CA36"/>
    <mergeCell ref="BT38:BT39"/>
    <mergeCell ref="BW45:BX45"/>
    <mergeCell ref="BZ45:CA46"/>
    <mergeCell ref="BW46:BX46"/>
    <mergeCell ref="BU66:BV67"/>
    <mergeCell ref="BZ66:CA67"/>
    <mergeCell ref="CA73:CB73"/>
    <mergeCell ref="BW78:BX78"/>
    <mergeCell ref="BW79:BX79"/>
    <mergeCell ref="CI80:CJ80"/>
    <mergeCell ref="BF54:BF55"/>
    <mergeCell ref="CL54:CM54"/>
    <mergeCell ref="BU56:BV57"/>
    <mergeCell ref="BZ56:CA57"/>
    <mergeCell ref="CG56:CH56"/>
    <mergeCell ref="BN61:BO62"/>
    <mergeCell ref="CL114:CM114"/>
    <mergeCell ref="CL115:CM115"/>
    <mergeCell ref="BY101:BZ102"/>
    <mergeCell ref="BT104:BU104"/>
    <mergeCell ref="BT105:BU105"/>
    <mergeCell ref="BW106:BX106"/>
    <mergeCell ref="BZ106:CA107"/>
    <mergeCell ref="BW107:BX107"/>
    <mergeCell ref="CC81:CD86"/>
    <mergeCell ref="CC92:CD92"/>
    <mergeCell ref="CC93:CD93"/>
    <mergeCell ref="BT95:BU96"/>
    <mergeCell ref="BZ96:CA97"/>
    <mergeCell ref="BT99:BT100"/>
    <mergeCell ref="BT156:BU157"/>
    <mergeCell ref="BZ157:CA158"/>
    <mergeCell ref="BT160:BT161"/>
    <mergeCell ref="BY162:BZ163"/>
    <mergeCell ref="BT165:BU165"/>
    <mergeCell ref="BT166:BU166"/>
    <mergeCell ref="CA134:CB134"/>
    <mergeCell ref="CI141:CJ141"/>
    <mergeCell ref="CG110:CH111"/>
    <mergeCell ref="BW111:BX111"/>
    <mergeCell ref="BW112:BX112"/>
    <mergeCell ref="CG178:CH178"/>
    <mergeCell ref="CA195:CB195"/>
    <mergeCell ref="BP198:BQ198"/>
    <mergeCell ref="BW167:BX167"/>
    <mergeCell ref="BZ167:CA168"/>
    <mergeCell ref="BW168:BX168"/>
    <mergeCell ref="CG171:CH172"/>
    <mergeCell ref="CL175:CM175"/>
    <mergeCell ref="CL176:CM176"/>
    <mergeCell ref="BR317:BS317"/>
    <mergeCell ref="BR318:BS318"/>
    <mergeCell ref="CL232:CM232"/>
    <mergeCell ref="CG234:CH234"/>
    <mergeCell ref="CG238:CH238"/>
    <mergeCell ref="CD242:CE242"/>
    <mergeCell ref="CH242:CI242"/>
    <mergeCell ref="CB241:CC241"/>
    <mergeCell ref="BP199:BQ199"/>
    <mergeCell ref="CI202:CJ202"/>
    <mergeCell ref="BT212:BU213"/>
    <mergeCell ref="BT216:BT217"/>
    <mergeCell ref="CG227:CH228"/>
    <mergeCell ref="CL231:CM231"/>
    <mergeCell ref="BV331:BW332"/>
    <mergeCell ref="CH332:CI332"/>
    <mergeCell ref="BV335:BV336"/>
    <mergeCell ref="BT322:BU322"/>
    <mergeCell ref="BT323:BU323"/>
    <mergeCell ref="BU331:BU332"/>
    <mergeCell ref="CH246:CI246"/>
    <mergeCell ref="CA251:CB251"/>
    <mergeCell ref="CI258:CJ258"/>
    <mergeCell ref="CA358:CB359"/>
    <mergeCell ref="CF361:CG361"/>
    <mergeCell ref="CJ361:CK361"/>
    <mergeCell ref="CJ365:CK365"/>
    <mergeCell ref="CN351:CO351"/>
    <mergeCell ref="CI353:CJ353"/>
    <mergeCell ref="CI357:CJ357"/>
    <mergeCell ref="CI340:CJ341"/>
    <mergeCell ref="CI346:CJ347"/>
    <mergeCell ref="CN350:CO350"/>
    <mergeCell ref="BV409:BV410"/>
    <mergeCell ref="CI414:CJ415"/>
    <mergeCell ref="CL414:CM415"/>
    <mergeCell ref="CI420:CJ421"/>
    <mergeCell ref="CN424:CO424"/>
    <mergeCell ref="CN425:CO425"/>
    <mergeCell ref="CC370:CD370"/>
    <mergeCell ref="CK377:CL377"/>
    <mergeCell ref="BR391:BS391"/>
    <mergeCell ref="BR392:BS392"/>
    <mergeCell ref="BV405:BW406"/>
    <mergeCell ref="CH406:CI406"/>
    <mergeCell ref="CK406:CL406"/>
    <mergeCell ref="BV485:BV486"/>
    <mergeCell ref="CI490:CJ491"/>
    <mergeCell ref="CL490:CM491"/>
    <mergeCell ref="CI496:CJ497"/>
    <mergeCell ref="CN500:CO500"/>
    <mergeCell ref="CN501:CO501"/>
    <mergeCell ref="CC444:CD444"/>
    <mergeCell ref="CK451:CL451"/>
    <mergeCell ref="BR467:BS467"/>
    <mergeCell ref="BR468:BS468"/>
    <mergeCell ref="BV481:BW482"/>
    <mergeCell ref="CH482:CI482"/>
    <mergeCell ref="CK482:CL482"/>
    <mergeCell ref="BR545:BS545"/>
    <mergeCell ref="BR546:BS546"/>
    <mergeCell ref="BV559:BW560"/>
    <mergeCell ref="CH560:CI560"/>
    <mergeCell ref="CI503:CJ503"/>
    <mergeCell ref="CA506:CB506"/>
    <mergeCell ref="CI507:CJ507"/>
    <mergeCell ref="CF511:CG511"/>
    <mergeCell ref="CJ511:CK511"/>
    <mergeCell ref="CJ515:CK515"/>
    <mergeCell ref="BV563:BV564"/>
    <mergeCell ref="CI568:CJ569"/>
    <mergeCell ref="CI574:CJ575"/>
    <mergeCell ref="CN578:CO578"/>
    <mergeCell ref="CN579:CO579"/>
    <mergeCell ref="CC581:CD581"/>
    <mergeCell ref="CI581:CJ581"/>
    <mergeCell ref="CC520:CD520"/>
    <mergeCell ref="CK527:CL527"/>
    <mergeCell ref="BQ667:BR667"/>
    <mergeCell ref="BQ668:BR668"/>
    <mergeCell ref="BU681:BV682"/>
    <mergeCell ref="CJ681:CK681"/>
    <mergeCell ref="BU685:BU686"/>
    <mergeCell ref="CK689:CL690"/>
    <mergeCell ref="CI585:CJ585"/>
    <mergeCell ref="CF589:CG589"/>
    <mergeCell ref="CJ589:CK589"/>
    <mergeCell ref="CJ593:CK593"/>
    <mergeCell ref="CC598:CD598"/>
    <mergeCell ref="CK605:CL605"/>
    <mergeCell ref="CM774:CN774"/>
    <mergeCell ref="CB124:CC124"/>
    <mergeCell ref="CB125:CC125"/>
    <mergeCell ref="CB185:CC185"/>
    <mergeCell ref="CB186:CC186"/>
    <mergeCell ref="CB240:CC240"/>
    <mergeCell ref="CJ727:CK727"/>
    <mergeCell ref="CM775:CN775"/>
    <mergeCell ref="CE711:CF711"/>
    <mergeCell ref="CI711:CJ711"/>
    <mergeCell ref="CA713:CB714"/>
    <mergeCell ref="CI715:CJ715"/>
    <mergeCell ref="CB720:CC720"/>
    <mergeCell ref="CH696:CI697"/>
    <mergeCell ref="CM700:CN700"/>
    <mergeCell ref="CM701:CN701"/>
    <mergeCell ref="CH703:CI703"/>
    <mergeCell ref="CH707:CI707"/>
    <mergeCell ref="CI427:CJ427"/>
    <mergeCell ref="CA430:CB430"/>
    <mergeCell ref="CI431:CJ431"/>
    <mergeCell ref="CF435:CG435"/>
    <mergeCell ref="CJ435:CK435"/>
    <mergeCell ref="CJ439:CK439"/>
    <mergeCell ref="CM818:CN818"/>
    <mergeCell ref="CM819:CN819"/>
    <mergeCell ref="CB838:CC838"/>
    <mergeCell ref="CJ845:CK845"/>
    <mergeCell ref="CI846:CI849"/>
    <mergeCell ref="CH777:CI777"/>
    <mergeCell ref="BX781:BY781"/>
    <mergeCell ref="CE785:CF785"/>
    <mergeCell ref="CI785:CJ785"/>
    <mergeCell ref="CA787:CB788"/>
    <mergeCell ref="CI789:CJ789"/>
    <mergeCell ref="CE790:CF790"/>
    <mergeCell ref="CB794:CC794"/>
    <mergeCell ref="CJ801:CK80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ED850"/>
  <sheetViews>
    <sheetView tabSelected="1" zoomScale="62" zoomScaleNormal="62" workbookViewId="0">
      <selection activeCell="A24" sqref="A24"/>
    </sheetView>
  </sheetViews>
  <sheetFormatPr baseColWidth="10" defaultRowHeight="15" x14ac:dyDescent="0.25"/>
  <cols>
    <col min="31" max="31" width="21.5703125" customWidth="1"/>
    <col min="38" max="38" width="17.85546875" customWidth="1"/>
    <col min="43" max="43" width="19.28515625" customWidth="1"/>
    <col min="45" max="45" width="17.85546875" customWidth="1"/>
    <col min="52" max="52" width="19.7109375" customWidth="1"/>
    <col min="58" max="58" width="15.42578125" customWidth="1"/>
    <col min="59" max="59" width="18.7109375" customWidth="1"/>
    <col min="60" max="60" width="22.140625" customWidth="1"/>
    <col min="61" max="61" width="24" customWidth="1"/>
    <col min="62" max="62" width="22" customWidth="1"/>
    <col min="63" max="63" width="23.140625" customWidth="1"/>
    <col min="64" max="64" width="26.42578125" customWidth="1"/>
    <col min="65" max="65" width="16" customWidth="1"/>
    <col min="66" max="66" width="20.42578125" customWidth="1"/>
    <col min="67" max="67" width="12.85546875" customWidth="1"/>
    <col min="68" max="68" width="14.28515625" customWidth="1"/>
    <col min="69" max="69" width="20.28515625" customWidth="1"/>
    <col min="71" max="71" width="21.42578125" customWidth="1"/>
    <col min="72" max="72" width="30" customWidth="1"/>
    <col min="73" max="73" width="20.42578125" customWidth="1"/>
    <col min="74" max="74" width="27" customWidth="1"/>
    <col min="75" max="75" width="25.85546875" customWidth="1"/>
    <col min="76" max="76" width="32.85546875" customWidth="1"/>
    <col min="77" max="77" width="20.5703125" customWidth="1"/>
    <col min="78" max="78" width="34.140625" customWidth="1"/>
    <col min="79" max="79" width="24.7109375" customWidth="1"/>
    <col min="80" max="80" width="38.7109375" customWidth="1"/>
    <col min="81" max="81" width="35.42578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9.42578125" customWidth="1"/>
    <col min="88" max="88" width="23.85546875" customWidth="1"/>
    <col min="89" max="89" width="31.42578125" customWidth="1"/>
    <col min="90" max="90" width="31.7109375" customWidth="1"/>
    <col min="91" max="91" width="20.140625" customWidth="1"/>
    <col min="93" max="93" width="13.5703125" customWidth="1"/>
    <col min="104" max="104" width="31.85546875" customWidth="1"/>
    <col min="107" max="107" width="32.42578125" customWidth="1"/>
    <col min="108" max="108" width="18.42578125" customWidth="1"/>
    <col min="109" max="109" width="20" customWidth="1"/>
    <col min="110" max="110" width="22.5703125" customWidth="1"/>
    <col min="111" max="111" width="15.140625" customWidth="1"/>
    <col min="112" max="112" width="11.5703125" bestFit="1" customWidth="1"/>
    <col min="113" max="113" width="20.140625" customWidth="1"/>
    <col min="114" max="114" width="15.85546875" bestFit="1" customWidth="1"/>
    <col min="115" max="115" width="11.5703125" bestFit="1" customWidth="1"/>
    <col min="116" max="116" width="16.28515625" customWidth="1"/>
    <col min="117" max="117" width="11.5703125" bestFit="1" customWidth="1"/>
    <col min="118" max="118" width="28.85546875" customWidth="1"/>
    <col min="119" max="119" width="20.5703125" customWidth="1"/>
    <col min="120" max="120" width="18.140625" customWidth="1"/>
    <col min="121" max="121" width="14" customWidth="1"/>
    <col min="122" max="123" width="11.5703125" bestFit="1" customWidth="1"/>
    <col min="124" max="124" width="22.140625" customWidth="1"/>
    <col min="125" max="125" width="19.85546875" customWidth="1"/>
    <col min="126" max="126" width="17.5703125" customWidth="1"/>
    <col min="127" max="127" width="14.7109375" customWidth="1"/>
    <col min="128" max="128" width="11.5703125" bestFit="1" customWidth="1"/>
    <col min="129" max="129" width="16" customWidth="1"/>
    <col min="130" max="130" width="14" customWidth="1"/>
    <col min="131" max="131" width="15.7109375" customWidth="1"/>
    <col min="132" max="132" width="15.140625" bestFit="1" customWidth="1"/>
    <col min="133" max="133" width="14" bestFit="1" customWidth="1"/>
    <col min="134" max="134" width="16.140625" customWidth="1"/>
    <col min="135" max="135" width="14.5703125" customWidth="1"/>
    <col min="137" max="137" width="21.28515625" customWidth="1"/>
  </cols>
  <sheetData>
    <row r="1" spans="75:134" x14ac:dyDescent="0.25">
      <c r="DU1" t="s">
        <v>181</v>
      </c>
    </row>
    <row r="2" spans="75:134" x14ac:dyDescent="0.25">
      <c r="DU2" t="s">
        <v>181</v>
      </c>
    </row>
    <row r="3" spans="75:134" x14ac:dyDescent="0.25">
      <c r="CZ3" t="s">
        <v>37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U3" t="s">
        <v>181</v>
      </c>
    </row>
    <row r="4" spans="75:134" x14ac:dyDescent="0.25">
      <c r="CZ4" t="s">
        <v>123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U4" t="s">
        <v>172</v>
      </c>
    </row>
    <row r="5" spans="75:134" x14ac:dyDescent="0.25">
      <c r="CZ5" t="s">
        <v>150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U5" t="s">
        <v>172</v>
      </c>
    </row>
    <row r="6" spans="75:134" x14ac:dyDescent="0.25">
      <c r="CZ6" t="s">
        <v>172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U6" t="s">
        <v>172</v>
      </c>
    </row>
    <row r="7" spans="75:134" x14ac:dyDescent="0.25">
      <c r="CZ7" t="s">
        <v>240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U7" t="s">
        <v>172</v>
      </c>
    </row>
    <row r="8" spans="75:134" ht="15.75" thickBot="1" x14ac:dyDescent="0.3">
      <c r="CZ8" t="s">
        <v>181</v>
      </c>
      <c r="DA8">
        <v>1</v>
      </c>
      <c r="DB8">
        <v>1</v>
      </c>
      <c r="DC8">
        <v>1</v>
      </c>
      <c r="DD8">
        <v>1</v>
      </c>
      <c r="DU8" t="s">
        <v>172</v>
      </c>
    </row>
    <row r="9" spans="75:134" x14ac:dyDescent="0.25">
      <c r="BW9" s="453" t="s">
        <v>105</v>
      </c>
      <c r="BX9" s="454"/>
      <c r="DC9" t="s">
        <v>123</v>
      </c>
      <c r="DU9" t="s">
        <v>172</v>
      </c>
      <c r="ED9" t="s">
        <v>181</v>
      </c>
    </row>
    <row r="10" spans="75:134" x14ac:dyDescent="0.25">
      <c r="BW10" s="455"/>
      <c r="BX10" s="456"/>
      <c r="DC10" t="s">
        <v>123</v>
      </c>
      <c r="DU10" t="s">
        <v>172</v>
      </c>
      <c r="EA10" t="s">
        <v>181</v>
      </c>
      <c r="ED10" t="s">
        <v>240</v>
      </c>
    </row>
    <row r="11" spans="75:134" x14ac:dyDescent="0.25">
      <c r="BW11" s="455"/>
      <c r="BX11" s="456"/>
      <c r="DA11" t="s">
        <v>123</v>
      </c>
      <c r="DC11" t="s">
        <v>123</v>
      </c>
      <c r="DU11" t="s">
        <v>172</v>
      </c>
      <c r="EA11" t="s">
        <v>172</v>
      </c>
      <c r="ED11" t="s">
        <v>172</v>
      </c>
    </row>
    <row r="12" spans="75:134" x14ac:dyDescent="0.25">
      <c r="BW12" s="455"/>
      <c r="BX12" s="456"/>
      <c r="DA12" t="s">
        <v>123</v>
      </c>
      <c r="DC12" t="s">
        <v>37</v>
      </c>
      <c r="DU12" t="s">
        <v>150</v>
      </c>
      <c r="EA12" t="s">
        <v>150</v>
      </c>
      <c r="ED12" t="s">
        <v>150</v>
      </c>
    </row>
    <row r="13" spans="75:134" x14ac:dyDescent="0.25">
      <c r="BW13" s="455"/>
      <c r="BX13" s="456"/>
      <c r="DA13" t="s">
        <v>37</v>
      </c>
      <c r="DC13" t="s">
        <v>37</v>
      </c>
      <c r="DD13" t="s">
        <v>240</v>
      </c>
      <c r="DH13" t="s">
        <v>240</v>
      </c>
      <c r="DJ13" t="s">
        <v>240</v>
      </c>
      <c r="DU13" t="s">
        <v>150</v>
      </c>
      <c r="DV13" t="s">
        <v>240</v>
      </c>
      <c r="DW13" t="s">
        <v>240</v>
      </c>
      <c r="DZ13" t="s">
        <v>240</v>
      </c>
      <c r="EA13" t="s">
        <v>123</v>
      </c>
      <c r="ED13" t="s">
        <v>123</v>
      </c>
    </row>
    <row r="14" spans="75:134" ht="15.75" thickBot="1" x14ac:dyDescent="0.3">
      <c r="BW14" s="457"/>
      <c r="BX14" s="458"/>
      <c r="DA14" t="s">
        <v>37</v>
      </c>
      <c r="DC14" t="s">
        <v>37</v>
      </c>
      <c r="DD14" t="s">
        <v>37</v>
      </c>
      <c r="DG14" t="s">
        <v>240</v>
      </c>
      <c r="DH14" t="s">
        <v>240</v>
      </c>
      <c r="DJ14" t="s">
        <v>240</v>
      </c>
      <c r="DU14" t="s">
        <v>150</v>
      </c>
      <c r="DV14" t="s">
        <v>240</v>
      </c>
      <c r="DW14" t="s">
        <v>37</v>
      </c>
      <c r="DY14" t="s">
        <v>150</v>
      </c>
      <c r="DZ14" t="s">
        <v>37</v>
      </c>
      <c r="EA14" t="s">
        <v>37</v>
      </c>
      <c r="ED14" t="s">
        <v>37</v>
      </c>
    </row>
    <row r="15" spans="75:134" ht="15.75" thickBot="1" x14ac:dyDescent="0.3">
      <c r="BW15" s="10"/>
      <c r="BX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G15" t="s">
        <v>37</v>
      </c>
      <c r="DH15" t="s">
        <v>37</v>
      </c>
      <c r="DI15" t="s">
        <v>240</v>
      </c>
      <c r="DJ15" t="s">
        <v>172</v>
      </c>
      <c r="DL15" t="s">
        <v>240</v>
      </c>
      <c r="DU15" t="s">
        <v>150</v>
      </c>
      <c r="DV15" t="s">
        <v>37</v>
      </c>
      <c r="DX15" t="s">
        <v>88</v>
      </c>
      <c r="DY15" t="s">
        <v>88</v>
      </c>
      <c r="DZ15" t="s">
        <v>88</v>
      </c>
      <c r="EA15" t="s">
        <v>88</v>
      </c>
      <c r="EB15" t="s">
        <v>88</v>
      </c>
      <c r="EC15" t="s">
        <v>88</v>
      </c>
      <c r="ED15" t="s">
        <v>88</v>
      </c>
    </row>
    <row r="16" spans="75:134" ht="36" x14ac:dyDescent="0.55000000000000004">
      <c r="BW16" s="10"/>
      <c r="BX16" s="10"/>
      <c r="BZ16" s="10"/>
      <c r="CA16" s="10"/>
      <c r="CB16" s="453" t="s">
        <v>105</v>
      </c>
      <c r="CC16" s="454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DA16" s="183" t="s">
        <v>224</v>
      </c>
      <c r="DK16" t="s">
        <v>240</v>
      </c>
      <c r="DL16" t="s">
        <v>240</v>
      </c>
      <c r="DM16" t="s">
        <v>240</v>
      </c>
    </row>
    <row r="17" spans="75:134" x14ac:dyDescent="0.25">
      <c r="BW17" s="10"/>
      <c r="BX17" s="10"/>
      <c r="BZ17" s="10"/>
      <c r="CA17" s="10"/>
      <c r="CB17" s="455"/>
      <c r="CC17" s="456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Y17" s="189"/>
      <c r="CZ17" s="190" t="s">
        <v>227</v>
      </c>
      <c r="DA17" s="191" t="str">
        <f>CJ55</f>
        <v>Enfundado</v>
      </c>
      <c r="DB17" s="191" t="str">
        <f>CZ19</f>
        <v>Sellado</v>
      </c>
      <c r="DC17" s="191" t="str">
        <f>CZ20</f>
        <v>Confección funda sin cremallera</v>
      </c>
      <c r="DD17" s="327" t="str">
        <f>CZ21</f>
        <v>Corte tapa de tela</v>
      </c>
      <c r="DE17" s="191" t="str">
        <f>CZ22</f>
        <v>Rellenado - Pesado</v>
      </c>
      <c r="DF17" s="327" t="str">
        <f>CZ23</f>
        <v>Corte tapas de espuma</v>
      </c>
      <c r="DG17" t="str">
        <f>CZ24</f>
        <v>Pesado MP</v>
      </c>
      <c r="DH17" t="str">
        <f>CZ25</f>
        <v>Compresor</v>
      </c>
      <c r="DI17" t="str">
        <f>CZ26</f>
        <v>Corte</v>
      </c>
      <c r="DJ17" t="str">
        <f>CZ27</f>
        <v>Curado-Almacen</v>
      </c>
      <c r="DK17" t="str">
        <f>CZ28</f>
        <v>Acolchado</v>
      </c>
      <c r="DL17" t="str">
        <f>CZ29</f>
        <v>Corte espuma continua</v>
      </c>
      <c r="DM17" t="str">
        <f>CZ30</f>
        <v>Perforación cilindro</v>
      </c>
      <c r="DN17" s="224" t="str">
        <f>CZ31</f>
        <v>Confección clchón algodón</v>
      </c>
      <c r="DO17" t="str">
        <f>CZ32</f>
        <v>Almacen madera</v>
      </c>
      <c r="DP17" t="str">
        <f>CZ33</f>
        <v>Corte madera</v>
      </c>
      <c r="DQ17" t="str">
        <f>CZ34</f>
        <v>Lijado</v>
      </c>
      <c r="DR17" t="str">
        <f>CZ35</f>
        <v>Barnizado</v>
      </c>
      <c r="DS17" t="str">
        <f>CZ36</f>
        <v>Ensamble base cama</v>
      </c>
      <c r="DU17" t="str">
        <f>CZ38</f>
        <v>Cerrado-confección-tapizado</v>
      </c>
      <c r="DV17" s="191" t="str">
        <f>CZ39</f>
        <v>Moldeo</v>
      </c>
      <c r="DW17" s="191" t="str">
        <f>CZ40</f>
        <v>Mezclado</v>
      </c>
      <c r="DX17" s="191" t="str">
        <f>CZ41</f>
        <v>Pegar tapas espuma</v>
      </c>
      <c r="DY17" s="191" t="str">
        <f>CZ42</f>
        <v>Triturado-Corte manual</v>
      </c>
      <c r="DZ17" s="191" t="str">
        <f>CZ43</f>
        <v>Desechos</v>
      </c>
      <c r="EA17" s="290" t="str">
        <f>CZ44</f>
        <v>Almacen PT</v>
      </c>
      <c r="EB17" s="191" t="str">
        <f>CZ45</f>
        <v>Almacen insumos/mp</v>
      </c>
      <c r="EC17" s="191"/>
      <c r="ED17" s="192" t="str">
        <f>CZ46</f>
        <v>Almacen reproceso</v>
      </c>
    </row>
    <row r="18" spans="75:134" x14ac:dyDescent="0.25">
      <c r="BW18" s="10"/>
      <c r="BX18" s="10"/>
      <c r="BZ18" s="10"/>
      <c r="CA18" s="10"/>
      <c r="CB18" s="455"/>
      <c r="CC18" s="456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W18" t="s">
        <v>123</v>
      </c>
      <c r="CX18" t="s">
        <v>37</v>
      </c>
      <c r="CY18" s="193" t="s">
        <v>88</v>
      </c>
      <c r="CZ18" s="10" t="str">
        <f>CJ55</f>
        <v>Enfundado</v>
      </c>
      <c r="DA18" s="10"/>
      <c r="DB18" s="10"/>
      <c r="DC18" s="10"/>
      <c r="DD18" s="317"/>
      <c r="DE18" s="10"/>
      <c r="DF18" s="317"/>
      <c r="DV18" s="10"/>
      <c r="DW18" s="10"/>
      <c r="DX18" s="10"/>
      <c r="DY18" s="10"/>
      <c r="DZ18" s="10"/>
      <c r="EA18" s="10">
        <f>CL56+CL116+CL177</f>
        <v>2766.0058408396603</v>
      </c>
      <c r="EB18" s="10"/>
      <c r="EC18" s="10"/>
      <c r="ED18" s="194"/>
    </row>
    <row r="19" spans="75:134" x14ac:dyDescent="0.25">
      <c r="BW19" s="10"/>
      <c r="BX19" s="10"/>
      <c r="BZ19" s="10"/>
      <c r="CA19" s="10"/>
      <c r="CB19" s="455"/>
      <c r="CC19" s="456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V19" t="s">
        <v>242</v>
      </c>
      <c r="CY19" s="193" t="s">
        <v>88</v>
      </c>
      <c r="CZ19" s="10" t="s">
        <v>29</v>
      </c>
      <c r="DA19" s="10">
        <f>CH58</f>
        <v>99.313684884648012</v>
      </c>
      <c r="DB19" s="10"/>
      <c r="DC19" s="10"/>
      <c r="DD19" s="317"/>
      <c r="DE19" s="10"/>
      <c r="DF19" s="317"/>
      <c r="DV19" s="10"/>
      <c r="DW19" s="10"/>
      <c r="DX19" s="10"/>
      <c r="DY19" s="10"/>
      <c r="DZ19" s="10"/>
      <c r="EA19" s="10"/>
      <c r="EB19" s="10"/>
      <c r="EC19" s="10"/>
      <c r="ED19" s="194"/>
    </row>
    <row r="20" spans="75:134" x14ac:dyDescent="0.25">
      <c r="BW20" s="441" t="s">
        <v>226</v>
      </c>
      <c r="BX20" s="442"/>
      <c r="BZ20" s="10"/>
      <c r="CA20" s="10"/>
      <c r="CB20" s="455"/>
      <c r="CC20" s="456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V20" t="s">
        <v>123</v>
      </c>
      <c r="CW20" t="s">
        <v>37</v>
      </c>
      <c r="CX20" t="s">
        <v>37</v>
      </c>
      <c r="CY20" s="193" t="s">
        <v>88</v>
      </c>
      <c r="CZ20" s="10" t="str">
        <f>CC42</f>
        <v>Confección funda sin cremallera</v>
      </c>
      <c r="DA20" s="10">
        <f>CH52+CH112+CH173</f>
        <v>412.64815595501244</v>
      </c>
      <c r="DB20" s="10"/>
      <c r="DC20" s="10"/>
      <c r="DD20" s="317"/>
      <c r="DE20" s="10"/>
      <c r="DF20" s="317"/>
      <c r="DV20" s="10"/>
      <c r="DW20" s="10"/>
      <c r="DX20" s="10"/>
      <c r="DY20" s="10"/>
      <c r="DZ20" s="222">
        <f>CB29+CC93</f>
        <v>0.84169691615856013</v>
      </c>
      <c r="EA20" s="10"/>
      <c r="EB20" s="10"/>
      <c r="EC20" s="10"/>
      <c r="ED20" s="207"/>
    </row>
    <row r="21" spans="75:134" ht="15.75" thickBot="1" x14ac:dyDescent="0.3">
      <c r="BW21" s="406" t="str">
        <f>BX29</f>
        <v>RETAZOS DE TELA</v>
      </c>
      <c r="BX21" s="407"/>
      <c r="BZ21" s="10"/>
      <c r="CA21" s="10"/>
      <c r="CB21" s="457"/>
      <c r="CC21" s="458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 t="s">
        <v>181</v>
      </c>
      <c r="CP21" t="s">
        <v>181</v>
      </c>
      <c r="CQ21" t="s">
        <v>172</v>
      </c>
      <c r="CR21" t="s">
        <v>172</v>
      </c>
      <c r="CS21" t="s">
        <v>150</v>
      </c>
      <c r="CT21" t="s">
        <v>150</v>
      </c>
      <c r="CU21" t="s">
        <v>123</v>
      </c>
      <c r="CV21" t="s">
        <v>123</v>
      </c>
      <c r="CW21" t="s">
        <v>37</v>
      </c>
      <c r="CX21" t="s">
        <v>37</v>
      </c>
      <c r="CY21" s="316" t="s">
        <v>88</v>
      </c>
      <c r="CZ21" s="317" t="str">
        <f>BX35</f>
        <v>Corte tapa de tela</v>
      </c>
      <c r="DA21" s="317"/>
      <c r="DB21" s="317"/>
      <c r="DC21" s="317">
        <f>CA38+CA98+CA159</f>
        <v>404.67414309728008</v>
      </c>
      <c r="DD21" s="317"/>
      <c r="DE21" s="317"/>
      <c r="DF21" s="317"/>
      <c r="DG21" s="318"/>
      <c r="DH21" s="318"/>
      <c r="DI21" s="318"/>
      <c r="DJ21" s="318"/>
      <c r="DK21" s="318"/>
      <c r="DL21" s="318"/>
      <c r="DM21" s="318"/>
      <c r="DN21" s="318">
        <f>CI779</f>
        <v>634.98830850000002</v>
      </c>
      <c r="DO21" s="318"/>
      <c r="DP21" s="318"/>
      <c r="DU21" s="318">
        <f>CJ348+CH229+CJ422+CJ498+CJ576+CI698</f>
        <v>833.12839781595403</v>
      </c>
      <c r="DV21" s="317"/>
      <c r="DW21" s="317"/>
      <c r="DX21" s="317"/>
      <c r="DY21" s="317"/>
      <c r="DZ21" s="320">
        <f>BW22</f>
        <v>12.470400000000003</v>
      </c>
      <c r="EA21" s="317"/>
      <c r="EB21" s="317"/>
      <c r="EC21" s="317"/>
      <c r="ED21" s="321">
        <f>BX92+BM153+BT196+BZ328+BV389+BV465+BV543+BU665</f>
        <v>72.52532704566174</v>
      </c>
    </row>
    <row r="22" spans="75:134" x14ac:dyDescent="0.25">
      <c r="BW22" s="12">
        <f>BX32</f>
        <v>12.470400000000003</v>
      </c>
      <c r="BX22" s="4" t="s">
        <v>18</v>
      </c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Y22" s="193" t="s">
        <v>88</v>
      </c>
      <c r="CZ22" s="10" t="s">
        <v>229</v>
      </c>
      <c r="DA22" s="10"/>
      <c r="DB22" s="10">
        <f>CA68</f>
        <v>99.239910840000007</v>
      </c>
      <c r="DC22" s="10"/>
      <c r="DD22" s="317"/>
      <c r="DE22" s="10"/>
      <c r="DF22" s="317"/>
      <c r="DV22" s="10"/>
      <c r="DW22" s="10"/>
      <c r="DX22" s="10"/>
      <c r="DY22" s="10"/>
      <c r="DZ22" s="10"/>
      <c r="EA22" s="10"/>
      <c r="EB22" s="10"/>
      <c r="EC22" s="10"/>
      <c r="ED22" s="194"/>
    </row>
    <row r="23" spans="75:134" x14ac:dyDescent="0.25">
      <c r="BW23" s="12">
        <f>BW22/CF76</f>
        <v>124.70400000000002</v>
      </c>
      <c r="BX23" s="4" t="s">
        <v>17</v>
      </c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Y23" s="316" t="s">
        <v>88</v>
      </c>
      <c r="CZ23" s="317" t="str">
        <f>BK52</f>
        <v>Corte tapas de espuma</v>
      </c>
      <c r="DA23" s="317"/>
      <c r="DB23" s="317"/>
      <c r="DC23" s="317"/>
      <c r="DD23" s="317"/>
      <c r="DE23" s="317"/>
      <c r="DF23" s="317"/>
      <c r="DG23" s="318"/>
      <c r="DH23" s="318"/>
      <c r="DI23" s="318"/>
      <c r="DJ23" s="318"/>
      <c r="DK23" s="318"/>
      <c r="DL23" s="318"/>
      <c r="DM23" s="318"/>
      <c r="DN23" s="318"/>
      <c r="DO23" s="318"/>
      <c r="DP23" s="318"/>
      <c r="DU23" s="318"/>
      <c r="DV23" s="317"/>
      <c r="DW23" s="317"/>
      <c r="DX23" s="317">
        <f>BO54</f>
        <v>9.255374999999999</v>
      </c>
      <c r="DY23" s="317"/>
      <c r="DZ23" s="317"/>
      <c r="EA23" s="317"/>
      <c r="EB23" s="317"/>
      <c r="EC23" s="317"/>
      <c r="ED23" s="319">
        <f>BG62</f>
        <v>6.2936549999999993</v>
      </c>
    </row>
    <row r="24" spans="75:134" x14ac:dyDescent="0.25">
      <c r="BW24" s="10"/>
      <c r="BX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X24" t="s">
        <v>240</v>
      </c>
      <c r="CY24" s="203" t="s">
        <v>37</v>
      </c>
      <c r="CZ24" t="str">
        <f>BQ118</f>
        <v>Pesado MP</v>
      </c>
      <c r="DD24" s="318"/>
      <c r="DF24" s="318"/>
      <c r="DW24">
        <f>BQ120+BG356</f>
        <v>4638.5555276987398</v>
      </c>
    </row>
    <row r="25" spans="75:134" x14ac:dyDescent="0.25">
      <c r="BW25" s="10"/>
      <c r="BX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Z25" t="s">
        <v>235</v>
      </c>
      <c r="DD25" s="318"/>
      <c r="DF25" s="318"/>
    </row>
    <row r="26" spans="75:134" x14ac:dyDescent="0.25">
      <c r="BW26" s="10"/>
      <c r="BX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X26" t="s">
        <v>172</v>
      </c>
      <c r="CY26" t="s">
        <v>123</v>
      </c>
      <c r="CZ26" t="s">
        <v>142</v>
      </c>
      <c r="DA26">
        <f>CH179</f>
        <v>2000.7</v>
      </c>
      <c r="DD26" s="318"/>
      <c r="DF26" s="318"/>
      <c r="DU26">
        <f>CJ354+CH235+CI704</f>
        <v>1993.5179999999998</v>
      </c>
    </row>
    <row r="27" spans="75:134" x14ac:dyDescent="0.25">
      <c r="BW27" s="10"/>
      <c r="BX27" s="10"/>
      <c r="BZ27" s="10"/>
      <c r="CA27" s="10"/>
      <c r="CB27" s="441" t="s">
        <v>226</v>
      </c>
      <c r="CC27" s="442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X27" t="s">
        <v>240</v>
      </c>
      <c r="CY27" t="s">
        <v>240</v>
      </c>
      <c r="CZ27" t="s">
        <v>241</v>
      </c>
      <c r="DD27" s="318"/>
      <c r="DF27" s="318"/>
      <c r="DI27">
        <f>CB360</f>
        <v>3994.2179999999998</v>
      </c>
      <c r="DM27">
        <f>AZ327</f>
        <v>320.63094624999997</v>
      </c>
    </row>
    <row r="28" spans="75:134" x14ac:dyDescent="0.25">
      <c r="BW28" s="10"/>
      <c r="BX28" s="10"/>
      <c r="BZ28" s="10"/>
      <c r="CA28" s="10"/>
      <c r="CB28" s="406" t="str">
        <f>CC36</f>
        <v>HILO</v>
      </c>
      <c r="CC28" s="407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X28" t="s">
        <v>240</v>
      </c>
      <c r="CY28" t="s">
        <v>240</v>
      </c>
      <c r="CZ28" t="s">
        <v>213</v>
      </c>
      <c r="DD28" s="318">
        <f>BW333</f>
        <v>1261.1918979588959</v>
      </c>
      <c r="DF28" s="318"/>
      <c r="DZ28">
        <f>BT323</f>
        <v>0.33391831679015999</v>
      </c>
    </row>
    <row r="29" spans="75:134" x14ac:dyDescent="0.25">
      <c r="BW29" s="10"/>
      <c r="BX29" s="48" t="s">
        <v>228</v>
      </c>
      <c r="BZ29" s="10"/>
      <c r="CA29" s="10"/>
      <c r="CB29" s="12">
        <f>CC39</f>
        <v>2.9509617859200012E-2</v>
      </c>
      <c r="CC29" s="4" t="s">
        <v>18</v>
      </c>
      <c r="CD29" s="10"/>
      <c r="CE29" s="10"/>
      <c r="CF29" s="10"/>
      <c r="CG29" s="10"/>
      <c r="CH29" s="10"/>
      <c r="CI29" s="10"/>
      <c r="CJ29" s="10"/>
      <c r="CK29" s="10"/>
      <c r="CX29" t="s">
        <v>240</v>
      </c>
      <c r="CY29" t="s">
        <v>240</v>
      </c>
      <c r="CZ29" t="s">
        <v>218</v>
      </c>
      <c r="DD29" s="318"/>
      <c r="DF29" s="318"/>
      <c r="DJ29" s="21">
        <f>AZ337</f>
        <v>57.241101581608007</v>
      </c>
      <c r="DK29">
        <f>BU329</f>
        <v>263.38984466839196</v>
      </c>
      <c r="ED29" s="21"/>
    </row>
    <row r="30" spans="75:134" x14ac:dyDescent="0.25">
      <c r="BX30" s="18" t="s">
        <v>36</v>
      </c>
      <c r="BZ30" s="10"/>
      <c r="CA30" s="10"/>
      <c r="CB30" s="12">
        <f>CB29/CF75</f>
        <v>380.34720000000016</v>
      </c>
      <c r="CC30" s="4" t="s">
        <v>16</v>
      </c>
      <c r="CD30" s="10"/>
      <c r="CE30" s="10"/>
      <c r="CF30" s="10"/>
      <c r="CG30" s="10"/>
      <c r="CH30" s="10"/>
      <c r="CI30" s="10"/>
      <c r="CJ30" s="10"/>
      <c r="CK30" s="10"/>
      <c r="CX30" t="s">
        <v>240</v>
      </c>
      <c r="CY30" t="s">
        <v>240</v>
      </c>
      <c r="CZ30" t="s">
        <v>222</v>
      </c>
      <c r="DD30" s="318"/>
      <c r="DF30" s="318"/>
      <c r="DL30">
        <f>BE335</f>
        <v>320.63094624999997</v>
      </c>
      <c r="ED30" s="21">
        <f>AZ316</f>
        <v>5.67E-2</v>
      </c>
    </row>
    <row r="31" spans="75:134" x14ac:dyDescent="0.25">
      <c r="BX31" s="19" t="s">
        <v>54</v>
      </c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Z31" t="s">
        <v>265</v>
      </c>
      <c r="DD31" s="318"/>
      <c r="DF31" s="318"/>
      <c r="EA31">
        <f>CM777</f>
        <v>8710.6889999999985</v>
      </c>
    </row>
    <row r="32" spans="75:134" x14ac:dyDescent="0.25">
      <c r="BX32" s="38">
        <f>(48*60)*CC76*CF76*CG52</f>
        <v>12.470400000000003</v>
      </c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Z32" t="s">
        <v>294</v>
      </c>
      <c r="DD32" s="318"/>
      <c r="DF32" s="318"/>
      <c r="DP32">
        <f>CK834</f>
        <v>5847.9506010000005</v>
      </c>
      <c r="DR32">
        <f>CI850*CM820</f>
        <v>86.145120000000006</v>
      </c>
      <c r="DS32">
        <f>CI846*CM820</f>
        <v>225.018</v>
      </c>
    </row>
    <row r="33" spans="63:134" x14ac:dyDescent="0.25">
      <c r="BX33" s="1">
        <f>BU39</f>
        <v>43.6464</v>
      </c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Z33" t="s">
        <v>295</v>
      </c>
      <c r="DD33" s="318"/>
      <c r="DF33" s="318"/>
      <c r="DO33">
        <f>CL833</f>
        <v>57.900501000000077</v>
      </c>
      <c r="DQ33">
        <f>CK835</f>
        <v>5790.0501000000004</v>
      </c>
    </row>
    <row r="34" spans="63:134" x14ac:dyDescent="0.25">
      <c r="BQ34" s="30" t="s">
        <v>51</v>
      </c>
      <c r="BR34" s="31"/>
      <c r="BT34" s="470" t="s">
        <v>66</v>
      </c>
      <c r="BU34" s="460"/>
      <c r="BX34" s="13" t="s">
        <v>34</v>
      </c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W34" t="s">
        <v>181</v>
      </c>
      <c r="CX34" t="s">
        <v>172</v>
      </c>
      <c r="CZ34" t="s">
        <v>291</v>
      </c>
      <c r="DD34" s="318"/>
      <c r="DF34" s="318"/>
      <c r="DR34">
        <f>CM835</f>
        <v>5789.47109499</v>
      </c>
      <c r="DZ34">
        <f>CL832</f>
        <v>0.57900501000040094</v>
      </c>
    </row>
    <row r="35" spans="63:134" x14ac:dyDescent="0.25">
      <c r="BQ35" s="32" t="str">
        <f>BT34</f>
        <v>Rollo de tela</v>
      </c>
      <c r="BR35" s="33"/>
      <c r="BT35" s="471"/>
      <c r="BU35" s="462"/>
      <c r="BX35" s="2" t="s">
        <v>65</v>
      </c>
      <c r="BZ35" s="449" t="s">
        <v>64</v>
      </c>
      <c r="CA35" s="425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T35" t="s">
        <v>240</v>
      </c>
      <c r="CU35" t="s">
        <v>240</v>
      </c>
      <c r="CV35" t="s">
        <v>240</v>
      </c>
      <c r="CW35" t="s">
        <v>172</v>
      </c>
      <c r="CX35" t="s">
        <v>37</v>
      </c>
      <c r="CZ35" t="s">
        <v>292</v>
      </c>
      <c r="DD35" s="318"/>
      <c r="DF35" s="318"/>
      <c r="DS35">
        <f>CM836</f>
        <v>5875.6162149900001</v>
      </c>
    </row>
    <row r="36" spans="63:134" x14ac:dyDescent="0.25">
      <c r="BQ36" s="12" t="s">
        <v>155</v>
      </c>
      <c r="BR36" s="4" t="s">
        <v>18</v>
      </c>
      <c r="BT36" s="5" t="s">
        <v>30</v>
      </c>
      <c r="BU36" s="5" t="s">
        <v>1</v>
      </c>
      <c r="BV36" s="5" t="s">
        <v>42</v>
      </c>
      <c r="BX36" s="14" t="s">
        <v>35</v>
      </c>
      <c r="BZ36" s="450"/>
      <c r="CA36" s="427"/>
      <c r="CB36" s="10"/>
      <c r="CC36" s="48" t="s">
        <v>225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W36" t="s">
        <v>240</v>
      </c>
      <c r="CX36" t="s">
        <v>240</v>
      </c>
      <c r="CZ36" t="s">
        <v>296</v>
      </c>
      <c r="DD36" s="318"/>
      <c r="DF36" s="318"/>
      <c r="EA36">
        <f>CM837</f>
        <v>6100.6342149900001</v>
      </c>
    </row>
    <row r="37" spans="63:134" x14ac:dyDescent="0.25">
      <c r="BQ37" s="12">
        <f>BT37</f>
        <v>771.62400000000002</v>
      </c>
      <c r="BR37" s="4">
        <f>BU37</f>
        <v>77.162400000000005</v>
      </c>
      <c r="BT37" s="5">
        <f>BU37*10</f>
        <v>771.62400000000002</v>
      </c>
      <c r="BU37" s="4">
        <f>SUM(BU39:BU42)</f>
        <v>77.162400000000005</v>
      </c>
      <c r="BV37" s="36"/>
      <c r="BX37">
        <f>CA38</f>
        <v>31.176000000000002</v>
      </c>
      <c r="BZ37" s="8" t="s">
        <v>30</v>
      </c>
      <c r="CA37" s="6" t="s">
        <v>1</v>
      </c>
      <c r="CB37" s="159" t="s">
        <v>42</v>
      </c>
      <c r="CC37" s="49" t="s">
        <v>36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DD37" s="318"/>
      <c r="DF37" s="318"/>
    </row>
    <row r="38" spans="63:134" x14ac:dyDescent="0.25">
      <c r="BT38" s="465" t="s">
        <v>67</v>
      </c>
      <c r="BU38" s="14">
        <f>(48*210)*CC76*CG52</f>
        <v>436.464</v>
      </c>
      <c r="BV38" t="s">
        <v>69</v>
      </c>
      <c r="BX38" s="15" t="s">
        <v>36</v>
      </c>
      <c r="BZ38" s="8">
        <f>CG52*CA76*CC76</f>
        <v>311.76</v>
      </c>
      <c r="CA38" s="4">
        <f>CG52*CA76*CC76*CF76</f>
        <v>31.176000000000002</v>
      </c>
      <c r="CB38" s="185"/>
      <c r="CC38" s="45" t="s">
        <v>54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U38" t="s">
        <v>181</v>
      </c>
      <c r="CV38" t="s">
        <v>172</v>
      </c>
      <c r="CW38" t="s">
        <v>172</v>
      </c>
      <c r="CX38" t="s">
        <v>150</v>
      </c>
      <c r="CY38" t="s">
        <v>150</v>
      </c>
      <c r="CZ38" t="s">
        <v>237</v>
      </c>
      <c r="DD38" s="318"/>
      <c r="DF38" s="318"/>
      <c r="EA38">
        <f>CN352+CL233+CN426+CN502+CN580+CM702</f>
        <v>15377.29811542937</v>
      </c>
    </row>
    <row r="39" spans="63:134" x14ac:dyDescent="0.25">
      <c r="BT39" s="466"/>
      <c r="BU39" s="14">
        <f>(48*210)*CC76*CF76*CG52</f>
        <v>43.6464</v>
      </c>
      <c r="BV39" t="s">
        <v>68</v>
      </c>
      <c r="BX39" s="35" t="s">
        <v>63</v>
      </c>
      <c r="BZ39" s="10"/>
      <c r="CA39" s="10"/>
      <c r="CB39" s="10"/>
      <c r="CC39" s="49">
        <f>(BZ49-CA77)*CC77*CF77*CG52</f>
        <v>2.9509617859200012E-2</v>
      </c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Y39" s="193" t="s">
        <v>37</v>
      </c>
      <c r="CZ39" s="10" t="str">
        <f>CC123</f>
        <v>Moldeo</v>
      </c>
      <c r="DA39" s="10">
        <f>CH118</f>
        <v>253.34399999999999</v>
      </c>
      <c r="DB39" s="10"/>
      <c r="DC39" s="10"/>
      <c r="DD39" s="317"/>
      <c r="DE39" s="10"/>
      <c r="DF39" s="317"/>
      <c r="DH39">
        <f>CC120+BL355+AQ332</f>
        <v>324.15161386632229</v>
      </c>
      <c r="DJ39">
        <f>BL360+AQ337</f>
        <v>4404.0067739414171</v>
      </c>
      <c r="DV39" s="10"/>
      <c r="DW39" s="10"/>
      <c r="DX39" s="10"/>
      <c r="DY39" s="10"/>
      <c r="DZ39" s="10"/>
      <c r="EA39" s="10"/>
      <c r="EB39" s="10"/>
      <c r="EC39" s="10"/>
      <c r="ED39" s="194"/>
    </row>
    <row r="40" spans="63:134" x14ac:dyDescent="0.25">
      <c r="BT40" t="str">
        <f>BT98</f>
        <v>Por tapa almohada viscoelastica</v>
      </c>
      <c r="BU40" s="14">
        <f>BU99</f>
        <v>33.516000000000005</v>
      </c>
      <c r="BV40" t="str">
        <f>BV99</f>
        <v>sale kg</v>
      </c>
      <c r="BX40" s="28"/>
      <c r="BZ40" s="10"/>
      <c r="CA40" s="10"/>
      <c r="CB40" s="10"/>
      <c r="CC40" s="9">
        <f>CA38+CA48</f>
        <v>31.402240403587204</v>
      </c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Y40" s="205" t="s">
        <v>37</v>
      </c>
      <c r="CZ40" s="204" t="str">
        <f>BX123</f>
        <v>Mezclado</v>
      </c>
      <c r="DA40" s="10"/>
      <c r="DB40" s="10"/>
      <c r="DC40" s="10"/>
      <c r="DD40" s="317"/>
      <c r="DE40" s="10"/>
      <c r="DF40" s="317"/>
      <c r="DV40" s="10">
        <f>BJ364+CA129+AL337</f>
        <v>4981.50238780774</v>
      </c>
      <c r="DW40" s="10"/>
      <c r="DX40" s="10"/>
      <c r="DY40" s="10"/>
      <c r="DZ40" s="10"/>
      <c r="EA40" s="10"/>
      <c r="EB40" s="10"/>
      <c r="EC40" s="10"/>
      <c r="ED40" s="194"/>
    </row>
    <row r="41" spans="63:134" x14ac:dyDescent="0.25">
      <c r="BX41" s="16"/>
      <c r="BZ41" s="10"/>
      <c r="CA41" s="10"/>
      <c r="CB41" s="10"/>
      <c r="CC41" s="47" t="s">
        <v>34</v>
      </c>
      <c r="CD41" s="10"/>
      <c r="CE41" s="10"/>
      <c r="CF41" s="10"/>
      <c r="CG41" s="10"/>
      <c r="CH41" s="10"/>
      <c r="CI41" s="10"/>
      <c r="CJ41" s="10"/>
      <c r="CK41" s="10" t="s">
        <v>181</v>
      </c>
      <c r="CL41" s="10" t="s">
        <v>240</v>
      </c>
      <c r="CM41" s="10" t="s">
        <v>240</v>
      </c>
      <c r="CN41" s="10" t="s">
        <v>172</v>
      </c>
      <c r="CO41" s="10" t="s">
        <v>172</v>
      </c>
      <c r="CP41" t="s">
        <v>172</v>
      </c>
      <c r="CQ41" t="s">
        <v>172</v>
      </c>
      <c r="CR41" t="s">
        <v>150</v>
      </c>
      <c r="CS41" t="s">
        <v>150</v>
      </c>
      <c r="CT41" t="s">
        <v>123</v>
      </c>
      <c r="CU41" t="s">
        <v>123</v>
      </c>
      <c r="CV41" t="s">
        <v>37</v>
      </c>
      <c r="CW41" t="s">
        <v>37</v>
      </c>
      <c r="CX41" t="s">
        <v>37</v>
      </c>
      <c r="CY41" s="193" t="s">
        <v>88</v>
      </c>
      <c r="CZ41" s="10" t="str">
        <f>BQ58</f>
        <v>Pegar tapas espuma</v>
      </c>
      <c r="DA41" s="10"/>
      <c r="DB41" s="10"/>
      <c r="DC41" s="10"/>
      <c r="DD41" s="317"/>
      <c r="DE41" s="10">
        <f>BV59</f>
        <v>12.639910839999999</v>
      </c>
      <c r="DF41" s="317"/>
      <c r="DV41" s="10"/>
      <c r="DW41" s="10"/>
      <c r="DX41" s="10"/>
      <c r="DY41" s="10"/>
      <c r="DZ41" s="10"/>
      <c r="EA41" s="10"/>
      <c r="EB41" s="10"/>
      <c r="EC41" s="10"/>
      <c r="ED41" s="194"/>
    </row>
    <row r="42" spans="63:134" x14ac:dyDescent="0.25">
      <c r="BZ42" s="10"/>
      <c r="CA42" s="10"/>
      <c r="CB42" s="10"/>
      <c r="CC42" s="65" t="s">
        <v>60</v>
      </c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V42" t="s">
        <v>172</v>
      </c>
      <c r="CW42" t="s">
        <v>150</v>
      </c>
      <c r="CX42" t="s">
        <v>37</v>
      </c>
      <c r="CY42" s="193" t="s">
        <v>88</v>
      </c>
      <c r="CZ42" s="10" t="s">
        <v>239</v>
      </c>
      <c r="DA42" s="10"/>
      <c r="DB42" s="10"/>
      <c r="DC42" s="10"/>
      <c r="DD42" s="317"/>
      <c r="DE42" s="195">
        <f>BT78</f>
        <v>6.3503549999999995</v>
      </c>
      <c r="DF42" s="317"/>
      <c r="DU42" s="140">
        <f>CI247+CK366+CK440+CK516+CK594+CJ716</f>
        <v>23.248000000000001</v>
      </c>
      <c r="DV42" s="10"/>
      <c r="DW42" s="10"/>
      <c r="DX42" s="10"/>
      <c r="DY42" s="10"/>
      <c r="DZ42" s="10"/>
      <c r="EA42" s="10"/>
      <c r="EB42" s="10"/>
      <c r="EC42" s="10"/>
      <c r="ED42" s="194"/>
    </row>
    <row r="43" spans="63:134" x14ac:dyDescent="0.25">
      <c r="BX43" s="22">
        <f>BU39-BX32-CA38</f>
        <v>0</v>
      </c>
      <c r="BZ43" s="10"/>
      <c r="CA43" s="10"/>
      <c r="CB43" s="10"/>
      <c r="CC43" s="48" t="s">
        <v>35</v>
      </c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Y43" s="193" t="s">
        <v>88</v>
      </c>
      <c r="CZ43" s="10" t="s">
        <v>226</v>
      </c>
      <c r="DA43" s="10"/>
      <c r="DB43" s="10"/>
      <c r="DC43" s="10"/>
      <c r="DD43" s="317"/>
      <c r="DE43" s="10"/>
      <c r="DF43" s="317"/>
      <c r="DV43" s="10"/>
      <c r="DW43" s="10"/>
      <c r="DX43" s="10"/>
      <c r="DY43" s="10"/>
      <c r="DZ43" s="10"/>
      <c r="EA43" s="10"/>
      <c r="EB43" s="10"/>
      <c r="EC43" s="10"/>
      <c r="ED43" s="194"/>
    </row>
    <row r="44" spans="63:134" x14ac:dyDescent="0.25">
      <c r="BZ44" s="10"/>
      <c r="CA44" s="10"/>
      <c r="CB44" s="10"/>
      <c r="CC44" s="10">
        <f>CH52</f>
        <v>31.372730785728002</v>
      </c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Y44" s="193" t="s">
        <v>88</v>
      </c>
      <c r="CZ44" s="10" t="s">
        <v>52</v>
      </c>
      <c r="DA44" s="10"/>
      <c r="DB44" s="10"/>
      <c r="DC44" s="10"/>
      <c r="DD44" s="317"/>
      <c r="DE44" s="10"/>
      <c r="DF44" s="317"/>
      <c r="DV44" s="10"/>
      <c r="DW44" s="10"/>
      <c r="DX44" s="10"/>
      <c r="DY44" s="10"/>
      <c r="DZ44" s="10"/>
      <c r="EA44" s="10"/>
      <c r="EB44" s="10"/>
      <c r="EC44" s="10"/>
      <c r="ED44" s="194"/>
    </row>
    <row r="45" spans="63:134" x14ac:dyDescent="0.25">
      <c r="BW45" s="404" t="s">
        <v>51</v>
      </c>
      <c r="BX45" s="405"/>
      <c r="BZ45" s="449" t="s">
        <v>73</v>
      </c>
      <c r="CA45" s="425"/>
      <c r="CB45" s="10"/>
      <c r="CC45" s="50" t="s">
        <v>36</v>
      </c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Y45" s="193"/>
      <c r="CZ45" s="10" t="str">
        <f>BW45</f>
        <v>Almacen insumos/mp</v>
      </c>
      <c r="DA45" s="10"/>
      <c r="DB45" s="10">
        <f>CA59</f>
        <v>7.3774044648000012E-2</v>
      </c>
      <c r="DC45" s="10">
        <f>CA48+CA108+BZ103+CA169+BZ164</f>
        <v>25.161857218530983</v>
      </c>
      <c r="DD45" s="328">
        <f>BU37+CB790</f>
        <v>712.15070850000006</v>
      </c>
      <c r="DE45" s="10">
        <f>BW79</f>
        <v>80.249645000000015</v>
      </c>
      <c r="DF45" s="330"/>
      <c r="DG45">
        <f>BQ116+BG356</f>
        <v>4638.5555276987398</v>
      </c>
      <c r="DK45">
        <f>BV329</f>
        <v>997.80205329050386</v>
      </c>
      <c r="DN45">
        <f>CN767</f>
        <v>8075.7006915000002</v>
      </c>
      <c r="DU45" s="224">
        <f>CO415+CH239+CI243+CJ342+CJ358+CK362+BR318+BP199+CO491+BR468+CO569+BR468+CN692+BQ668+BR392+BR546</f>
        <v>12527.403717613415</v>
      </c>
      <c r="DV45" s="10"/>
      <c r="DW45" s="10"/>
      <c r="DX45" s="10">
        <f>BK70</f>
        <v>3.3845358400000003</v>
      </c>
      <c r="DY45" s="214"/>
      <c r="DZ45" s="10"/>
      <c r="EA45" s="10"/>
      <c r="EB45" s="10"/>
      <c r="EC45" s="10"/>
      <c r="ED45" s="194"/>
    </row>
    <row r="46" spans="63:134" x14ac:dyDescent="0.25">
      <c r="BW46" s="406" t="str">
        <f>BZ45</f>
        <v>Hilo funda de tela sin cremallera</v>
      </c>
      <c r="BX46" s="407"/>
      <c r="BZ46" s="450"/>
      <c r="CA46" s="427"/>
      <c r="CB46" s="10"/>
      <c r="CC46" s="51" t="s">
        <v>63</v>
      </c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Y46" s="196" t="s">
        <v>88</v>
      </c>
      <c r="CZ46" s="197" t="s">
        <v>232</v>
      </c>
      <c r="DA46" s="197"/>
      <c r="DB46" s="197"/>
      <c r="DC46" s="197"/>
      <c r="DD46" s="329">
        <f>BW90</f>
        <v>13.200000000000001</v>
      </c>
      <c r="DE46" s="197"/>
      <c r="DF46" s="329"/>
      <c r="DV46" s="197"/>
      <c r="DW46" s="197"/>
      <c r="DX46" s="197"/>
      <c r="DY46" s="198">
        <f>BG62+AZ316+(BM194-BM200)+(BV315-BO319)+(BV389-BO393)+(BV465-BO469)+(BV543-BO547)+(BU665-BN669)</f>
        <v>29.598355000000002</v>
      </c>
      <c r="DZ46" s="197"/>
      <c r="EA46" s="197"/>
      <c r="EB46" s="197"/>
      <c r="EC46" s="197"/>
      <c r="ED46" s="199"/>
    </row>
    <row r="47" spans="63:134" x14ac:dyDescent="0.25">
      <c r="BK47" s="18" t="s">
        <v>36</v>
      </c>
      <c r="BW47" s="12">
        <f>CA48</f>
        <v>0.22624040358720002</v>
      </c>
      <c r="BX47" s="4" t="s">
        <v>18</v>
      </c>
      <c r="BZ47" s="8" t="s">
        <v>30</v>
      </c>
      <c r="CA47" s="6" t="s">
        <v>1</v>
      </c>
      <c r="CB47" s="159" t="s">
        <v>42</v>
      </c>
      <c r="CC47" s="28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63:134" x14ac:dyDescent="0.25">
      <c r="BK48" s="19" t="s">
        <v>54</v>
      </c>
      <c r="BW48" s="12">
        <f>BZ48</f>
        <v>2915.9952000000003</v>
      </c>
      <c r="BX48" s="4" t="s">
        <v>16</v>
      </c>
      <c r="BZ48" s="8">
        <f>CG52*BZ49*CC75</f>
        <v>2915.9952000000003</v>
      </c>
      <c r="CA48" s="4">
        <f>CG52*BZ49*CC75*CF75</f>
        <v>0.22624040358720002</v>
      </c>
      <c r="CB48" s="186"/>
      <c r="CC48" s="16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DD48" s="14" t="s">
        <v>67</v>
      </c>
      <c r="DE48" s="14"/>
      <c r="DF48" s="14"/>
    </row>
    <row r="49" spans="58:131" x14ac:dyDescent="0.25">
      <c r="BK49" s="38">
        <f>(47.5*85*0.3)*CC74*CF74*(BU59*2/2)</f>
        <v>6.2936549999999993</v>
      </c>
      <c r="BZ49" s="53">
        <v>673.44</v>
      </c>
      <c r="CA49" s="10"/>
      <c r="CB49" s="10"/>
      <c r="CC49" s="10"/>
      <c r="CD49" s="10"/>
      <c r="CE49" s="10"/>
      <c r="CF49" s="10"/>
      <c r="CG49" s="468" t="s">
        <v>61</v>
      </c>
      <c r="CH49" s="468"/>
      <c r="CI49" s="10"/>
      <c r="CJ49" s="10"/>
      <c r="CK49" s="10"/>
      <c r="CL49" s="10"/>
      <c r="CM49" s="10"/>
      <c r="CN49" s="10"/>
      <c r="CO49" s="10"/>
      <c r="DD49" s="14"/>
      <c r="DE49" s="14"/>
      <c r="DF49" s="14"/>
    </row>
    <row r="50" spans="58:131" x14ac:dyDescent="0.25">
      <c r="BF50" s="472" t="s">
        <v>53</v>
      </c>
      <c r="BG50" s="472"/>
      <c r="BK50" s="1">
        <f>BI48+BI58</f>
        <v>0</v>
      </c>
      <c r="BW50" s="404" t="s">
        <v>51</v>
      </c>
      <c r="BX50" s="405"/>
      <c r="BZ50" s="48" t="s">
        <v>62</v>
      </c>
      <c r="CA50" s="10"/>
      <c r="CB50" s="10"/>
      <c r="CC50" s="52">
        <f>CA48+CA38-CH52</f>
        <v>2.9509617859201143E-2</v>
      </c>
      <c r="CD50" s="10"/>
      <c r="CE50" s="10"/>
      <c r="CF50" s="10"/>
      <c r="CG50" s="468"/>
      <c r="CH50" s="468"/>
      <c r="CI50" s="10"/>
      <c r="CJ50" s="10"/>
      <c r="CK50" s="10"/>
      <c r="CL50" s="10"/>
      <c r="CM50" s="10"/>
      <c r="CN50" s="10"/>
      <c r="CO50" s="10"/>
      <c r="DD50" s="14" t="s">
        <v>151</v>
      </c>
      <c r="DE50" s="14"/>
      <c r="DF50" s="14"/>
      <c r="DU50" s="188" t="s">
        <v>176</v>
      </c>
    </row>
    <row r="51" spans="58:131" ht="15" customHeight="1" x14ac:dyDescent="0.25">
      <c r="BF51" s="472"/>
      <c r="BG51" s="472"/>
      <c r="BK51" s="13" t="s">
        <v>34</v>
      </c>
      <c r="BN51" s="410" t="s">
        <v>48</v>
      </c>
      <c r="BO51" s="410"/>
      <c r="BW51" s="406" t="str">
        <f>BZ56</f>
        <v>Hilo bolsa espuma</v>
      </c>
      <c r="BX51" s="407"/>
      <c r="BZ51" s="10"/>
      <c r="CA51" s="10"/>
      <c r="CB51" s="10"/>
      <c r="CC51" s="10"/>
      <c r="CD51" s="10"/>
      <c r="CE51" s="10"/>
      <c r="CF51" s="10"/>
      <c r="CG51" s="9" t="s">
        <v>4</v>
      </c>
      <c r="CH51" s="9" t="s">
        <v>1</v>
      </c>
      <c r="CI51" s="10"/>
      <c r="CJ51" s="10"/>
      <c r="CK51" s="10"/>
      <c r="CL51" s="10"/>
      <c r="CM51" s="10"/>
      <c r="CN51" s="10"/>
      <c r="CO51" s="10"/>
      <c r="CP51" s="10"/>
      <c r="CQ51" s="10"/>
      <c r="DU51" s="188" t="s">
        <v>234</v>
      </c>
    </row>
    <row r="52" spans="58:131" x14ac:dyDescent="0.25">
      <c r="BF52" s="5" t="s">
        <v>50</v>
      </c>
      <c r="BG52" s="5" t="s">
        <v>1</v>
      </c>
      <c r="BH52" s="5" t="s">
        <v>42</v>
      </c>
      <c r="BK52" s="2" t="s">
        <v>71</v>
      </c>
      <c r="BN52" s="410"/>
      <c r="BO52" s="410"/>
      <c r="BW52" s="12">
        <f>CA59</f>
        <v>7.3774044648000012E-2</v>
      </c>
      <c r="BX52" s="4" t="s">
        <v>18</v>
      </c>
      <c r="BZ52" s="10"/>
      <c r="CA52" s="10"/>
      <c r="CB52" s="10"/>
      <c r="CC52" s="10"/>
      <c r="CD52" s="10"/>
      <c r="CE52" s="10"/>
      <c r="CF52" s="10"/>
      <c r="CG52" s="9">
        <f>CL55</f>
        <v>433</v>
      </c>
      <c r="CH52" s="10">
        <f>CG52*(CH77+CH76)</f>
        <v>31.372730785728002</v>
      </c>
      <c r="CI52" s="10"/>
      <c r="CJ52" s="10"/>
      <c r="CK52" s="10"/>
      <c r="CL52" s="10"/>
      <c r="CM52" s="10"/>
      <c r="CN52" s="10"/>
      <c r="CO52" s="10"/>
      <c r="CP52" s="10"/>
      <c r="CQ52" s="10"/>
      <c r="DU52" s="188" t="s">
        <v>186</v>
      </c>
    </row>
    <row r="53" spans="58:131" x14ac:dyDescent="0.25">
      <c r="BF53" s="5">
        <f>BV73*2*BM58</f>
        <v>0</v>
      </c>
      <c r="BG53" s="4">
        <f>CA73*BM58</f>
        <v>0</v>
      </c>
      <c r="BH53" s="5"/>
      <c r="BK53" s="14" t="s">
        <v>35</v>
      </c>
      <c r="BN53" s="5" t="s">
        <v>50</v>
      </c>
      <c r="BO53" s="5" t="s">
        <v>1</v>
      </c>
      <c r="BP53" s="5" t="s">
        <v>42</v>
      </c>
      <c r="BQ53" s="18" t="s">
        <v>36</v>
      </c>
      <c r="BW53" s="12">
        <f>BZ59</f>
        <v>950.86800000000005</v>
      </c>
      <c r="BX53" s="4" t="s">
        <v>16</v>
      </c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>
        <f>CH52+CH58</f>
        <v>130.68641567037602</v>
      </c>
      <c r="CK53" s="10"/>
      <c r="CL53" s="469" t="s">
        <v>52</v>
      </c>
      <c r="CM53" s="469"/>
      <c r="CN53" s="10"/>
      <c r="CO53" s="10"/>
      <c r="CP53" s="10"/>
      <c r="CQ53" s="10"/>
      <c r="DD53" s="187" t="s">
        <v>230</v>
      </c>
      <c r="DU53" s="188" t="s">
        <v>212</v>
      </c>
    </row>
    <row r="54" spans="58:131" ht="18.75" customHeight="1" x14ac:dyDescent="0.25">
      <c r="BF54" s="465" t="s">
        <v>55</v>
      </c>
      <c r="BG54" s="14">
        <f>(47.5*210*0.3)*CC74*(BU59*2/2)</f>
        <v>1.2957524999999999</v>
      </c>
      <c r="BH54" t="s">
        <v>70</v>
      </c>
      <c r="BK54" s="1">
        <f>BO54</f>
        <v>9.255374999999999</v>
      </c>
      <c r="BN54" s="5">
        <f>CD74*2*BU59</f>
        <v>0.77128124999999992</v>
      </c>
      <c r="BO54" s="4">
        <f>CI74*BU59</f>
        <v>9.255374999999999</v>
      </c>
      <c r="BP54" s="5"/>
      <c r="BQ54" s="19">
        <v>1E-4</v>
      </c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47" t="s">
        <v>34</v>
      </c>
      <c r="CK54" s="10"/>
      <c r="CL54" s="467" t="s">
        <v>6</v>
      </c>
      <c r="CM54" s="467"/>
      <c r="CN54" s="65" t="s">
        <v>88</v>
      </c>
      <c r="CO54" s="10"/>
      <c r="CP54" s="10"/>
      <c r="CQ54" s="10"/>
      <c r="DD54" s="187" t="s">
        <v>231</v>
      </c>
      <c r="DK54">
        <v>200.55935174287677</v>
      </c>
      <c r="DL54">
        <v>707.87200623879335</v>
      </c>
      <c r="DM54" t="s">
        <v>245</v>
      </c>
      <c r="DU54" s="188" t="s">
        <v>206</v>
      </c>
    </row>
    <row r="55" spans="58:131" ht="22.5" customHeight="1" x14ac:dyDescent="0.25">
      <c r="BF55" s="466"/>
      <c r="BG55" s="14">
        <f>(47.5*210*0.3)*CC74*CF74*(BU59*2/2)</f>
        <v>15.549029999999998</v>
      </c>
      <c r="BH55" t="s">
        <v>68</v>
      </c>
      <c r="BK55" s="15" t="s">
        <v>36</v>
      </c>
      <c r="BQ55" s="18">
        <f>BQ56+BQ56*BQ54</f>
        <v>12.641174831083999</v>
      </c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65" t="s">
        <v>3</v>
      </c>
      <c r="CK55" s="10"/>
      <c r="CL55" s="201">
        <v>433</v>
      </c>
      <c r="CM55" s="67" t="s">
        <v>27</v>
      </c>
      <c r="CN55" s="10"/>
      <c r="CO55" s="10"/>
      <c r="CP55" s="10"/>
      <c r="CQ55" s="10"/>
      <c r="DK55" t="s">
        <v>246</v>
      </c>
      <c r="DL55" t="s">
        <v>139</v>
      </c>
      <c r="DU55" s="188" t="s">
        <v>55</v>
      </c>
    </row>
    <row r="56" spans="58:131" x14ac:dyDescent="0.25">
      <c r="BK56" s="20" t="s">
        <v>57</v>
      </c>
      <c r="BQ56" s="1">
        <f>BO54+BO64</f>
        <v>12.639910839999999</v>
      </c>
      <c r="BU56" s="410" t="s">
        <v>46</v>
      </c>
      <c r="BV56" s="410"/>
      <c r="BZ56" s="449" t="s">
        <v>31</v>
      </c>
      <c r="CA56" s="425"/>
      <c r="CB56" s="10"/>
      <c r="CC56" s="10"/>
      <c r="CD56" s="10"/>
      <c r="CE56" s="10"/>
      <c r="CF56" s="10"/>
      <c r="CG56" s="468" t="s">
        <v>0</v>
      </c>
      <c r="CH56" s="468"/>
      <c r="CI56" s="10"/>
      <c r="CJ56" s="48" t="s">
        <v>35</v>
      </c>
      <c r="CK56" s="10"/>
      <c r="CL56" s="67">
        <f>CL55*CI80</f>
        <v>130.68641567037602</v>
      </c>
      <c r="CM56" s="67" t="s">
        <v>28</v>
      </c>
      <c r="CN56" s="10"/>
      <c r="CO56" s="10"/>
      <c r="CP56" s="10"/>
      <c r="CQ56" s="10"/>
    </row>
    <row r="57" spans="58:131" x14ac:dyDescent="0.25">
      <c r="BK57" s="20"/>
      <c r="BQ57" s="13" t="s">
        <v>34</v>
      </c>
      <c r="BU57" s="410"/>
      <c r="BV57" s="410"/>
      <c r="BZ57" s="450"/>
      <c r="CA57" s="427"/>
      <c r="CB57" s="10"/>
      <c r="CC57" s="10"/>
      <c r="CD57" s="10"/>
      <c r="CE57" s="10"/>
      <c r="CF57" s="10"/>
      <c r="CG57" s="9" t="s">
        <v>4</v>
      </c>
      <c r="CH57" s="9" t="s">
        <v>1</v>
      </c>
      <c r="CI57" s="10"/>
      <c r="CJ57" s="10">
        <f>CL56</f>
        <v>130.68641567037602</v>
      </c>
      <c r="CK57" s="10"/>
      <c r="CL57" s="10"/>
      <c r="CM57" s="10"/>
      <c r="CN57" s="10"/>
      <c r="CO57" s="10"/>
      <c r="CP57" s="10"/>
      <c r="CQ57" s="10"/>
    </row>
    <row r="58" spans="58:131" x14ac:dyDescent="0.25">
      <c r="BQ58" s="2" t="s">
        <v>72</v>
      </c>
      <c r="BU58" s="5" t="s">
        <v>41</v>
      </c>
      <c r="BV58" s="5" t="s">
        <v>1</v>
      </c>
      <c r="BW58" s="5" t="s">
        <v>42</v>
      </c>
      <c r="BX58" s="18" t="s">
        <v>36</v>
      </c>
      <c r="BZ58" s="8" t="s">
        <v>30</v>
      </c>
      <c r="CA58" s="6" t="s">
        <v>1</v>
      </c>
      <c r="CB58" s="159" t="s">
        <v>42</v>
      </c>
      <c r="CC58" s="49" t="s">
        <v>36</v>
      </c>
      <c r="CD58" s="10"/>
      <c r="CE58" s="10"/>
      <c r="CF58" s="10"/>
      <c r="CG58" s="9">
        <f>CL55</f>
        <v>433</v>
      </c>
      <c r="CH58" s="10">
        <f>CG58*(CI74+CH78+CH75+CH73)</f>
        <v>99.313684884648012</v>
      </c>
      <c r="CI58" s="10"/>
      <c r="CJ58" s="50" t="s">
        <v>36</v>
      </c>
      <c r="CK58" s="10"/>
      <c r="CL58" s="10"/>
      <c r="CM58" s="10"/>
      <c r="CN58" s="10"/>
      <c r="CO58" s="10"/>
      <c r="CP58" s="10"/>
      <c r="CQ58" s="10"/>
    </row>
    <row r="59" spans="58:131" x14ac:dyDescent="0.25">
      <c r="BQ59" s="14" t="s">
        <v>35</v>
      </c>
      <c r="BU59" s="5">
        <f>BZ68</f>
        <v>433</v>
      </c>
      <c r="BV59" s="4">
        <f>(CI74+CH78)*BU59</f>
        <v>12.639910839999999</v>
      </c>
      <c r="BW59" s="5"/>
      <c r="BX59" s="19">
        <v>1E-4</v>
      </c>
      <c r="BZ59" s="8">
        <f>CD75*CG58</f>
        <v>950.86800000000005</v>
      </c>
      <c r="CA59" s="4">
        <f>CH75*CG58</f>
        <v>7.3774044648000012E-2</v>
      </c>
      <c r="CB59" s="159">
        <f>IF(CC67&gt;0,CA59+CC67/2,CA59)</f>
        <v>7.8739728892233171E-2</v>
      </c>
      <c r="CC59" s="45">
        <v>1E-4</v>
      </c>
      <c r="CD59" s="10"/>
      <c r="CE59" s="10"/>
      <c r="CF59" s="10"/>
      <c r="CG59" s="10"/>
      <c r="CH59" s="10"/>
      <c r="CI59" s="10"/>
      <c r="CJ59" s="9">
        <f>CJ53-CJ57</f>
        <v>0</v>
      </c>
      <c r="CK59" s="10"/>
      <c r="CL59" s="10"/>
      <c r="CM59" s="10"/>
      <c r="CN59" s="10"/>
      <c r="CO59" s="10"/>
      <c r="CP59" s="10"/>
      <c r="CQ59" s="10"/>
    </row>
    <row r="60" spans="58:131" x14ac:dyDescent="0.25">
      <c r="BG60" s="41" t="s">
        <v>58</v>
      </c>
      <c r="BH60" s="41"/>
      <c r="BK60" s="21">
        <f>BG55-BO54</f>
        <v>6.2936549999999993</v>
      </c>
      <c r="BQ60" s="1">
        <f>BV59</f>
        <v>12.639910839999999</v>
      </c>
      <c r="BX60" s="18">
        <f>BX61+BX61*BX59</f>
        <v>99.249834831084002</v>
      </c>
      <c r="BZ60" s="10"/>
      <c r="CA60" s="10"/>
      <c r="CB60" s="10"/>
      <c r="CC60" s="49">
        <f>CC61+CC61*CC59</f>
        <v>99.323616253136478</v>
      </c>
      <c r="CD60" s="10"/>
      <c r="CE60" s="10"/>
      <c r="CF60" s="10"/>
      <c r="CG60" s="10"/>
      <c r="CH60" s="10"/>
      <c r="CI60" s="10"/>
      <c r="CJ60" s="28" t="s">
        <v>45</v>
      </c>
      <c r="CK60" s="10"/>
      <c r="CL60" s="10"/>
      <c r="CM60" s="10"/>
      <c r="CN60" s="10"/>
      <c r="CO60" s="10"/>
      <c r="CP60" s="10"/>
      <c r="CQ60" s="10"/>
    </row>
    <row r="61" spans="58:131" ht="15.75" thickBot="1" x14ac:dyDescent="0.3">
      <c r="BG61" s="25" t="s">
        <v>59</v>
      </c>
      <c r="BH61" s="4"/>
      <c r="BN61" s="410" t="s">
        <v>49</v>
      </c>
      <c r="BO61" s="410"/>
      <c r="BQ61" s="15" t="s">
        <v>36</v>
      </c>
      <c r="BX61" s="1">
        <f>BV59+BV68</f>
        <v>99.239910840000007</v>
      </c>
      <c r="BZ61" s="10"/>
      <c r="CA61" s="10"/>
      <c r="CB61" s="10"/>
      <c r="CC61" s="9">
        <f>CA59+CA68</f>
        <v>99.313684884648012</v>
      </c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</row>
    <row r="62" spans="58:131" x14ac:dyDescent="0.25">
      <c r="BG62" s="12">
        <f>BK49</f>
        <v>6.2936549999999993</v>
      </c>
      <c r="BH62" s="4" t="s">
        <v>18</v>
      </c>
      <c r="BN62" s="410"/>
      <c r="BO62" s="410"/>
      <c r="BQ62" s="17">
        <f>IF(BQ55=BQ56,BQ56-BQ60,BQ55-BQ60)</f>
        <v>1.2639910840004376E-3</v>
      </c>
      <c r="BX62" s="13" t="s">
        <v>34</v>
      </c>
      <c r="BZ62" s="10"/>
      <c r="CA62" s="10"/>
      <c r="CB62" s="10"/>
      <c r="CC62" s="47" t="s">
        <v>34</v>
      </c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Y62" s="335"/>
      <c r="CZ62" s="338" t="str">
        <f>CZ17</f>
        <v>EN KG</v>
      </c>
      <c r="DA62" s="338" t="str">
        <f t="shared" ref="DA62:DE62" si="0">DA17</f>
        <v>Enfundado</v>
      </c>
      <c r="DB62" s="338" t="str">
        <f t="shared" si="0"/>
        <v>Sellado</v>
      </c>
      <c r="DC62" s="338" t="str">
        <f t="shared" si="0"/>
        <v>Confección funda sin cremallera</v>
      </c>
      <c r="DD62" s="380" t="str">
        <f t="shared" si="0"/>
        <v>Corte tapa de tela</v>
      </c>
      <c r="DE62" s="338" t="str">
        <f t="shared" si="0"/>
        <v>Rellenado - Pesado</v>
      </c>
      <c r="DF62" s="338" t="str">
        <f t="shared" ref="DF62:DR62" si="1">DG17</f>
        <v>Pesado MP</v>
      </c>
      <c r="DG62" s="338" t="str">
        <f t="shared" si="1"/>
        <v>Compresor</v>
      </c>
      <c r="DH62" s="338" t="str">
        <f t="shared" si="1"/>
        <v>Corte</v>
      </c>
      <c r="DI62" s="338" t="str">
        <f t="shared" si="1"/>
        <v>Curado-Almacen</v>
      </c>
      <c r="DJ62" s="338" t="str">
        <f t="shared" si="1"/>
        <v>Acolchado</v>
      </c>
      <c r="DK62" s="338" t="str">
        <f t="shared" si="1"/>
        <v>Corte espuma continua</v>
      </c>
      <c r="DL62" s="338" t="str">
        <f t="shared" si="1"/>
        <v>Perforación cilindro</v>
      </c>
      <c r="DM62" s="338" t="str">
        <f t="shared" si="1"/>
        <v>Confección clchón algodón</v>
      </c>
      <c r="DN62" s="338" t="str">
        <f t="shared" si="1"/>
        <v>Almacen madera</v>
      </c>
      <c r="DO62" s="338" t="str">
        <f t="shared" si="1"/>
        <v>Corte madera</v>
      </c>
      <c r="DP62" s="338" t="str">
        <f t="shared" si="1"/>
        <v>Lijado</v>
      </c>
      <c r="DQ62" s="338" t="str">
        <f t="shared" si="1"/>
        <v>Barnizado</v>
      </c>
      <c r="DR62" s="338" t="str">
        <f t="shared" si="1"/>
        <v>Ensamble base cama</v>
      </c>
      <c r="DS62" s="338" t="str">
        <f t="shared" ref="DS62:DZ65" si="2">DU17</f>
        <v>Cerrado-confección-tapizado</v>
      </c>
      <c r="DT62" s="338" t="str">
        <f t="shared" si="2"/>
        <v>Moldeo</v>
      </c>
      <c r="DU62" s="338" t="str">
        <f t="shared" si="2"/>
        <v>Mezclado</v>
      </c>
      <c r="DV62" s="338" t="str">
        <f t="shared" si="2"/>
        <v>Pegar tapas espuma</v>
      </c>
      <c r="DW62" s="338" t="str">
        <f t="shared" si="2"/>
        <v>Triturado-Corte manual</v>
      </c>
      <c r="DX62" s="338" t="str">
        <f t="shared" si="2"/>
        <v>Desechos</v>
      </c>
      <c r="DY62" s="338" t="str">
        <f t="shared" si="2"/>
        <v>Almacen PT</v>
      </c>
      <c r="DZ62" s="338" t="str">
        <f t="shared" si="2"/>
        <v>Almacen insumos/mp</v>
      </c>
      <c r="EA62" s="338" t="str">
        <f>ED17</f>
        <v>Almacen reproceso</v>
      </c>
    </row>
    <row r="63" spans="58:131" x14ac:dyDescent="0.25">
      <c r="BG63" s="12">
        <f>BK49</f>
        <v>6.2936549999999993</v>
      </c>
      <c r="BH63" s="4" t="s">
        <v>18</v>
      </c>
      <c r="BN63" s="5" t="s">
        <v>50</v>
      </c>
      <c r="BO63" s="5" t="s">
        <v>1</v>
      </c>
      <c r="BP63" s="5" t="s">
        <v>42</v>
      </c>
      <c r="BQ63" s="28" t="s">
        <v>45</v>
      </c>
      <c r="BX63" s="2" t="s">
        <v>44</v>
      </c>
      <c r="BZ63" s="10"/>
      <c r="CA63" s="10"/>
      <c r="CB63" s="10"/>
      <c r="CC63" s="65" t="s">
        <v>29</v>
      </c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Y63" s="338"/>
      <c r="CZ63" s="338" t="str">
        <f>CZ18</f>
        <v>Enfundado</v>
      </c>
      <c r="DA63" s="338">
        <f t="shared" ref="DA63:DE67" si="3">DA18</f>
        <v>0</v>
      </c>
      <c r="DB63" s="338">
        <f t="shared" si="3"/>
        <v>0</v>
      </c>
      <c r="DC63" s="338">
        <f t="shared" si="3"/>
        <v>0</v>
      </c>
      <c r="DD63" s="338">
        <f t="shared" si="3"/>
        <v>0</v>
      </c>
      <c r="DE63" s="338">
        <f t="shared" si="3"/>
        <v>0</v>
      </c>
      <c r="DF63" s="338">
        <f t="shared" ref="DF63:DR63" si="4">DG18</f>
        <v>0</v>
      </c>
      <c r="DG63" s="338">
        <f t="shared" si="4"/>
        <v>0</v>
      </c>
      <c r="DH63" s="338">
        <f t="shared" si="4"/>
        <v>0</v>
      </c>
      <c r="DI63" s="338">
        <f t="shared" si="4"/>
        <v>0</v>
      </c>
      <c r="DJ63" s="338">
        <f t="shared" si="4"/>
        <v>0</v>
      </c>
      <c r="DK63" s="338">
        <f t="shared" si="4"/>
        <v>0</v>
      </c>
      <c r="DL63" s="338">
        <f t="shared" si="4"/>
        <v>0</v>
      </c>
      <c r="DM63" s="338">
        <f t="shared" si="4"/>
        <v>0</v>
      </c>
      <c r="DN63" s="338">
        <f t="shared" si="4"/>
        <v>0</v>
      </c>
      <c r="DO63" s="338">
        <f t="shared" si="4"/>
        <v>0</v>
      </c>
      <c r="DP63" s="338">
        <f t="shared" si="4"/>
        <v>0</v>
      </c>
      <c r="DQ63" s="338">
        <f t="shared" si="4"/>
        <v>0</v>
      </c>
      <c r="DR63" s="338">
        <f t="shared" si="4"/>
        <v>0</v>
      </c>
      <c r="DS63" s="338">
        <f t="shared" si="2"/>
        <v>0</v>
      </c>
      <c r="DT63" s="338">
        <f t="shared" si="2"/>
        <v>0</v>
      </c>
      <c r="DU63" s="338">
        <f t="shared" si="2"/>
        <v>0</v>
      </c>
      <c r="DV63" s="338">
        <f t="shared" si="2"/>
        <v>0</v>
      </c>
      <c r="DW63" s="338">
        <f t="shared" si="2"/>
        <v>0</v>
      </c>
      <c r="DX63" s="338">
        <f t="shared" si="2"/>
        <v>0</v>
      </c>
      <c r="DY63" s="338">
        <f t="shared" si="2"/>
        <v>2766.0058408396603</v>
      </c>
      <c r="DZ63" s="338">
        <f t="shared" si="2"/>
        <v>0</v>
      </c>
      <c r="EA63" s="338">
        <f>ED18</f>
        <v>0</v>
      </c>
    </row>
    <row r="64" spans="58:131" x14ac:dyDescent="0.25">
      <c r="BN64" s="5">
        <f>BU59*CD78</f>
        <v>3.0309999999999998E-3</v>
      </c>
      <c r="BO64" s="4">
        <f>CH78*BU59</f>
        <v>3.3845358400000003</v>
      </c>
      <c r="BP64" s="5"/>
      <c r="BX64" s="14" t="s">
        <v>35</v>
      </c>
      <c r="BZ64" s="10"/>
      <c r="CA64" s="10"/>
      <c r="CB64" s="10"/>
      <c r="CC64" s="48" t="s">
        <v>35</v>
      </c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Y64" s="338"/>
      <c r="CZ64" s="338" t="str">
        <f t="shared" ref="CZ64:DE67" si="5">CZ19</f>
        <v>Sellado</v>
      </c>
      <c r="DA64" s="338">
        <f t="shared" si="5"/>
        <v>99.313684884648012</v>
      </c>
      <c r="DB64" s="338">
        <f t="shared" si="5"/>
        <v>0</v>
      </c>
      <c r="DC64" s="338">
        <f t="shared" si="5"/>
        <v>0</v>
      </c>
      <c r="DD64" s="338">
        <f t="shared" si="5"/>
        <v>0</v>
      </c>
      <c r="DE64" s="338">
        <f t="shared" si="5"/>
        <v>0</v>
      </c>
      <c r="DF64" s="338">
        <f t="shared" ref="DF64:DR64" si="6">DG19</f>
        <v>0</v>
      </c>
      <c r="DG64" s="338">
        <f t="shared" si="6"/>
        <v>0</v>
      </c>
      <c r="DH64" s="338">
        <f t="shared" si="6"/>
        <v>0</v>
      </c>
      <c r="DI64" s="338">
        <f t="shared" si="6"/>
        <v>0</v>
      </c>
      <c r="DJ64" s="338">
        <f t="shared" si="6"/>
        <v>0</v>
      </c>
      <c r="DK64" s="338">
        <f t="shared" si="6"/>
        <v>0</v>
      </c>
      <c r="DL64" s="338">
        <f t="shared" si="6"/>
        <v>0</v>
      </c>
      <c r="DM64" s="338">
        <f t="shared" si="6"/>
        <v>0</v>
      </c>
      <c r="DN64" s="338">
        <f t="shared" si="6"/>
        <v>0</v>
      </c>
      <c r="DO64" s="338">
        <f t="shared" si="6"/>
        <v>0</v>
      </c>
      <c r="DP64" s="338">
        <f t="shared" si="6"/>
        <v>0</v>
      </c>
      <c r="DQ64" s="338">
        <f t="shared" si="6"/>
        <v>0</v>
      </c>
      <c r="DR64" s="338">
        <f t="shared" si="6"/>
        <v>0</v>
      </c>
      <c r="DS64" s="338">
        <f t="shared" si="2"/>
        <v>0</v>
      </c>
      <c r="DT64" s="338">
        <f t="shared" si="2"/>
        <v>0</v>
      </c>
      <c r="DU64" s="338">
        <f t="shared" si="2"/>
        <v>0</v>
      </c>
      <c r="DV64" s="338">
        <f t="shared" si="2"/>
        <v>0</v>
      </c>
      <c r="DW64" s="338">
        <f t="shared" si="2"/>
        <v>0</v>
      </c>
      <c r="DX64" s="338">
        <f t="shared" si="2"/>
        <v>0</v>
      </c>
      <c r="DY64" s="338">
        <f t="shared" si="2"/>
        <v>0</v>
      </c>
      <c r="DZ64" s="338">
        <f t="shared" si="2"/>
        <v>0</v>
      </c>
      <c r="EA64" s="338">
        <f>ED19</f>
        <v>0</v>
      </c>
    </row>
    <row r="65" spans="63:131" x14ac:dyDescent="0.25">
      <c r="BX65" s="1">
        <f>CA68</f>
        <v>99.239910840000007</v>
      </c>
      <c r="BZ65" s="10"/>
      <c r="CA65" s="10"/>
      <c r="CB65" s="10"/>
      <c r="CC65" s="10">
        <f>CH58</f>
        <v>99.313684884648012</v>
      </c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Y65" s="338"/>
      <c r="CZ65" s="338" t="str">
        <f t="shared" si="5"/>
        <v>Confección funda sin cremallera</v>
      </c>
      <c r="DA65" s="338">
        <f t="shared" si="3"/>
        <v>412.64815595501244</v>
      </c>
      <c r="DB65" s="338">
        <f t="shared" si="3"/>
        <v>0</v>
      </c>
      <c r="DC65" s="338">
        <f t="shared" si="3"/>
        <v>0</v>
      </c>
      <c r="DD65" s="338">
        <f t="shared" si="3"/>
        <v>0</v>
      </c>
      <c r="DE65" s="338">
        <f t="shared" si="3"/>
        <v>0</v>
      </c>
      <c r="DF65" s="338">
        <f t="shared" ref="DF65:DR65" si="7">DG20</f>
        <v>0</v>
      </c>
      <c r="DG65" s="338">
        <f t="shared" si="7"/>
        <v>0</v>
      </c>
      <c r="DH65" s="338">
        <f t="shared" si="7"/>
        <v>0</v>
      </c>
      <c r="DI65" s="338">
        <f t="shared" si="7"/>
        <v>0</v>
      </c>
      <c r="DJ65" s="338">
        <f t="shared" si="7"/>
        <v>0</v>
      </c>
      <c r="DK65" s="338">
        <f t="shared" si="7"/>
        <v>0</v>
      </c>
      <c r="DL65" s="338">
        <f t="shared" si="7"/>
        <v>0</v>
      </c>
      <c r="DM65" s="338">
        <f t="shared" si="7"/>
        <v>0</v>
      </c>
      <c r="DN65" s="338">
        <f t="shared" si="7"/>
        <v>0</v>
      </c>
      <c r="DO65" s="338">
        <f t="shared" si="7"/>
        <v>0</v>
      </c>
      <c r="DP65" s="338">
        <f t="shared" si="7"/>
        <v>0</v>
      </c>
      <c r="DQ65" s="338">
        <f t="shared" si="7"/>
        <v>0</v>
      </c>
      <c r="DR65" s="338">
        <f t="shared" si="7"/>
        <v>0</v>
      </c>
      <c r="DS65" s="338">
        <f t="shared" si="2"/>
        <v>0</v>
      </c>
      <c r="DT65" s="338">
        <f t="shared" si="2"/>
        <v>0</v>
      </c>
      <c r="DU65" s="338">
        <f t="shared" si="2"/>
        <v>0</v>
      </c>
      <c r="DV65" s="338">
        <f t="shared" si="2"/>
        <v>0</v>
      </c>
      <c r="DW65" s="338">
        <f t="shared" si="2"/>
        <v>0</v>
      </c>
      <c r="DX65" s="338">
        <f t="shared" si="2"/>
        <v>0.84169691615856013</v>
      </c>
      <c r="DY65" s="338">
        <f t="shared" si="2"/>
        <v>0</v>
      </c>
      <c r="DZ65" s="338">
        <f t="shared" si="2"/>
        <v>0</v>
      </c>
      <c r="EA65" s="338">
        <f>ED20</f>
        <v>0</v>
      </c>
    </row>
    <row r="66" spans="63:131" s="318" customFormat="1" x14ac:dyDescent="0.25">
      <c r="BM66" s="381"/>
      <c r="BQ66" s="382">
        <f>BO64+BO54-BV59</f>
        <v>0</v>
      </c>
      <c r="BR66" s="382"/>
      <c r="BT66" s="383"/>
      <c r="BU66" s="484" t="s">
        <v>47</v>
      </c>
      <c r="BV66" s="484"/>
      <c r="BX66" s="384" t="s">
        <v>36</v>
      </c>
      <c r="BY66" s="382"/>
      <c r="BZ66" s="485" t="s">
        <v>40</v>
      </c>
      <c r="CA66" s="484"/>
      <c r="CB66" s="317"/>
      <c r="CC66" s="385" t="s">
        <v>36</v>
      </c>
      <c r="CD66" s="317"/>
      <c r="CE66" s="317"/>
      <c r="CF66" s="317"/>
      <c r="CG66" s="317"/>
      <c r="CH66" s="317"/>
      <c r="CI66" s="317"/>
      <c r="CJ66" s="317"/>
      <c r="CK66" s="317"/>
      <c r="CL66" s="317"/>
      <c r="CM66" s="317"/>
      <c r="CN66" s="317"/>
      <c r="CO66" s="317"/>
      <c r="CY66" s="380"/>
      <c r="CZ66" s="380" t="str">
        <f t="shared" si="5"/>
        <v>Corte tapa de tela</v>
      </c>
      <c r="DA66" s="380">
        <f t="shared" si="3"/>
        <v>0</v>
      </c>
      <c r="DB66" s="380">
        <f t="shared" si="3"/>
        <v>0</v>
      </c>
      <c r="DC66" s="380">
        <f t="shared" si="3"/>
        <v>404.67414309728008</v>
      </c>
      <c r="DD66" s="380">
        <f t="shared" si="3"/>
        <v>0</v>
      </c>
      <c r="DE66" s="380">
        <f t="shared" si="3"/>
        <v>0</v>
      </c>
      <c r="DF66" s="380">
        <f t="shared" ref="DF66:DR66" si="8">DG21</f>
        <v>0</v>
      </c>
      <c r="DG66" s="380">
        <f t="shared" si="8"/>
        <v>0</v>
      </c>
      <c r="DH66" s="380">
        <f t="shared" si="8"/>
        <v>0</v>
      </c>
      <c r="DI66" s="380">
        <f t="shared" si="8"/>
        <v>0</v>
      </c>
      <c r="DJ66" s="380">
        <f t="shared" si="8"/>
        <v>0</v>
      </c>
      <c r="DK66" s="380">
        <f t="shared" si="8"/>
        <v>0</v>
      </c>
      <c r="DL66" s="380">
        <f t="shared" si="8"/>
        <v>0</v>
      </c>
      <c r="DM66" s="380">
        <f t="shared" si="8"/>
        <v>634.98830850000002</v>
      </c>
      <c r="DN66" s="380">
        <f t="shared" si="8"/>
        <v>0</v>
      </c>
      <c r="DO66" s="380">
        <f t="shared" si="8"/>
        <v>0</v>
      </c>
      <c r="DP66" s="380">
        <f t="shared" si="8"/>
        <v>0</v>
      </c>
      <c r="DQ66" s="380">
        <f t="shared" si="8"/>
        <v>0</v>
      </c>
      <c r="DR66" s="380">
        <f t="shared" si="8"/>
        <v>0</v>
      </c>
      <c r="DS66" s="380">
        <f t="shared" ref="DS66:DU67" si="9">DU21</f>
        <v>833.12839781595403</v>
      </c>
      <c r="DT66" s="380">
        <f t="shared" si="9"/>
        <v>0</v>
      </c>
      <c r="DU66" s="380">
        <f t="shared" si="9"/>
        <v>0</v>
      </c>
      <c r="DV66" s="380">
        <f>DX23</f>
        <v>9.255374999999999</v>
      </c>
      <c r="DW66" s="380">
        <f t="shared" ref="DW66:DZ67" si="10">DY21</f>
        <v>0</v>
      </c>
      <c r="DX66" s="380">
        <f t="shared" si="10"/>
        <v>12.470400000000003</v>
      </c>
      <c r="DY66" s="380">
        <f t="shared" si="10"/>
        <v>0</v>
      </c>
      <c r="DZ66" s="380">
        <f t="shared" si="10"/>
        <v>0</v>
      </c>
      <c r="EA66" s="386">
        <f>ED21+ED23</f>
        <v>78.818982045661741</v>
      </c>
    </row>
    <row r="67" spans="63:131" x14ac:dyDescent="0.25">
      <c r="BU67" s="410"/>
      <c r="BV67" s="410"/>
      <c r="BX67" s="17">
        <f>IF(BX60=BX61,BX61-BX65,BX60-BX65)</f>
        <v>9.9239910839941103E-3</v>
      </c>
      <c r="BZ67" s="429"/>
      <c r="CA67" s="410"/>
      <c r="CB67" s="10"/>
      <c r="CC67" s="55">
        <f>IF(CC60=CC61,CC61-CC65,CC60-CC65)</f>
        <v>9.9313684884663189E-3</v>
      </c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Y67" s="338"/>
      <c r="CZ67" s="338" t="str">
        <f t="shared" si="5"/>
        <v>Rellenado - Pesado</v>
      </c>
      <c r="DA67" s="338">
        <f t="shared" si="3"/>
        <v>0</v>
      </c>
      <c r="DB67" s="338">
        <f t="shared" si="3"/>
        <v>99.239910840000007</v>
      </c>
      <c r="DC67" s="338">
        <f t="shared" si="3"/>
        <v>0</v>
      </c>
      <c r="DD67" s="338">
        <f t="shared" si="3"/>
        <v>0</v>
      </c>
      <c r="DE67" s="338">
        <f t="shared" si="3"/>
        <v>0</v>
      </c>
      <c r="DF67" s="338">
        <f t="shared" ref="DF67:DR67" si="11">DG22</f>
        <v>0</v>
      </c>
      <c r="DG67" s="338">
        <f t="shared" si="11"/>
        <v>0</v>
      </c>
      <c r="DH67" s="338">
        <f t="shared" si="11"/>
        <v>0</v>
      </c>
      <c r="DI67" s="338">
        <f t="shared" si="11"/>
        <v>0</v>
      </c>
      <c r="DJ67" s="338">
        <f t="shared" si="11"/>
        <v>0</v>
      </c>
      <c r="DK67" s="338">
        <f t="shared" si="11"/>
        <v>0</v>
      </c>
      <c r="DL67" s="338">
        <f t="shared" si="11"/>
        <v>0</v>
      </c>
      <c r="DM67" s="338">
        <f t="shared" si="11"/>
        <v>0</v>
      </c>
      <c r="DN67" s="338">
        <f t="shared" si="11"/>
        <v>0</v>
      </c>
      <c r="DO67" s="338">
        <f t="shared" si="11"/>
        <v>0</v>
      </c>
      <c r="DP67" s="338">
        <f t="shared" si="11"/>
        <v>0</v>
      </c>
      <c r="DQ67" s="338">
        <f t="shared" si="11"/>
        <v>0</v>
      </c>
      <c r="DR67" s="338">
        <f t="shared" si="11"/>
        <v>0</v>
      </c>
      <c r="DS67" s="338">
        <f t="shared" si="9"/>
        <v>0</v>
      </c>
      <c r="DT67" s="338">
        <f t="shared" si="9"/>
        <v>0</v>
      </c>
      <c r="DU67" s="338">
        <f t="shared" si="9"/>
        <v>0</v>
      </c>
      <c r="DV67" s="338">
        <f>DX22</f>
        <v>0</v>
      </c>
      <c r="DW67" s="338">
        <f t="shared" si="10"/>
        <v>0</v>
      </c>
      <c r="DX67" s="338">
        <f t="shared" si="10"/>
        <v>0</v>
      </c>
      <c r="DY67" s="338">
        <f t="shared" si="10"/>
        <v>0</v>
      </c>
      <c r="DZ67" s="338">
        <f t="shared" si="10"/>
        <v>0</v>
      </c>
      <c r="EA67" s="338">
        <f>ED22</f>
        <v>0</v>
      </c>
    </row>
    <row r="68" spans="63:131" x14ac:dyDescent="0.25">
      <c r="BK68" s="24" t="s">
        <v>51</v>
      </c>
      <c r="BL68" s="24"/>
      <c r="BU68" s="5">
        <f>CH73*BZ68</f>
        <v>86.600000000000009</v>
      </c>
      <c r="BV68" s="4">
        <f>CH73*BU59</f>
        <v>86.600000000000009</v>
      </c>
      <c r="BW68" s="5"/>
      <c r="BZ68" s="26">
        <f>CG58</f>
        <v>433</v>
      </c>
      <c r="CA68" s="123">
        <f>(CH73+CI74+CH78)*BZ68</f>
        <v>99.239910840000007</v>
      </c>
      <c r="CB68" s="153">
        <f>IF(CC67&gt;0,CA68+CC67/2,CA68)</f>
        <v>99.244876524244233</v>
      </c>
      <c r="CC68" s="16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Y68" s="338"/>
      <c r="CZ68" s="338" t="str">
        <f t="shared" ref="CZ68:DE71" si="12">CZ24</f>
        <v>Pesado MP</v>
      </c>
      <c r="DA68" s="338">
        <f t="shared" si="12"/>
        <v>0</v>
      </c>
      <c r="DB68" s="338">
        <f t="shared" si="12"/>
        <v>0</v>
      </c>
      <c r="DC68" s="338">
        <f t="shared" si="12"/>
        <v>0</v>
      </c>
      <c r="DD68" s="338">
        <f t="shared" si="12"/>
        <v>0</v>
      </c>
      <c r="DE68" s="338">
        <f t="shared" si="12"/>
        <v>0</v>
      </c>
      <c r="DF68" s="338">
        <f t="shared" ref="DF68:DR68" si="13">DG24</f>
        <v>0</v>
      </c>
      <c r="DG68" s="338">
        <f t="shared" si="13"/>
        <v>0</v>
      </c>
      <c r="DH68" s="338">
        <f t="shared" si="13"/>
        <v>0</v>
      </c>
      <c r="DI68" s="338">
        <f t="shared" si="13"/>
        <v>0</v>
      </c>
      <c r="DJ68" s="338">
        <f t="shared" si="13"/>
        <v>0</v>
      </c>
      <c r="DK68" s="338">
        <f t="shared" si="13"/>
        <v>0</v>
      </c>
      <c r="DL68" s="338">
        <f t="shared" si="13"/>
        <v>0</v>
      </c>
      <c r="DM68" s="338">
        <f t="shared" si="13"/>
        <v>0</v>
      </c>
      <c r="DN68" s="338">
        <f t="shared" si="13"/>
        <v>0</v>
      </c>
      <c r="DO68" s="338">
        <f t="shared" si="13"/>
        <v>0</v>
      </c>
      <c r="DP68" s="338">
        <f t="shared" si="13"/>
        <v>0</v>
      </c>
      <c r="DQ68" s="338">
        <f t="shared" si="13"/>
        <v>0</v>
      </c>
      <c r="DR68" s="338">
        <f t="shared" si="13"/>
        <v>0</v>
      </c>
      <c r="DS68" s="338">
        <f t="shared" ref="DS68:DS80" si="14">DU24</f>
        <v>0</v>
      </c>
      <c r="DT68" s="338">
        <f t="shared" ref="DT68:DT80" si="15">DV24</f>
        <v>0</v>
      </c>
      <c r="DU68" s="338">
        <f t="shared" ref="DU68:DU80" si="16">DW24</f>
        <v>4638.5555276987398</v>
      </c>
      <c r="DV68" s="338">
        <f t="shared" ref="DV68:DV80" si="17">DX24</f>
        <v>0</v>
      </c>
      <c r="DW68" s="338">
        <f t="shared" ref="DW68:DW80" si="18">DY24</f>
        <v>0</v>
      </c>
      <c r="DX68" s="338">
        <f t="shared" ref="DX68:DX80" si="19">DZ24</f>
        <v>0</v>
      </c>
      <c r="DY68" s="338">
        <f t="shared" ref="DY68:DY80" si="20">EA24</f>
        <v>0</v>
      </c>
      <c r="DZ68" s="338">
        <f t="shared" ref="DZ68:DZ80" si="21">EB24</f>
        <v>0</v>
      </c>
      <c r="EA68" s="338">
        <f t="shared" ref="EA68:EA80" si="22">ED24</f>
        <v>0</v>
      </c>
    </row>
    <row r="69" spans="63:131" x14ac:dyDescent="0.25">
      <c r="BK69" s="25" t="str">
        <f>BN61</f>
        <v>Pegamento poliuterano</v>
      </c>
      <c r="BL69" s="4"/>
      <c r="CY69" s="338"/>
      <c r="CZ69" s="338" t="str">
        <f t="shared" si="12"/>
        <v>Compresor</v>
      </c>
      <c r="DA69" s="338">
        <f t="shared" si="12"/>
        <v>0</v>
      </c>
      <c r="DB69" s="338">
        <f t="shared" si="12"/>
        <v>0</v>
      </c>
      <c r="DC69" s="338">
        <f t="shared" si="12"/>
        <v>0</v>
      </c>
      <c r="DD69" s="338">
        <f t="shared" si="12"/>
        <v>0</v>
      </c>
      <c r="DE69" s="338">
        <f t="shared" si="12"/>
        <v>0</v>
      </c>
      <c r="DF69" s="338">
        <f t="shared" ref="DF69:DR69" si="23">DG25</f>
        <v>0</v>
      </c>
      <c r="DG69" s="338">
        <f t="shared" si="23"/>
        <v>0</v>
      </c>
      <c r="DH69" s="338">
        <f t="shared" si="23"/>
        <v>0</v>
      </c>
      <c r="DI69" s="338">
        <f t="shared" si="23"/>
        <v>0</v>
      </c>
      <c r="DJ69" s="338">
        <f t="shared" si="23"/>
        <v>0</v>
      </c>
      <c r="DK69" s="338">
        <f t="shared" si="23"/>
        <v>0</v>
      </c>
      <c r="DL69" s="338">
        <f t="shared" si="23"/>
        <v>0</v>
      </c>
      <c r="DM69" s="338">
        <f t="shared" si="23"/>
        <v>0</v>
      </c>
      <c r="DN69" s="338">
        <f t="shared" si="23"/>
        <v>0</v>
      </c>
      <c r="DO69" s="338">
        <f t="shared" si="23"/>
        <v>0</v>
      </c>
      <c r="DP69" s="338">
        <f t="shared" si="23"/>
        <v>0</v>
      </c>
      <c r="DQ69" s="338">
        <f t="shared" si="23"/>
        <v>0</v>
      </c>
      <c r="DR69" s="338">
        <f t="shared" si="23"/>
        <v>0</v>
      </c>
      <c r="DS69" s="338">
        <f t="shared" si="14"/>
        <v>0</v>
      </c>
      <c r="DT69" s="338">
        <f t="shared" si="15"/>
        <v>0</v>
      </c>
      <c r="DU69" s="338">
        <f t="shared" si="16"/>
        <v>0</v>
      </c>
      <c r="DV69" s="338">
        <f t="shared" si="17"/>
        <v>0</v>
      </c>
      <c r="DW69" s="338">
        <f t="shared" si="18"/>
        <v>0</v>
      </c>
      <c r="DX69" s="338">
        <f t="shared" si="19"/>
        <v>0</v>
      </c>
      <c r="DY69" s="338">
        <f t="shared" si="20"/>
        <v>0</v>
      </c>
      <c r="DZ69" s="338">
        <f t="shared" si="21"/>
        <v>0</v>
      </c>
      <c r="EA69" s="338">
        <f t="shared" si="22"/>
        <v>0</v>
      </c>
    </row>
    <row r="70" spans="63:131" x14ac:dyDescent="0.25">
      <c r="BK70" s="12">
        <f>BO64</f>
        <v>3.3845358400000003</v>
      </c>
      <c r="BL70" s="4" t="s">
        <v>18</v>
      </c>
      <c r="BX70" s="21">
        <f>BV68+BV59-CA68</f>
        <v>0</v>
      </c>
      <c r="CC70" s="22">
        <f>CA68+CA59-CH58</f>
        <v>0</v>
      </c>
      <c r="CY70" s="338"/>
      <c r="CZ70" s="338" t="str">
        <f t="shared" si="12"/>
        <v>Corte</v>
      </c>
      <c r="DA70" s="338">
        <f t="shared" si="12"/>
        <v>2000.7</v>
      </c>
      <c r="DB70" s="338">
        <f t="shared" si="12"/>
        <v>0</v>
      </c>
      <c r="DC70" s="338">
        <f t="shared" si="12"/>
        <v>0</v>
      </c>
      <c r="DD70" s="338">
        <f t="shared" si="12"/>
        <v>0</v>
      </c>
      <c r="DE70" s="338">
        <f t="shared" si="12"/>
        <v>0</v>
      </c>
      <c r="DF70" s="338">
        <f t="shared" ref="DF70:DR70" si="24">DG26</f>
        <v>0</v>
      </c>
      <c r="DG70" s="338">
        <f t="shared" si="24"/>
        <v>0</v>
      </c>
      <c r="DH70" s="338">
        <f t="shared" si="24"/>
        <v>0</v>
      </c>
      <c r="DI70" s="338">
        <f t="shared" si="24"/>
        <v>0</v>
      </c>
      <c r="DJ70" s="338">
        <f t="shared" si="24"/>
        <v>0</v>
      </c>
      <c r="DK70" s="338">
        <f t="shared" si="24"/>
        <v>0</v>
      </c>
      <c r="DL70" s="338">
        <f t="shared" si="24"/>
        <v>0</v>
      </c>
      <c r="DM70" s="338">
        <f t="shared" si="24"/>
        <v>0</v>
      </c>
      <c r="DN70" s="338">
        <f t="shared" si="24"/>
        <v>0</v>
      </c>
      <c r="DO70" s="338">
        <f t="shared" si="24"/>
        <v>0</v>
      </c>
      <c r="DP70" s="338">
        <f t="shared" si="24"/>
        <v>0</v>
      </c>
      <c r="DQ70" s="338">
        <f t="shared" si="24"/>
        <v>0</v>
      </c>
      <c r="DR70" s="338">
        <f t="shared" si="24"/>
        <v>0</v>
      </c>
      <c r="DS70" s="338">
        <f t="shared" si="14"/>
        <v>1993.5179999999998</v>
      </c>
      <c r="DT70" s="338">
        <f t="shared" si="15"/>
        <v>0</v>
      </c>
      <c r="DU70" s="338">
        <f t="shared" si="16"/>
        <v>0</v>
      </c>
      <c r="DV70" s="338">
        <f t="shared" si="17"/>
        <v>0</v>
      </c>
      <c r="DW70" s="338">
        <f t="shared" si="18"/>
        <v>0</v>
      </c>
      <c r="DX70" s="338">
        <f t="shared" si="19"/>
        <v>0</v>
      </c>
      <c r="DY70" s="338">
        <f t="shared" si="20"/>
        <v>0</v>
      </c>
      <c r="DZ70" s="338">
        <f t="shared" si="21"/>
        <v>0</v>
      </c>
      <c r="EA70" s="338">
        <f t="shared" si="22"/>
        <v>0</v>
      </c>
    </row>
    <row r="71" spans="63:131" x14ac:dyDescent="0.25">
      <c r="BK71" s="12">
        <f>BN64</f>
        <v>3.0309999999999998E-3</v>
      </c>
      <c r="BL71" s="4" t="s">
        <v>15</v>
      </c>
      <c r="BT71" s="18" t="s">
        <v>36</v>
      </c>
      <c r="CY71" s="338"/>
      <c r="CZ71" s="338" t="str">
        <f t="shared" si="12"/>
        <v>Curado-Almacen</v>
      </c>
      <c r="DA71" s="338">
        <f t="shared" si="12"/>
        <v>0</v>
      </c>
      <c r="DB71" s="338">
        <f t="shared" si="12"/>
        <v>0</v>
      </c>
      <c r="DC71" s="338">
        <f t="shared" si="12"/>
        <v>0</v>
      </c>
      <c r="DD71" s="338">
        <f>DD27</f>
        <v>0</v>
      </c>
      <c r="DE71" s="338">
        <f t="shared" si="12"/>
        <v>0</v>
      </c>
      <c r="DF71" s="338">
        <f t="shared" ref="DF71:DR71" si="25">DG27</f>
        <v>0</v>
      </c>
      <c r="DG71" s="338">
        <f t="shared" si="25"/>
        <v>0</v>
      </c>
      <c r="DH71" s="338">
        <f t="shared" si="25"/>
        <v>3994.2179999999998</v>
      </c>
      <c r="DI71" s="338">
        <f t="shared" si="25"/>
        <v>0</v>
      </c>
      <c r="DJ71" s="338">
        <f t="shared" si="25"/>
        <v>0</v>
      </c>
      <c r="DK71" s="338">
        <f t="shared" si="25"/>
        <v>0</v>
      </c>
      <c r="DL71" s="338">
        <f t="shared" si="25"/>
        <v>320.63094624999997</v>
      </c>
      <c r="DM71" s="338">
        <f t="shared" si="25"/>
        <v>0</v>
      </c>
      <c r="DN71" s="338">
        <f t="shared" si="25"/>
        <v>0</v>
      </c>
      <c r="DO71" s="338">
        <f t="shared" si="25"/>
        <v>0</v>
      </c>
      <c r="DP71" s="338">
        <f t="shared" si="25"/>
        <v>0</v>
      </c>
      <c r="DQ71" s="338">
        <f t="shared" si="25"/>
        <v>0</v>
      </c>
      <c r="DR71" s="338">
        <f t="shared" si="25"/>
        <v>0</v>
      </c>
      <c r="DS71" s="338">
        <f t="shared" si="14"/>
        <v>0</v>
      </c>
      <c r="DT71" s="338">
        <f t="shared" si="15"/>
        <v>0</v>
      </c>
      <c r="DU71" s="338">
        <f t="shared" si="16"/>
        <v>0</v>
      </c>
      <c r="DV71" s="338">
        <f t="shared" si="17"/>
        <v>0</v>
      </c>
      <c r="DW71" s="338">
        <f t="shared" si="18"/>
        <v>0</v>
      </c>
      <c r="DX71" s="338">
        <f t="shared" si="19"/>
        <v>0</v>
      </c>
      <c r="DY71" s="338">
        <f t="shared" si="20"/>
        <v>0</v>
      </c>
      <c r="DZ71" s="338">
        <f t="shared" si="21"/>
        <v>0</v>
      </c>
      <c r="EA71" s="338">
        <f t="shared" si="22"/>
        <v>0</v>
      </c>
    </row>
    <row r="72" spans="63:131" x14ac:dyDescent="0.25">
      <c r="BT72" s="19">
        <v>1E-4</v>
      </c>
      <c r="CA72" s="415" t="s">
        <v>6</v>
      </c>
      <c r="CB72" s="415"/>
      <c r="CC72" s="4" t="s">
        <v>19</v>
      </c>
      <c r="CD72" s="5" t="s">
        <v>20</v>
      </c>
      <c r="CE72" s="5" t="s">
        <v>2</v>
      </c>
      <c r="CF72" s="5" t="s">
        <v>21</v>
      </c>
      <c r="CG72" s="5" t="s">
        <v>2</v>
      </c>
      <c r="CH72" s="11" t="s">
        <v>24</v>
      </c>
      <c r="CY72" s="338"/>
      <c r="CZ72" s="338" t="str">
        <f t="shared" ref="CZ72:CZ80" si="26">CZ28</f>
        <v>Acolchado</v>
      </c>
      <c r="DA72" s="338">
        <f t="shared" ref="DA72:DA80" si="27">DA28</f>
        <v>0</v>
      </c>
      <c r="DB72" s="338">
        <f t="shared" ref="DB72:DE80" si="28">DB28</f>
        <v>0</v>
      </c>
      <c r="DC72" s="338">
        <f t="shared" si="28"/>
        <v>0</v>
      </c>
      <c r="DD72" s="338">
        <f t="shared" si="28"/>
        <v>1261.1918979588959</v>
      </c>
      <c r="DE72" s="338">
        <f t="shared" si="28"/>
        <v>0</v>
      </c>
      <c r="DF72" s="338">
        <f t="shared" ref="DF72:DR72" si="29">DG28</f>
        <v>0</v>
      </c>
      <c r="DG72" s="338">
        <f t="shared" si="29"/>
        <v>0</v>
      </c>
      <c r="DH72" s="338">
        <f t="shared" si="29"/>
        <v>0</v>
      </c>
      <c r="DI72" s="338">
        <f t="shared" si="29"/>
        <v>0</v>
      </c>
      <c r="DJ72" s="338">
        <f t="shared" si="29"/>
        <v>0</v>
      </c>
      <c r="DK72" s="338">
        <f t="shared" si="29"/>
        <v>0</v>
      </c>
      <c r="DL72" s="338">
        <f t="shared" si="29"/>
        <v>0</v>
      </c>
      <c r="DM72" s="338">
        <f t="shared" si="29"/>
        <v>0</v>
      </c>
      <c r="DN72" s="338">
        <f t="shared" si="29"/>
        <v>0</v>
      </c>
      <c r="DO72" s="338">
        <f t="shared" si="29"/>
        <v>0</v>
      </c>
      <c r="DP72" s="338">
        <f t="shared" si="29"/>
        <v>0</v>
      </c>
      <c r="DQ72" s="338">
        <f t="shared" si="29"/>
        <v>0</v>
      </c>
      <c r="DR72" s="338">
        <f t="shared" si="29"/>
        <v>0</v>
      </c>
      <c r="DS72" s="338">
        <f t="shared" si="14"/>
        <v>0</v>
      </c>
      <c r="DT72" s="338">
        <f t="shared" si="15"/>
        <v>0</v>
      </c>
      <c r="DU72" s="338">
        <f t="shared" si="16"/>
        <v>0</v>
      </c>
      <c r="DV72" s="338">
        <f t="shared" si="17"/>
        <v>0</v>
      </c>
      <c r="DW72" s="338">
        <f t="shared" si="18"/>
        <v>0</v>
      </c>
      <c r="DX72" s="338">
        <f t="shared" si="19"/>
        <v>0.33391831679015999</v>
      </c>
      <c r="DY72" s="338">
        <f t="shared" si="20"/>
        <v>0</v>
      </c>
      <c r="DZ72" s="338">
        <f t="shared" si="21"/>
        <v>0</v>
      </c>
      <c r="EA72" s="338">
        <f t="shared" si="22"/>
        <v>0</v>
      </c>
    </row>
    <row r="73" spans="63:131" x14ac:dyDescent="0.25">
      <c r="BT73" s="18">
        <f>BT74+BT74*BT72</f>
        <v>6.3509900354999997</v>
      </c>
      <c r="BZ73" s="5" t="s">
        <v>8</v>
      </c>
      <c r="CA73" s="3">
        <v>200</v>
      </c>
      <c r="CB73" s="3" t="s">
        <v>5</v>
      </c>
      <c r="CC73" s="23">
        <f>1/1000</f>
        <v>1E-3</v>
      </c>
      <c r="CD73" s="23">
        <f t="shared" ref="CD73:CD78" si="30">CA73*CC73</f>
        <v>0.2</v>
      </c>
      <c r="CE73" s="23" t="s">
        <v>18</v>
      </c>
      <c r="CF73" s="23">
        <v>1</v>
      </c>
      <c r="CG73" s="23"/>
      <c r="CH73" s="39">
        <f>CF73*CD73</f>
        <v>0.2</v>
      </c>
      <c r="CY73" s="338"/>
      <c r="CZ73" s="338" t="str">
        <f t="shared" si="26"/>
        <v>Corte espuma continua</v>
      </c>
      <c r="DA73" s="338">
        <f t="shared" si="27"/>
        <v>0</v>
      </c>
      <c r="DB73" s="338">
        <f t="shared" si="28"/>
        <v>0</v>
      </c>
      <c r="DC73" s="338">
        <f t="shared" si="28"/>
        <v>0</v>
      </c>
      <c r="DD73" s="338">
        <f t="shared" si="28"/>
        <v>0</v>
      </c>
      <c r="DE73" s="338">
        <f t="shared" si="28"/>
        <v>0</v>
      </c>
      <c r="DF73" s="338">
        <f t="shared" ref="DF73:DR73" si="31">DG29</f>
        <v>0</v>
      </c>
      <c r="DG73" s="338">
        <f t="shared" si="31"/>
        <v>0</v>
      </c>
      <c r="DH73" s="338">
        <f t="shared" si="31"/>
        <v>0</v>
      </c>
      <c r="DI73" s="338">
        <f t="shared" si="31"/>
        <v>57.241101581608007</v>
      </c>
      <c r="DJ73" s="338">
        <f t="shared" si="31"/>
        <v>263.38984466839196</v>
      </c>
      <c r="DK73" s="338">
        <f t="shared" si="31"/>
        <v>0</v>
      </c>
      <c r="DL73" s="338">
        <f t="shared" si="31"/>
        <v>0</v>
      </c>
      <c r="DM73" s="338">
        <f t="shared" si="31"/>
        <v>0</v>
      </c>
      <c r="DN73" s="338">
        <f t="shared" si="31"/>
        <v>0</v>
      </c>
      <c r="DO73" s="338">
        <f t="shared" si="31"/>
        <v>0</v>
      </c>
      <c r="DP73" s="338">
        <f t="shared" si="31"/>
        <v>0</v>
      </c>
      <c r="DQ73" s="338">
        <f t="shared" si="31"/>
        <v>0</v>
      </c>
      <c r="DR73" s="338">
        <f t="shared" si="31"/>
        <v>0</v>
      </c>
      <c r="DS73" s="338">
        <f t="shared" si="14"/>
        <v>0</v>
      </c>
      <c r="DT73" s="338">
        <f t="shared" si="15"/>
        <v>0</v>
      </c>
      <c r="DU73" s="338">
        <f t="shared" si="16"/>
        <v>0</v>
      </c>
      <c r="DV73" s="338">
        <f t="shared" si="17"/>
        <v>0</v>
      </c>
      <c r="DW73" s="338">
        <f t="shared" si="18"/>
        <v>0</v>
      </c>
      <c r="DX73" s="338">
        <f t="shared" si="19"/>
        <v>0</v>
      </c>
      <c r="DY73" s="338">
        <f t="shared" si="20"/>
        <v>0</v>
      </c>
      <c r="DZ73" s="338">
        <f t="shared" si="21"/>
        <v>0</v>
      </c>
      <c r="EA73" s="338">
        <f t="shared" si="22"/>
        <v>0</v>
      </c>
    </row>
    <row r="74" spans="63:131" x14ac:dyDescent="0.25">
      <c r="BT74" s="170">
        <f>BG62+AZ316</f>
        <v>6.3503549999999995</v>
      </c>
      <c r="BZ74" s="5" t="s">
        <v>7</v>
      </c>
      <c r="CA74" s="3">
        <f>47.5*62.5*0.3</f>
        <v>890.625</v>
      </c>
      <c r="CB74" s="3" t="s">
        <v>26</v>
      </c>
      <c r="CC74" s="23">
        <f>1/1000000</f>
        <v>9.9999999999999995E-7</v>
      </c>
      <c r="CD74" s="23">
        <f t="shared" si="30"/>
        <v>8.9062499999999992E-4</v>
      </c>
      <c r="CE74" s="23" t="s">
        <v>15</v>
      </c>
      <c r="CF74" s="23">
        <v>12</v>
      </c>
      <c r="CG74" s="23" t="s">
        <v>13</v>
      </c>
      <c r="CH74" s="23">
        <f>CF74*CD74</f>
        <v>1.0687499999999999E-2</v>
      </c>
      <c r="CI74" s="4">
        <f>CH74*2</f>
        <v>2.1374999999999998E-2</v>
      </c>
      <c r="CY74" s="338"/>
      <c r="CZ74" s="338" t="str">
        <f t="shared" si="26"/>
        <v>Perforación cilindro</v>
      </c>
      <c r="DA74" s="338">
        <f t="shared" si="27"/>
        <v>0</v>
      </c>
      <c r="DB74" s="338">
        <f t="shared" si="28"/>
        <v>0</v>
      </c>
      <c r="DC74" s="338">
        <f t="shared" si="28"/>
        <v>0</v>
      </c>
      <c r="DD74" s="338">
        <f t="shared" si="28"/>
        <v>0</v>
      </c>
      <c r="DE74" s="338">
        <f t="shared" si="28"/>
        <v>0</v>
      </c>
      <c r="DF74" s="338">
        <f t="shared" ref="DF74:DR74" si="32">DG30</f>
        <v>0</v>
      </c>
      <c r="DG74" s="338">
        <f t="shared" si="32"/>
        <v>0</v>
      </c>
      <c r="DH74" s="338">
        <f t="shared" si="32"/>
        <v>0</v>
      </c>
      <c r="DI74" s="338">
        <f t="shared" si="32"/>
        <v>0</v>
      </c>
      <c r="DJ74" s="338">
        <f t="shared" si="32"/>
        <v>0</v>
      </c>
      <c r="DK74" s="338">
        <f t="shared" si="32"/>
        <v>320.63094624999997</v>
      </c>
      <c r="DL74" s="338">
        <f t="shared" si="32"/>
        <v>0</v>
      </c>
      <c r="DM74" s="338">
        <f t="shared" si="32"/>
        <v>0</v>
      </c>
      <c r="DN74" s="338">
        <f t="shared" si="32"/>
        <v>0</v>
      </c>
      <c r="DO74" s="338">
        <f t="shared" si="32"/>
        <v>0</v>
      </c>
      <c r="DP74" s="338">
        <f t="shared" si="32"/>
        <v>0</v>
      </c>
      <c r="DQ74" s="338">
        <f t="shared" si="32"/>
        <v>0</v>
      </c>
      <c r="DR74" s="338">
        <f t="shared" si="32"/>
        <v>0</v>
      </c>
      <c r="DS74" s="338">
        <f t="shared" si="14"/>
        <v>0</v>
      </c>
      <c r="DT74" s="338">
        <f t="shared" si="15"/>
        <v>0</v>
      </c>
      <c r="DU74" s="338">
        <f t="shared" si="16"/>
        <v>0</v>
      </c>
      <c r="DV74" s="338">
        <f t="shared" si="17"/>
        <v>0</v>
      </c>
      <c r="DW74" s="338">
        <f t="shared" si="18"/>
        <v>0</v>
      </c>
      <c r="DX74" s="338">
        <f t="shared" si="19"/>
        <v>0</v>
      </c>
      <c r="DY74" s="338">
        <f t="shared" si="20"/>
        <v>0</v>
      </c>
      <c r="DZ74" s="338">
        <f t="shared" si="21"/>
        <v>0</v>
      </c>
      <c r="EA74" s="338">
        <f t="shared" si="22"/>
        <v>5.67E-2</v>
      </c>
    </row>
    <row r="75" spans="63:131" x14ac:dyDescent="0.25">
      <c r="BT75" s="13" t="s">
        <v>34</v>
      </c>
      <c r="BZ75" s="5" t="s">
        <v>32</v>
      </c>
      <c r="CA75" s="3">
        <v>219.6</v>
      </c>
      <c r="CB75" s="3" t="s">
        <v>10</v>
      </c>
      <c r="CC75" s="23">
        <f>1/100</f>
        <v>0.01</v>
      </c>
      <c r="CD75" s="23">
        <f t="shared" si="30"/>
        <v>2.1960000000000002</v>
      </c>
      <c r="CE75" s="23" t="s">
        <v>16</v>
      </c>
      <c r="CF75" s="23">
        <v>7.7585999999999999E-5</v>
      </c>
      <c r="CG75" s="23" t="s">
        <v>22</v>
      </c>
      <c r="CH75" s="40">
        <f t="shared" ref="CH75:CH78" si="33">CF75*CD75</f>
        <v>1.7037885600000002E-4</v>
      </c>
      <c r="CY75" s="338"/>
      <c r="CZ75" s="338" t="str">
        <f t="shared" si="26"/>
        <v>Confección clchón algodón</v>
      </c>
      <c r="DA75" s="338">
        <f t="shared" si="27"/>
        <v>0</v>
      </c>
      <c r="DB75" s="338">
        <f t="shared" si="28"/>
        <v>0</v>
      </c>
      <c r="DC75" s="338">
        <f t="shared" si="28"/>
        <v>0</v>
      </c>
      <c r="DD75" s="338">
        <f t="shared" si="28"/>
        <v>0</v>
      </c>
      <c r="DE75" s="338">
        <f t="shared" si="28"/>
        <v>0</v>
      </c>
      <c r="DF75" s="338">
        <f t="shared" ref="DF75:DR75" si="34">DG31</f>
        <v>0</v>
      </c>
      <c r="DG75" s="338">
        <f t="shared" si="34"/>
        <v>0</v>
      </c>
      <c r="DH75" s="338">
        <f t="shared" si="34"/>
        <v>0</v>
      </c>
      <c r="DI75" s="338">
        <f t="shared" si="34"/>
        <v>0</v>
      </c>
      <c r="DJ75" s="338">
        <f t="shared" si="34"/>
        <v>0</v>
      </c>
      <c r="DK75" s="338">
        <f t="shared" si="34"/>
        <v>0</v>
      </c>
      <c r="DL75" s="338">
        <f t="shared" si="34"/>
        <v>0</v>
      </c>
      <c r="DM75" s="338">
        <f t="shared" si="34"/>
        <v>0</v>
      </c>
      <c r="DN75" s="338">
        <f t="shared" si="34"/>
        <v>0</v>
      </c>
      <c r="DO75" s="338">
        <f t="shared" si="34"/>
        <v>0</v>
      </c>
      <c r="DP75" s="338">
        <f t="shared" si="34"/>
        <v>0</v>
      </c>
      <c r="DQ75" s="338">
        <f t="shared" si="34"/>
        <v>0</v>
      </c>
      <c r="DR75" s="338">
        <f t="shared" si="34"/>
        <v>0</v>
      </c>
      <c r="DS75" s="338">
        <f t="shared" si="14"/>
        <v>0</v>
      </c>
      <c r="DT75" s="338">
        <f t="shared" si="15"/>
        <v>0</v>
      </c>
      <c r="DU75" s="338">
        <f t="shared" si="16"/>
        <v>0</v>
      </c>
      <c r="DV75" s="338">
        <f t="shared" si="17"/>
        <v>0</v>
      </c>
      <c r="DW75" s="338">
        <f t="shared" si="18"/>
        <v>0</v>
      </c>
      <c r="DX75" s="338">
        <f t="shared" si="19"/>
        <v>0</v>
      </c>
      <c r="DY75" s="338">
        <f t="shared" si="20"/>
        <v>8710.6889999999985</v>
      </c>
      <c r="DZ75" s="338">
        <f t="shared" si="21"/>
        <v>0</v>
      </c>
      <c r="EA75" s="338">
        <f t="shared" si="22"/>
        <v>0</v>
      </c>
    </row>
    <row r="76" spans="63:131" x14ac:dyDescent="0.25">
      <c r="BT76" s="29" t="s">
        <v>56</v>
      </c>
      <c r="BZ76" s="5" t="s">
        <v>11</v>
      </c>
      <c r="CA76" s="3">
        <v>7200</v>
      </c>
      <c r="CB76" s="3" t="s">
        <v>9</v>
      </c>
      <c r="CC76" s="23">
        <f>0.0001</f>
        <v>1E-4</v>
      </c>
      <c r="CD76" s="23">
        <f t="shared" si="30"/>
        <v>0.72000000000000008</v>
      </c>
      <c r="CE76" s="23" t="s">
        <v>17</v>
      </c>
      <c r="CF76" s="23">
        <v>0.1</v>
      </c>
      <c r="CG76" s="23" t="s">
        <v>23</v>
      </c>
      <c r="CH76" s="23">
        <f t="shared" si="33"/>
        <v>7.2000000000000008E-2</v>
      </c>
      <c r="CY76" s="338"/>
      <c r="CZ76" s="338" t="str">
        <f t="shared" si="26"/>
        <v>Almacen madera</v>
      </c>
      <c r="DA76" s="338">
        <f t="shared" si="27"/>
        <v>0</v>
      </c>
      <c r="DB76" s="338">
        <f t="shared" si="28"/>
        <v>0</v>
      </c>
      <c r="DC76" s="338">
        <f t="shared" si="28"/>
        <v>0</v>
      </c>
      <c r="DD76" s="338">
        <f t="shared" si="28"/>
        <v>0</v>
      </c>
      <c r="DE76" s="338">
        <f t="shared" si="28"/>
        <v>0</v>
      </c>
      <c r="DF76" s="338">
        <f t="shared" ref="DF76:DR76" si="35">DG32</f>
        <v>0</v>
      </c>
      <c r="DG76" s="338">
        <f t="shared" si="35"/>
        <v>0</v>
      </c>
      <c r="DH76" s="338">
        <f t="shared" si="35"/>
        <v>0</v>
      </c>
      <c r="DI76" s="338">
        <f t="shared" si="35"/>
        <v>0</v>
      </c>
      <c r="DJ76" s="338">
        <f t="shared" si="35"/>
        <v>0</v>
      </c>
      <c r="DK76" s="338">
        <f t="shared" si="35"/>
        <v>0</v>
      </c>
      <c r="DL76" s="338">
        <f t="shared" si="35"/>
        <v>0</v>
      </c>
      <c r="DM76" s="338">
        <f t="shared" si="35"/>
        <v>0</v>
      </c>
      <c r="DN76" s="338">
        <f t="shared" si="35"/>
        <v>0</v>
      </c>
      <c r="DO76" s="338">
        <f t="shared" si="35"/>
        <v>5847.9506010000005</v>
      </c>
      <c r="DP76" s="338">
        <f t="shared" si="35"/>
        <v>0</v>
      </c>
      <c r="DQ76" s="338">
        <f t="shared" si="35"/>
        <v>86.145120000000006</v>
      </c>
      <c r="DR76" s="338">
        <f t="shared" si="35"/>
        <v>225.018</v>
      </c>
      <c r="DS76" s="338">
        <f t="shared" si="14"/>
        <v>0</v>
      </c>
      <c r="DT76" s="338">
        <f t="shared" si="15"/>
        <v>0</v>
      </c>
      <c r="DU76" s="338">
        <f t="shared" si="16"/>
        <v>0</v>
      </c>
      <c r="DV76" s="338">
        <f t="shared" si="17"/>
        <v>0</v>
      </c>
      <c r="DW76" s="338">
        <f t="shared" si="18"/>
        <v>0</v>
      </c>
      <c r="DX76" s="338">
        <f t="shared" si="19"/>
        <v>0</v>
      </c>
      <c r="DY76" s="338">
        <f t="shared" si="20"/>
        <v>0</v>
      </c>
      <c r="DZ76" s="338">
        <f t="shared" si="21"/>
        <v>0</v>
      </c>
      <c r="EA76" s="338">
        <f t="shared" si="22"/>
        <v>0</v>
      </c>
    </row>
    <row r="77" spans="63:131" x14ac:dyDescent="0.25">
      <c r="BT77" s="14" t="s">
        <v>35</v>
      </c>
      <c r="BW77" s="404" t="s">
        <v>51</v>
      </c>
      <c r="BX77" s="405"/>
      <c r="BZ77" s="5" t="s">
        <v>33</v>
      </c>
      <c r="CA77" s="3">
        <v>585.6</v>
      </c>
      <c r="CB77" s="3" t="s">
        <v>10</v>
      </c>
      <c r="CC77" s="23">
        <f>1/100</f>
        <v>0.01</v>
      </c>
      <c r="CD77" s="23">
        <f t="shared" si="30"/>
        <v>5.8560000000000008</v>
      </c>
      <c r="CE77" s="23" t="s">
        <v>16</v>
      </c>
      <c r="CF77" s="23">
        <v>7.7585999999999999E-5</v>
      </c>
      <c r="CG77" s="23" t="s">
        <v>22</v>
      </c>
      <c r="CH77" s="23">
        <f t="shared" si="33"/>
        <v>4.5434361600000004E-4</v>
      </c>
      <c r="CY77" s="338"/>
      <c r="CZ77" s="338" t="str">
        <f t="shared" si="26"/>
        <v>Corte madera</v>
      </c>
      <c r="DA77" s="338">
        <f t="shared" si="27"/>
        <v>0</v>
      </c>
      <c r="DB77" s="338">
        <f t="shared" si="28"/>
        <v>0</v>
      </c>
      <c r="DC77" s="338">
        <f t="shared" si="28"/>
        <v>0</v>
      </c>
      <c r="DD77" s="338">
        <f t="shared" si="28"/>
        <v>0</v>
      </c>
      <c r="DE77" s="338">
        <f t="shared" si="28"/>
        <v>0</v>
      </c>
      <c r="DF77" s="338">
        <f t="shared" ref="DF77:DR77" si="36">DG33</f>
        <v>0</v>
      </c>
      <c r="DG77" s="338">
        <f t="shared" si="36"/>
        <v>0</v>
      </c>
      <c r="DH77" s="338">
        <f t="shared" si="36"/>
        <v>0</v>
      </c>
      <c r="DI77" s="338">
        <f t="shared" si="36"/>
        <v>0</v>
      </c>
      <c r="DJ77" s="338">
        <f t="shared" si="36"/>
        <v>0</v>
      </c>
      <c r="DK77" s="338">
        <f t="shared" si="36"/>
        <v>0</v>
      </c>
      <c r="DL77" s="338">
        <f t="shared" si="36"/>
        <v>0</v>
      </c>
      <c r="DM77" s="338">
        <f t="shared" si="36"/>
        <v>0</v>
      </c>
      <c r="DN77" s="338">
        <f t="shared" si="36"/>
        <v>57.900501000000077</v>
      </c>
      <c r="DO77" s="338">
        <f t="shared" si="36"/>
        <v>0</v>
      </c>
      <c r="DP77" s="338">
        <f t="shared" si="36"/>
        <v>5790.0501000000004</v>
      </c>
      <c r="DQ77" s="338">
        <f t="shared" si="36"/>
        <v>0</v>
      </c>
      <c r="DR77" s="338">
        <f t="shared" si="36"/>
        <v>0</v>
      </c>
      <c r="DS77" s="338">
        <f t="shared" si="14"/>
        <v>0</v>
      </c>
      <c r="DT77" s="338">
        <f t="shared" si="15"/>
        <v>0</v>
      </c>
      <c r="DU77" s="338">
        <f t="shared" si="16"/>
        <v>0</v>
      </c>
      <c r="DV77" s="338">
        <f t="shared" si="17"/>
        <v>0</v>
      </c>
      <c r="DW77" s="338">
        <f t="shared" si="18"/>
        <v>0</v>
      </c>
      <c r="DX77" s="338">
        <f t="shared" si="19"/>
        <v>0</v>
      </c>
      <c r="DY77" s="338">
        <f t="shared" si="20"/>
        <v>0</v>
      </c>
      <c r="DZ77" s="338">
        <f t="shared" si="21"/>
        <v>0</v>
      </c>
      <c r="EA77" s="338">
        <f t="shared" si="22"/>
        <v>0</v>
      </c>
    </row>
    <row r="78" spans="63:131" x14ac:dyDescent="0.25">
      <c r="BT78" s="21">
        <f>BT74</f>
        <v>6.3503549999999995</v>
      </c>
      <c r="BW78" s="406" t="str">
        <f>BU66</f>
        <v>Espuma triturada</v>
      </c>
      <c r="BX78" s="407"/>
      <c r="BZ78" s="5" t="s">
        <v>12</v>
      </c>
      <c r="CA78" s="3">
        <v>7</v>
      </c>
      <c r="CB78" s="3" t="s">
        <v>14</v>
      </c>
      <c r="CC78" s="23">
        <f>1/1000000</f>
        <v>9.9999999999999995E-7</v>
      </c>
      <c r="CD78" s="23">
        <f t="shared" si="30"/>
        <v>6.9999999999999999E-6</v>
      </c>
      <c r="CE78" s="23" t="s">
        <v>15</v>
      </c>
      <c r="CF78" s="23">
        <v>1116.6400000000001</v>
      </c>
      <c r="CG78" s="23" t="s">
        <v>13</v>
      </c>
      <c r="CH78" s="23">
        <f t="shared" si="33"/>
        <v>7.8164800000000006E-3</v>
      </c>
      <c r="CY78" s="338"/>
      <c r="CZ78" s="338" t="str">
        <f t="shared" si="26"/>
        <v>Lijado</v>
      </c>
      <c r="DA78" s="338">
        <f t="shared" si="27"/>
        <v>0</v>
      </c>
      <c r="DB78" s="338">
        <f t="shared" si="28"/>
        <v>0</v>
      </c>
      <c r="DC78" s="338">
        <f t="shared" si="28"/>
        <v>0</v>
      </c>
      <c r="DD78" s="338">
        <f t="shared" si="28"/>
        <v>0</v>
      </c>
      <c r="DE78" s="338">
        <f t="shared" si="28"/>
        <v>0</v>
      </c>
      <c r="DF78" s="338">
        <f t="shared" ref="DF78:DR78" si="37">DG34</f>
        <v>0</v>
      </c>
      <c r="DG78" s="338">
        <f t="shared" si="37"/>
        <v>0</v>
      </c>
      <c r="DH78" s="338">
        <f t="shared" si="37"/>
        <v>0</v>
      </c>
      <c r="DI78" s="338">
        <f t="shared" si="37"/>
        <v>0</v>
      </c>
      <c r="DJ78" s="338">
        <f t="shared" si="37"/>
        <v>0</v>
      </c>
      <c r="DK78" s="338">
        <f t="shared" si="37"/>
        <v>0</v>
      </c>
      <c r="DL78" s="338">
        <f t="shared" si="37"/>
        <v>0</v>
      </c>
      <c r="DM78" s="338">
        <f t="shared" si="37"/>
        <v>0</v>
      </c>
      <c r="DN78" s="338">
        <f t="shared" si="37"/>
        <v>0</v>
      </c>
      <c r="DO78" s="338">
        <f t="shared" si="37"/>
        <v>0</v>
      </c>
      <c r="DP78" s="338">
        <f t="shared" si="37"/>
        <v>0</v>
      </c>
      <c r="DQ78" s="338">
        <f t="shared" si="37"/>
        <v>5789.47109499</v>
      </c>
      <c r="DR78" s="338">
        <f t="shared" si="37"/>
        <v>0</v>
      </c>
      <c r="DS78" s="338">
        <f t="shared" si="14"/>
        <v>0</v>
      </c>
      <c r="DT78" s="338">
        <f t="shared" si="15"/>
        <v>0</v>
      </c>
      <c r="DU78" s="338">
        <f t="shared" si="16"/>
        <v>0</v>
      </c>
      <c r="DV78" s="338">
        <f t="shared" si="17"/>
        <v>0</v>
      </c>
      <c r="DW78" s="338">
        <f t="shared" si="18"/>
        <v>0</v>
      </c>
      <c r="DX78" s="338">
        <f t="shared" si="19"/>
        <v>0.57900501000040094</v>
      </c>
      <c r="DY78" s="338">
        <f t="shared" si="20"/>
        <v>0</v>
      </c>
      <c r="DZ78" s="338">
        <f t="shared" si="21"/>
        <v>0</v>
      </c>
      <c r="EA78" s="338">
        <f t="shared" si="22"/>
        <v>0</v>
      </c>
    </row>
    <row r="79" spans="63:131" ht="15.75" thickBot="1" x14ac:dyDescent="0.3">
      <c r="BT79" s="15" t="s">
        <v>36</v>
      </c>
      <c r="BW79" s="43">
        <f>IF(BV68-BT78&lt;0,0,BV68-BT78)</f>
        <v>80.249645000000015</v>
      </c>
      <c r="BX79" s="44" t="s">
        <v>18</v>
      </c>
      <c r="CI79" s="408" t="s">
        <v>25</v>
      </c>
      <c r="CJ79" s="408"/>
      <c r="CY79" s="338"/>
      <c r="CZ79" s="338" t="str">
        <f t="shared" si="26"/>
        <v>Barnizado</v>
      </c>
      <c r="DA79" s="338">
        <f t="shared" si="27"/>
        <v>0</v>
      </c>
      <c r="DB79" s="338">
        <f t="shared" si="28"/>
        <v>0</v>
      </c>
      <c r="DC79" s="338">
        <f t="shared" si="28"/>
        <v>0</v>
      </c>
      <c r="DD79" s="338">
        <f t="shared" si="28"/>
        <v>0</v>
      </c>
      <c r="DE79" s="338">
        <f t="shared" si="28"/>
        <v>0</v>
      </c>
      <c r="DF79" s="338">
        <f t="shared" ref="DF79:DR79" si="38">DG35</f>
        <v>0</v>
      </c>
      <c r="DG79" s="338">
        <f t="shared" si="38"/>
        <v>0</v>
      </c>
      <c r="DH79" s="338">
        <f t="shared" si="38"/>
        <v>0</v>
      </c>
      <c r="DI79" s="338">
        <f t="shared" si="38"/>
        <v>0</v>
      </c>
      <c r="DJ79" s="338">
        <f t="shared" si="38"/>
        <v>0</v>
      </c>
      <c r="DK79" s="338">
        <f t="shared" si="38"/>
        <v>0</v>
      </c>
      <c r="DL79" s="338">
        <f t="shared" si="38"/>
        <v>0</v>
      </c>
      <c r="DM79" s="338">
        <f t="shared" si="38"/>
        <v>0</v>
      </c>
      <c r="DN79" s="338">
        <f t="shared" si="38"/>
        <v>0</v>
      </c>
      <c r="DO79" s="338">
        <f t="shared" si="38"/>
        <v>0</v>
      </c>
      <c r="DP79" s="338">
        <f t="shared" si="38"/>
        <v>0</v>
      </c>
      <c r="DQ79" s="338">
        <f t="shared" si="38"/>
        <v>0</v>
      </c>
      <c r="DR79" s="338">
        <f t="shared" si="38"/>
        <v>5875.6162149900001</v>
      </c>
      <c r="DS79" s="338">
        <f t="shared" si="14"/>
        <v>0</v>
      </c>
      <c r="DT79" s="338">
        <f t="shared" si="15"/>
        <v>0</v>
      </c>
      <c r="DU79" s="338">
        <f t="shared" si="16"/>
        <v>0</v>
      </c>
      <c r="DV79" s="338">
        <f t="shared" si="17"/>
        <v>0</v>
      </c>
      <c r="DW79" s="338">
        <f t="shared" si="18"/>
        <v>0</v>
      </c>
      <c r="DX79" s="338">
        <f t="shared" si="19"/>
        <v>0</v>
      </c>
      <c r="DY79" s="338">
        <f t="shared" si="20"/>
        <v>0</v>
      </c>
      <c r="DZ79" s="338">
        <f t="shared" si="21"/>
        <v>0</v>
      </c>
      <c r="EA79" s="338">
        <f t="shared" si="22"/>
        <v>0</v>
      </c>
    </row>
    <row r="80" spans="63:131" x14ac:dyDescent="0.25">
      <c r="BT80" s="17">
        <f>IF(BT73=BT74,BT74-BT78,BT73-BT78)</f>
        <v>6.3503550000021391E-4</v>
      </c>
      <c r="BW80" s="43">
        <f>IF(BV68-BT78&lt;0,0,BV68-BT78)</f>
        <v>80.249645000000015</v>
      </c>
      <c r="BX80" s="44" t="s">
        <v>18</v>
      </c>
      <c r="CC80" s="453" t="s">
        <v>105</v>
      </c>
      <c r="CD80" s="454"/>
      <c r="CI80" s="4">
        <f>CH73+CI74+CH75+CH76+CH77+CH78</f>
        <v>0.30181620247200003</v>
      </c>
      <c r="CJ80" s="4" t="s">
        <v>18</v>
      </c>
      <c r="CY80" s="338"/>
      <c r="CZ80" s="338" t="str">
        <f t="shared" si="26"/>
        <v>Ensamble base cama</v>
      </c>
      <c r="DA80" s="338">
        <f t="shared" si="27"/>
        <v>0</v>
      </c>
      <c r="DB80" s="338">
        <f t="shared" si="28"/>
        <v>0</v>
      </c>
      <c r="DC80" s="338">
        <f t="shared" si="28"/>
        <v>0</v>
      </c>
      <c r="DD80" s="338">
        <f t="shared" si="28"/>
        <v>0</v>
      </c>
      <c r="DE80" s="338">
        <f t="shared" si="28"/>
        <v>0</v>
      </c>
      <c r="DF80" s="338">
        <f t="shared" ref="DF80:DR80" si="39">DG36</f>
        <v>0</v>
      </c>
      <c r="DG80" s="338">
        <f t="shared" si="39"/>
        <v>0</v>
      </c>
      <c r="DH80" s="338">
        <f t="shared" si="39"/>
        <v>0</v>
      </c>
      <c r="DI80" s="338">
        <f t="shared" si="39"/>
        <v>0</v>
      </c>
      <c r="DJ80" s="338">
        <f t="shared" si="39"/>
        <v>0</v>
      </c>
      <c r="DK80" s="338">
        <f t="shared" si="39"/>
        <v>0</v>
      </c>
      <c r="DL80" s="338">
        <f t="shared" si="39"/>
        <v>0</v>
      </c>
      <c r="DM80" s="338">
        <f t="shared" si="39"/>
        <v>0</v>
      </c>
      <c r="DN80" s="338">
        <f t="shared" si="39"/>
        <v>0</v>
      </c>
      <c r="DO80" s="338">
        <f t="shared" si="39"/>
        <v>0</v>
      </c>
      <c r="DP80" s="338">
        <f t="shared" si="39"/>
        <v>0</v>
      </c>
      <c r="DQ80" s="338">
        <f t="shared" si="39"/>
        <v>0</v>
      </c>
      <c r="DR80" s="338">
        <f t="shared" si="39"/>
        <v>0</v>
      </c>
      <c r="DS80" s="338">
        <f t="shared" si="14"/>
        <v>0</v>
      </c>
      <c r="DT80" s="338">
        <f t="shared" si="15"/>
        <v>0</v>
      </c>
      <c r="DU80" s="338">
        <f t="shared" si="16"/>
        <v>0</v>
      </c>
      <c r="DV80" s="338">
        <f t="shared" si="17"/>
        <v>0</v>
      </c>
      <c r="DW80" s="338">
        <f t="shared" si="18"/>
        <v>0</v>
      </c>
      <c r="DX80" s="338">
        <f t="shared" si="19"/>
        <v>0</v>
      </c>
      <c r="DY80" s="338">
        <f t="shared" si="20"/>
        <v>6100.6342149900001</v>
      </c>
      <c r="DZ80" s="338">
        <f t="shared" si="21"/>
        <v>0</v>
      </c>
      <c r="EA80" s="338">
        <f t="shared" si="22"/>
        <v>0</v>
      </c>
    </row>
    <row r="81" spans="69:131" x14ac:dyDescent="0.25">
      <c r="BT81" s="28"/>
      <c r="CC81" s="455"/>
      <c r="CD81" s="456"/>
      <c r="CY81" s="338"/>
      <c r="CZ81" s="338" t="str">
        <f t="shared" ref="CZ81:DE89" si="40">CZ38</f>
        <v>Cerrado-confección-tapizado</v>
      </c>
      <c r="DA81" s="338">
        <f t="shared" si="40"/>
        <v>0</v>
      </c>
      <c r="DB81" s="338">
        <f t="shared" si="40"/>
        <v>0</v>
      </c>
      <c r="DC81" s="338">
        <f t="shared" si="40"/>
        <v>0</v>
      </c>
      <c r="DD81" s="338">
        <f t="shared" si="40"/>
        <v>0</v>
      </c>
      <c r="DE81" s="338">
        <f t="shared" si="40"/>
        <v>0</v>
      </c>
      <c r="DF81" s="338">
        <f t="shared" ref="DF81:DR81" si="41">DG38</f>
        <v>0</v>
      </c>
      <c r="DG81" s="338">
        <f t="shared" si="41"/>
        <v>0</v>
      </c>
      <c r="DH81" s="338">
        <f t="shared" si="41"/>
        <v>0</v>
      </c>
      <c r="DI81" s="338">
        <f t="shared" si="41"/>
        <v>0</v>
      </c>
      <c r="DJ81" s="338">
        <f t="shared" si="41"/>
        <v>0</v>
      </c>
      <c r="DK81" s="338">
        <f t="shared" si="41"/>
        <v>0</v>
      </c>
      <c r="DL81" s="338">
        <f t="shared" si="41"/>
        <v>0</v>
      </c>
      <c r="DM81" s="338">
        <f t="shared" si="41"/>
        <v>0</v>
      </c>
      <c r="DN81" s="338">
        <f t="shared" si="41"/>
        <v>0</v>
      </c>
      <c r="DO81" s="338">
        <f t="shared" si="41"/>
        <v>0</v>
      </c>
      <c r="DP81" s="338">
        <f t="shared" si="41"/>
        <v>0</v>
      </c>
      <c r="DQ81" s="338">
        <f t="shared" si="41"/>
        <v>0</v>
      </c>
      <c r="DR81" s="338">
        <f t="shared" si="41"/>
        <v>0</v>
      </c>
      <c r="DS81" s="338">
        <f t="shared" ref="DS81:DS89" si="42">DU38</f>
        <v>0</v>
      </c>
      <c r="DT81" s="338">
        <f t="shared" ref="DT81:DT89" si="43">DV38</f>
        <v>0</v>
      </c>
      <c r="DU81" s="338">
        <f t="shared" ref="DU81:DU89" si="44">DW38</f>
        <v>0</v>
      </c>
      <c r="DV81" s="338">
        <f t="shared" ref="DV81:DV89" si="45">DX38</f>
        <v>0</v>
      </c>
      <c r="DW81" s="338">
        <f t="shared" ref="DW81:DW89" si="46">DY38</f>
        <v>0</v>
      </c>
      <c r="DX81" s="338">
        <f t="shared" ref="DX81:DX89" si="47">DZ38</f>
        <v>0</v>
      </c>
      <c r="DY81" s="338">
        <f t="shared" ref="DY81:DY89" si="48">EA38</f>
        <v>15377.29811542937</v>
      </c>
      <c r="DZ81" s="338">
        <f t="shared" ref="DZ81:DZ89" si="49">EB38</f>
        <v>0</v>
      </c>
      <c r="EA81" s="338">
        <f t="shared" ref="EA81:EA89" si="50">ED38</f>
        <v>0</v>
      </c>
    </row>
    <row r="82" spans="69:131" x14ac:dyDescent="0.25">
      <c r="BT82" s="164" t="s">
        <v>233</v>
      </c>
      <c r="CC82" s="455"/>
      <c r="CD82" s="456"/>
      <c r="CY82" s="338"/>
      <c r="CZ82" s="338" t="str">
        <f t="shared" si="40"/>
        <v>Moldeo</v>
      </c>
      <c r="DA82" s="338">
        <f t="shared" si="40"/>
        <v>253.34399999999999</v>
      </c>
      <c r="DB82" s="338">
        <f t="shared" si="40"/>
        <v>0</v>
      </c>
      <c r="DC82" s="338">
        <f t="shared" si="40"/>
        <v>0</v>
      </c>
      <c r="DD82" s="338">
        <f t="shared" si="40"/>
        <v>0</v>
      </c>
      <c r="DE82" s="338">
        <f t="shared" si="40"/>
        <v>0</v>
      </c>
      <c r="DF82" s="338">
        <f t="shared" ref="DF82:DR82" si="51">DG39</f>
        <v>0</v>
      </c>
      <c r="DG82" s="338">
        <f t="shared" si="51"/>
        <v>324.15161386632229</v>
      </c>
      <c r="DH82" s="338">
        <f t="shared" si="51"/>
        <v>0</v>
      </c>
      <c r="DI82" s="338">
        <f t="shared" si="51"/>
        <v>4404.0067739414171</v>
      </c>
      <c r="DJ82" s="338">
        <f t="shared" si="51"/>
        <v>0</v>
      </c>
      <c r="DK82" s="338">
        <f t="shared" si="51"/>
        <v>0</v>
      </c>
      <c r="DL82" s="338">
        <f t="shared" si="51"/>
        <v>0</v>
      </c>
      <c r="DM82" s="338">
        <f t="shared" si="51"/>
        <v>0</v>
      </c>
      <c r="DN82" s="338">
        <f t="shared" si="51"/>
        <v>0</v>
      </c>
      <c r="DO82" s="338">
        <f t="shared" si="51"/>
        <v>0</v>
      </c>
      <c r="DP82" s="338">
        <f t="shared" si="51"/>
        <v>0</v>
      </c>
      <c r="DQ82" s="338">
        <f t="shared" si="51"/>
        <v>0</v>
      </c>
      <c r="DR82" s="338">
        <f t="shared" si="51"/>
        <v>0</v>
      </c>
      <c r="DS82" s="338">
        <f t="shared" si="42"/>
        <v>0</v>
      </c>
      <c r="DT82" s="338">
        <f t="shared" si="43"/>
        <v>0</v>
      </c>
      <c r="DU82" s="338">
        <f t="shared" si="44"/>
        <v>0</v>
      </c>
      <c r="DV82" s="338">
        <f t="shared" si="45"/>
        <v>0</v>
      </c>
      <c r="DW82" s="338">
        <f t="shared" si="46"/>
        <v>0</v>
      </c>
      <c r="DX82" s="338">
        <f t="shared" si="47"/>
        <v>0</v>
      </c>
      <c r="DY82" s="338">
        <f t="shared" si="48"/>
        <v>0</v>
      </c>
      <c r="DZ82" s="338">
        <f t="shared" si="49"/>
        <v>0</v>
      </c>
      <c r="EA82" s="338">
        <f t="shared" si="50"/>
        <v>0</v>
      </c>
    </row>
    <row r="83" spans="69:131" x14ac:dyDescent="0.25">
      <c r="BT83" s="177">
        <f>BT78-BV68</f>
        <v>-80.249645000000015</v>
      </c>
      <c r="CC83" s="455"/>
      <c r="CD83" s="456"/>
      <c r="CY83" s="338"/>
      <c r="CZ83" s="338" t="str">
        <f t="shared" si="40"/>
        <v>Mezclado</v>
      </c>
      <c r="DA83" s="338">
        <f t="shared" si="40"/>
        <v>0</v>
      </c>
      <c r="DB83" s="338">
        <f t="shared" si="40"/>
        <v>0</v>
      </c>
      <c r="DC83" s="338">
        <f t="shared" si="40"/>
        <v>0</v>
      </c>
      <c r="DD83" s="338">
        <f t="shared" si="40"/>
        <v>0</v>
      </c>
      <c r="DE83" s="338">
        <f t="shared" si="40"/>
        <v>0</v>
      </c>
      <c r="DF83" s="338">
        <f t="shared" ref="DF83:DR83" si="52">DG40</f>
        <v>0</v>
      </c>
      <c r="DG83" s="338">
        <f t="shared" si="52"/>
        <v>0</v>
      </c>
      <c r="DH83" s="338">
        <f t="shared" si="52"/>
        <v>0</v>
      </c>
      <c r="DI83" s="338">
        <f t="shared" si="52"/>
        <v>0</v>
      </c>
      <c r="DJ83" s="338">
        <f t="shared" si="52"/>
        <v>0</v>
      </c>
      <c r="DK83" s="338">
        <f t="shared" si="52"/>
        <v>0</v>
      </c>
      <c r="DL83" s="338">
        <f t="shared" si="52"/>
        <v>0</v>
      </c>
      <c r="DM83" s="338">
        <f t="shared" si="52"/>
        <v>0</v>
      </c>
      <c r="DN83" s="338">
        <f t="shared" si="52"/>
        <v>0</v>
      </c>
      <c r="DO83" s="338">
        <f t="shared" si="52"/>
        <v>0</v>
      </c>
      <c r="DP83" s="338">
        <f t="shared" si="52"/>
        <v>0</v>
      </c>
      <c r="DQ83" s="338">
        <f t="shared" si="52"/>
        <v>0</v>
      </c>
      <c r="DR83" s="338">
        <f t="shared" si="52"/>
        <v>0</v>
      </c>
      <c r="DS83" s="338">
        <f t="shared" si="42"/>
        <v>0</v>
      </c>
      <c r="DT83" s="338">
        <f t="shared" si="43"/>
        <v>4981.50238780774</v>
      </c>
      <c r="DU83" s="338">
        <f t="shared" si="44"/>
        <v>0</v>
      </c>
      <c r="DV83" s="338">
        <f t="shared" si="45"/>
        <v>0</v>
      </c>
      <c r="DW83" s="338">
        <f t="shared" si="46"/>
        <v>0</v>
      </c>
      <c r="DX83" s="338">
        <f t="shared" si="47"/>
        <v>0</v>
      </c>
      <c r="DY83" s="338">
        <f t="shared" si="48"/>
        <v>0</v>
      </c>
      <c r="DZ83" s="338">
        <f t="shared" si="49"/>
        <v>0</v>
      </c>
      <c r="EA83" s="338">
        <f t="shared" si="50"/>
        <v>0</v>
      </c>
    </row>
    <row r="84" spans="69:131" ht="15.75" thickBot="1" x14ac:dyDescent="0.3">
      <c r="CC84" s="455"/>
      <c r="CD84" s="456"/>
      <c r="CY84" s="338"/>
      <c r="CZ84" s="338" t="str">
        <f t="shared" si="40"/>
        <v>Pegar tapas espuma</v>
      </c>
      <c r="DA84" s="338">
        <f t="shared" si="40"/>
        <v>0</v>
      </c>
      <c r="DB84" s="338">
        <f t="shared" si="40"/>
        <v>0</v>
      </c>
      <c r="DC84" s="338">
        <f t="shared" si="40"/>
        <v>0</v>
      </c>
      <c r="DD84" s="338">
        <f t="shared" si="40"/>
        <v>0</v>
      </c>
      <c r="DE84" s="338">
        <f t="shared" si="40"/>
        <v>12.639910839999999</v>
      </c>
      <c r="DF84" s="338">
        <f t="shared" ref="DF84:DR84" si="53">DG41</f>
        <v>0</v>
      </c>
      <c r="DG84" s="338">
        <f t="shared" si="53"/>
        <v>0</v>
      </c>
      <c r="DH84" s="338">
        <f t="shared" si="53"/>
        <v>0</v>
      </c>
      <c r="DI84" s="338">
        <f t="shared" si="53"/>
        <v>0</v>
      </c>
      <c r="DJ84" s="338">
        <f t="shared" si="53"/>
        <v>0</v>
      </c>
      <c r="DK84" s="338">
        <f t="shared" si="53"/>
        <v>0</v>
      </c>
      <c r="DL84" s="338">
        <f t="shared" si="53"/>
        <v>0</v>
      </c>
      <c r="DM84" s="338">
        <f t="shared" si="53"/>
        <v>0</v>
      </c>
      <c r="DN84" s="338">
        <f t="shared" si="53"/>
        <v>0</v>
      </c>
      <c r="DO84" s="338">
        <f t="shared" si="53"/>
        <v>0</v>
      </c>
      <c r="DP84" s="338">
        <f t="shared" si="53"/>
        <v>0</v>
      </c>
      <c r="DQ84" s="338">
        <f t="shared" si="53"/>
        <v>0</v>
      </c>
      <c r="DR84" s="338">
        <f t="shared" si="53"/>
        <v>0</v>
      </c>
      <c r="DS84" s="338">
        <f t="shared" si="42"/>
        <v>0</v>
      </c>
      <c r="DT84" s="338">
        <f t="shared" si="43"/>
        <v>0</v>
      </c>
      <c r="DU84" s="338">
        <f t="shared" si="44"/>
        <v>0</v>
      </c>
      <c r="DV84" s="338">
        <f t="shared" si="45"/>
        <v>0</v>
      </c>
      <c r="DW84" s="338">
        <f t="shared" si="46"/>
        <v>0</v>
      </c>
      <c r="DX84" s="338">
        <f t="shared" si="47"/>
        <v>0</v>
      </c>
      <c r="DY84" s="338">
        <f t="shared" si="48"/>
        <v>0</v>
      </c>
      <c r="DZ84" s="338">
        <f t="shared" si="49"/>
        <v>0</v>
      </c>
      <c r="EA84" s="338">
        <f t="shared" si="50"/>
        <v>0</v>
      </c>
    </row>
    <row r="85" spans="69:131" ht="15.75" thickBot="1" x14ac:dyDescent="0.3">
      <c r="BT85" s="75"/>
      <c r="BU85" s="76"/>
      <c r="BV85" s="76"/>
      <c r="BW85" s="76"/>
      <c r="BX85" s="77"/>
      <c r="CC85" s="457"/>
      <c r="CD85" s="458"/>
      <c r="CY85" s="338"/>
      <c r="CZ85" s="338" t="str">
        <f t="shared" si="40"/>
        <v>Triturado-Corte manual</v>
      </c>
      <c r="DA85" s="338">
        <f t="shared" si="40"/>
        <v>0</v>
      </c>
      <c r="DB85" s="338">
        <f t="shared" si="40"/>
        <v>0</v>
      </c>
      <c r="DC85" s="338">
        <f t="shared" si="40"/>
        <v>0</v>
      </c>
      <c r="DD85" s="338">
        <f t="shared" si="40"/>
        <v>0</v>
      </c>
      <c r="DE85" s="338">
        <f t="shared" si="40"/>
        <v>6.3503549999999995</v>
      </c>
      <c r="DF85" s="338">
        <f t="shared" ref="DF85:DR85" si="54">DG42</f>
        <v>0</v>
      </c>
      <c r="DG85" s="338">
        <f t="shared" si="54"/>
        <v>0</v>
      </c>
      <c r="DH85" s="338">
        <f t="shared" si="54"/>
        <v>0</v>
      </c>
      <c r="DI85" s="338">
        <f t="shared" si="54"/>
        <v>0</v>
      </c>
      <c r="DJ85" s="338">
        <f t="shared" si="54"/>
        <v>0</v>
      </c>
      <c r="DK85" s="338">
        <f t="shared" si="54"/>
        <v>0</v>
      </c>
      <c r="DL85" s="338">
        <f t="shared" si="54"/>
        <v>0</v>
      </c>
      <c r="DM85" s="338">
        <f t="shared" si="54"/>
        <v>0</v>
      </c>
      <c r="DN85" s="338">
        <f t="shared" si="54"/>
        <v>0</v>
      </c>
      <c r="DO85" s="338">
        <f t="shared" si="54"/>
        <v>0</v>
      </c>
      <c r="DP85" s="338">
        <f t="shared" si="54"/>
        <v>0</v>
      </c>
      <c r="DQ85" s="338">
        <f t="shared" si="54"/>
        <v>0</v>
      </c>
      <c r="DR85" s="338">
        <f t="shared" si="54"/>
        <v>0</v>
      </c>
      <c r="DS85" s="338">
        <f t="shared" si="42"/>
        <v>23.248000000000001</v>
      </c>
      <c r="DT85" s="338">
        <f t="shared" si="43"/>
        <v>0</v>
      </c>
      <c r="DU85" s="338">
        <f t="shared" si="44"/>
        <v>0</v>
      </c>
      <c r="DV85" s="338">
        <f t="shared" si="45"/>
        <v>0</v>
      </c>
      <c r="DW85" s="338">
        <f t="shared" si="46"/>
        <v>0</v>
      </c>
      <c r="DX85" s="338">
        <f t="shared" si="47"/>
        <v>0</v>
      </c>
      <c r="DY85" s="338">
        <f t="shared" si="48"/>
        <v>0</v>
      </c>
      <c r="DZ85" s="338">
        <f t="shared" si="49"/>
        <v>0</v>
      </c>
      <c r="EA85" s="338">
        <f t="shared" si="50"/>
        <v>0</v>
      </c>
    </row>
    <row r="86" spans="69:131" x14ac:dyDescent="0.25">
      <c r="BT86" s="78"/>
      <c r="BU86" s="10"/>
      <c r="BV86" s="41" t="s">
        <v>58</v>
      </c>
      <c r="BW86" s="41"/>
      <c r="BX86" s="79"/>
      <c r="CC86" s="10"/>
      <c r="CD86" s="10"/>
      <c r="CY86" s="338"/>
      <c r="CZ86" s="338" t="str">
        <f t="shared" si="40"/>
        <v>Desechos</v>
      </c>
      <c r="DA86" s="338">
        <f t="shared" si="40"/>
        <v>0</v>
      </c>
      <c r="DB86" s="338">
        <f t="shared" si="40"/>
        <v>0</v>
      </c>
      <c r="DC86" s="338">
        <f t="shared" si="40"/>
        <v>0</v>
      </c>
      <c r="DD86" s="338">
        <f t="shared" si="40"/>
        <v>0</v>
      </c>
      <c r="DE86" s="338">
        <f t="shared" si="40"/>
        <v>0</v>
      </c>
      <c r="DF86" s="338">
        <f t="shared" ref="DF86:DR86" si="55">DG43</f>
        <v>0</v>
      </c>
      <c r="DG86" s="338">
        <f t="shared" si="55"/>
        <v>0</v>
      </c>
      <c r="DH86" s="338">
        <f t="shared" si="55"/>
        <v>0</v>
      </c>
      <c r="DI86" s="338">
        <f t="shared" si="55"/>
        <v>0</v>
      </c>
      <c r="DJ86" s="338">
        <f t="shared" si="55"/>
        <v>0</v>
      </c>
      <c r="DK86" s="338">
        <f t="shared" si="55"/>
        <v>0</v>
      </c>
      <c r="DL86" s="338">
        <f t="shared" si="55"/>
        <v>0</v>
      </c>
      <c r="DM86" s="338">
        <f t="shared" si="55"/>
        <v>0</v>
      </c>
      <c r="DN86" s="338">
        <f t="shared" si="55"/>
        <v>0</v>
      </c>
      <c r="DO86" s="338">
        <f t="shared" si="55"/>
        <v>0</v>
      </c>
      <c r="DP86" s="338">
        <f t="shared" si="55"/>
        <v>0</v>
      </c>
      <c r="DQ86" s="338">
        <f t="shared" si="55"/>
        <v>0</v>
      </c>
      <c r="DR86" s="338">
        <f t="shared" si="55"/>
        <v>0</v>
      </c>
      <c r="DS86" s="338">
        <f t="shared" si="42"/>
        <v>0</v>
      </c>
      <c r="DT86" s="338">
        <f t="shared" si="43"/>
        <v>0</v>
      </c>
      <c r="DU86" s="338">
        <f t="shared" si="44"/>
        <v>0</v>
      </c>
      <c r="DV86" s="338">
        <f t="shared" si="45"/>
        <v>0</v>
      </c>
      <c r="DW86" s="338">
        <f t="shared" si="46"/>
        <v>0</v>
      </c>
      <c r="DX86" s="338">
        <f t="shared" si="47"/>
        <v>0</v>
      </c>
      <c r="DY86" s="338">
        <f t="shared" si="48"/>
        <v>0</v>
      </c>
      <c r="DZ86" s="338">
        <f t="shared" si="49"/>
        <v>0</v>
      </c>
      <c r="EA86" s="338">
        <f t="shared" si="50"/>
        <v>0</v>
      </c>
    </row>
    <row r="87" spans="69:131" x14ac:dyDescent="0.25">
      <c r="BT87" s="78"/>
      <c r="BU87" s="10"/>
      <c r="BV87" s="25" t="s">
        <v>100</v>
      </c>
      <c r="BW87" s="4"/>
      <c r="BX87" s="79"/>
      <c r="CC87" s="10"/>
      <c r="CD87" s="10"/>
      <c r="CY87" s="338"/>
      <c r="CZ87" s="338" t="str">
        <f t="shared" si="40"/>
        <v>Almacen PT</v>
      </c>
      <c r="DA87" s="338">
        <f t="shared" si="40"/>
        <v>0</v>
      </c>
      <c r="DB87" s="338">
        <f t="shared" si="40"/>
        <v>0</v>
      </c>
      <c r="DC87" s="338">
        <f t="shared" si="40"/>
        <v>0</v>
      </c>
      <c r="DD87" s="338">
        <f t="shared" si="40"/>
        <v>0</v>
      </c>
      <c r="DE87" s="338">
        <f t="shared" si="40"/>
        <v>0</v>
      </c>
      <c r="DF87" s="338">
        <f t="shared" ref="DF87:DR87" si="56">DG44</f>
        <v>0</v>
      </c>
      <c r="DG87" s="338">
        <f t="shared" si="56"/>
        <v>0</v>
      </c>
      <c r="DH87" s="338">
        <f t="shared" si="56"/>
        <v>0</v>
      </c>
      <c r="DI87" s="338">
        <f t="shared" si="56"/>
        <v>0</v>
      </c>
      <c r="DJ87" s="338">
        <f t="shared" si="56"/>
        <v>0</v>
      </c>
      <c r="DK87" s="338">
        <f t="shared" si="56"/>
        <v>0</v>
      </c>
      <c r="DL87" s="338">
        <f t="shared" si="56"/>
        <v>0</v>
      </c>
      <c r="DM87" s="338">
        <f t="shared" si="56"/>
        <v>0</v>
      </c>
      <c r="DN87" s="338">
        <f t="shared" si="56"/>
        <v>0</v>
      </c>
      <c r="DO87" s="338">
        <f t="shared" si="56"/>
        <v>0</v>
      </c>
      <c r="DP87" s="338">
        <f t="shared" si="56"/>
        <v>0</v>
      </c>
      <c r="DQ87" s="338">
        <f t="shared" si="56"/>
        <v>0</v>
      </c>
      <c r="DR87" s="338">
        <f t="shared" si="56"/>
        <v>0</v>
      </c>
      <c r="DS87" s="338">
        <f t="shared" si="42"/>
        <v>0</v>
      </c>
      <c r="DT87" s="338">
        <f t="shared" si="43"/>
        <v>0</v>
      </c>
      <c r="DU87" s="338">
        <f t="shared" si="44"/>
        <v>0</v>
      </c>
      <c r="DV87" s="338">
        <f t="shared" si="45"/>
        <v>0</v>
      </c>
      <c r="DW87" s="338">
        <f t="shared" si="46"/>
        <v>0</v>
      </c>
      <c r="DX87" s="338">
        <f t="shared" si="47"/>
        <v>0</v>
      </c>
      <c r="DY87" s="338">
        <f t="shared" si="48"/>
        <v>0</v>
      </c>
      <c r="DZ87" s="338">
        <f t="shared" si="49"/>
        <v>0</v>
      </c>
      <c r="EA87" s="338">
        <f t="shared" si="50"/>
        <v>0</v>
      </c>
    </row>
    <row r="88" spans="69:131" ht="15.75" thickBot="1" x14ac:dyDescent="0.3">
      <c r="BT88" s="78"/>
      <c r="BU88" s="73">
        <f>BX92/BV88</f>
        <v>528.36</v>
      </c>
      <c r="BV88" s="42">
        <f>62.5*40*CC137*CF137</f>
        <v>2.5000000000000001E-2</v>
      </c>
      <c r="BW88" s="4" t="s">
        <v>18</v>
      </c>
      <c r="BX88" s="79"/>
      <c r="CC88" s="10"/>
      <c r="CD88" s="10"/>
      <c r="CY88" s="343"/>
      <c r="CZ88" s="338" t="str">
        <f t="shared" si="40"/>
        <v>Almacen insumos/mp</v>
      </c>
      <c r="DA88" s="338">
        <f t="shared" si="40"/>
        <v>0</v>
      </c>
      <c r="DB88" s="338">
        <f t="shared" si="40"/>
        <v>7.3774044648000012E-2</v>
      </c>
      <c r="DC88" s="338">
        <f t="shared" si="40"/>
        <v>25.161857218530983</v>
      </c>
      <c r="DD88" s="338">
        <f t="shared" si="40"/>
        <v>712.15070850000006</v>
      </c>
      <c r="DE88" s="338">
        <f t="shared" si="40"/>
        <v>80.249645000000015</v>
      </c>
      <c r="DF88" s="338">
        <f t="shared" ref="DF88:DR88" si="57">DG45</f>
        <v>4638.5555276987398</v>
      </c>
      <c r="DG88" s="338">
        <f t="shared" si="57"/>
        <v>0</v>
      </c>
      <c r="DH88" s="338">
        <f t="shared" si="57"/>
        <v>0</v>
      </c>
      <c r="DI88" s="338">
        <f t="shared" si="57"/>
        <v>0</v>
      </c>
      <c r="DJ88" s="338">
        <f t="shared" si="57"/>
        <v>997.80205329050386</v>
      </c>
      <c r="DK88" s="338">
        <f t="shared" si="57"/>
        <v>0</v>
      </c>
      <c r="DL88" s="338">
        <f t="shared" si="57"/>
        <v>0</v>
      </c>
      <c r="DM88" s="338">
        <f t="shared" si="57"/>
        <v>8075.7006915000002</v>
      </c>
      <c r="DN88" s="338">
        <f t="shared" si="57"/>
        <v>0</v>
      </c>
      <c r="DO88" s="338">
        <f t="shared" si="57"/>
        <v>0</v>
      </c>
      <c r="DP88" s="338">
        <f t="shared" si="57"/>
        <v>0</v>
      </c>
      <c r="DQ88" s="338">
        <f t="shared" si="57"/>
        <v>0</v>
      </c>
      <c r="DR88" s="338">
        <f t="shared" si="57"/>
        <v>0</v>
      </c>
      <c r="DS88" s="338">
        <f t="shared" si="42"/>
        <v>12527.403717613415</v>
      </c>
      <c r="DT88" s="338">
        <f t="shared" si="43"/>
        <v>0</v>
      </c>
      <c r="DU88" s="338">
        <f t="shared" si="44"/>
        <v>0</v>
      </c>
      <c r="DV88" s="338">
        <f t="shared" si="45"/>
        <v>3.3845358400000003</v>
      </c>
      <c r="DW88" s="338">
        <f t="shared" si="46"/>
        <v>0</v>
      </c>
      <c r="DX88" s="338">
        <f t="shared" si="47"/>
        <v>0</v>
      </c>
      <c r="DY88" s="338">
        <f t="shared" si="48"/>
        <v>0</v>
      </c>
      <c r="DZ88" s="338">
        <f t="shared" si="49"/>
        <v>0</v>
      </c>
      <c r="EA88" s="338">
        <f t="shared" si="50"/>
        <v>0</v>
      </c>
    </row>
    <row r="89" spans="69:131" x14ac:dyDescent="0.25">
      <c r="BT89" s="78"/>
      <c r="BU89" s="10">
        <f>BX92/BV89</f>
        <v>528.36</v>
      </c>
      <c r="BV89" s="42">
        <f>62.5*40*CC137*CF137</f>
        <v>2.5000000000000001E-2</v>
      </c>
      <c r="BW89" s="4" t="s">
        <v>18</v>
      </c>
      <c r="BX89" s="79"/>
      <c r="CC89" s="10"/>
      <c r="CD89" s="10"/>
      <c r="CZ89" s="338" t="str">
        <f t="shared" si="40"/>
        <v>Almacen reproceso</v>
      </c>
      <c r="DA89" s="338">
        <f t="shared" si="40"/>
        <v>0</v>
      </c>
      <c r="DB89" s="338">
        <f t="shared" si="40"/>
        <v>0</v>
      </c>
      <c r="DC89" s="338">
        <f t="shared" si="40"/>
        <v>0</v>
      </c>
      <c r="DD89" s="338">
        <f t="shared" si="40"/>
        <v>13.200000000000001</v>
      </c>
      <c r="DE89" s="338">
        <f t="shared" si="40"/>
        <v>0</v>
      </c>
      <c r="DF89" s="338">
        <f t="shared" ref="DF89:DR89" si="58">DG46</f>
        <v>0</v>
      </c>
      <c r="DG89" s="338">
        <f t="shared" si="58"/>
        <v>0</v>
      </c>
      <c r="DH89" s="338">
        <f t="shared" si="58"/>
        <v>0</v>
      </c>
      <c r="DI89" s="338">
        <f t="shared" si="58"/>
        <v>0</v>
      </c>
      <c r="DJ89" s="338">
        <f t="shared" si="58"/>
        <v>0</v>
      </c>
      <c r="DK89" s="338">
        <f t="shared" si="58"/>
        <v>0</v>
      </c>
      <c r="DL89" s="338">
        <f t="shared" si="58"/>
        <v>0</v>
      </c>
      <c r="DM89" s="338">
        <f t="shared" si="58"/>
        <v>0</v>
      </c>
      <c r="DN89" s="338">
        <f t="shared" si="58"/>
        <v>0</v>
      </c>
      <c r="DO89" s="338">
        <f t="shared" si="58"/>
        <v>0</v>
      </c>
      <c r="DP89" s="338">
        <f t="shared" si="58"/>
        <v>0</v>
      </c>
      <c r="DQ89" s="338">
        <f t="shared" si="58"/>
        <v>0</v>
      </c>
      <c r="DR89" s="338">
        <f t="shared" si="58"/>
        <v>0</v>
      </c>
      <c r="DS89" s="338">
        <f t="shared" si="42"/>
        <v>0</v>
      </c>
      <c r="DT89" s="338">
        <f t="shared" si="43"/>
        <v>0</v>
      </c>
      <c r="DU89" s="338">
        <f t="shared" si="44"/>
        <v>0</v>
      </c>
      <c r="DV89" s="338">
        <f t="shared" si="45"/>
        <v>0</v>
      </c>
      <c r="DW89" s="338">
        <f t="shared" si="46"/>
        <v>29.598355000000002</v>
      </c>
      <c r="DX89" s="338">
        <f t="shared" si="47"/>
        <v>0</v>
      </c>
      <c r="DY89" s="338">
        <f t="shared" si="48"/>
        <v>0</v>
      </c>
      <c r="DZ89" s="338">
        <f t="shared" si="49"/>
        <v>0</v>
      </c>
      <c r="EA89" s="338">
        <f t="shared" si="50"/>
        <v>0</v>
      </c>
    </row>
    <row r="90" spans="69:131" x14ac:dyDescent="0.25">
      <c r="BT90" s="78"/>
      <c r="BU90" s="211">
        <f>ABS(ROUNDDOWN(BU88,0)-BU88)*BV88</f>
        <v>9.0000000000003411E-3</v>
      </c>
      <c r="BV90" s="10" t="s">
        <v>102</v>
      </c>
      <c r="BW90" s="10">
        <f>ROUNDDOWN(BU88,0)*CC137*CF137*62.5*40</f>
        <v>13.200000000000001</v>
      </c>
      <c r="BX90" s="80" t="s">
        <v>36</v>
      </c>
      <c r="CC90" s="10"/>
      <c r="CD90" s="10"/>
    </row>
    <row r="91" spans="69:131" x14ac:dyDescent="0.25">
      <c r="BT91" s="78"/>
      <c r="BU91" s="212" t="s">
        <v>63</v>
      </c>
      <c r="BV91" s="10"/>
      <c r="BW91" s="48" t="s">
        <v>236</v>
      </c>
      <c r="BX91" s="81" t="s">
        <v>54</v>
      </c>
      <c r="CC91" s="441" t="s">
        <v>226</v>
      </c>
      <c r="CD91" s="442"/>
    </row>
    <row r="92" spans="69:131" x14ac:dyDescent="0.25">
      <c r="BT92" s="78"/>
      <c r="BU92" s="10"/>
      <c r="BV92" s="10"/>
      <c r="BW92" s="10"/>
      <c r="BX92" s="82">
        <f>(40*85)*CC137*388.5*CF137</f>
        <v>13.209000000000001</v>
      </c>
      <c r="CC92" s="406" t="str">
        <f>BZ105</f>
        <v>Hilo funda de tela sin cremallera</v>
      </c>
      <c r="CD92" s="407"/>
    </row>
    <row r="93" spans="69:131" x14ac:dyDescent="0.25">
      <c r="BT93" s="78"/>
      <c r="BU93" s="10"/>
      <c r="BV93" s="10"/>
      <c r="BW93" s="10"/>
      <c r="BX93" s="83">
        <f>BU99+ROUNDDOWN(BU88,0)*CC137*CF137*62.5*40</f>
        <v>46.716000000000008</v>
      </c>
      <c r="CC93" s="206">
        <f>CC99</f>
        <v>0.81218729829936009</v>
      </c>
      <c r="CD93" s="4" t="s">
        <v>18</v>
      </c>
    </row>
    <row r="94" spans="69:131" x14ac:dyDescent="0.25">
      <c r="BQ94" s="30" t="s">
        <v>51</v>
      </c>
      <c r="BR94" s="31"/>
      <c r="BT94" s="459" t="s">
        <v>66</v>
      </c>
      <c r="BU94" s="460"/>
      <c r="BV94" s="10"/>
      <c r="BW94" s="10"/>
      <c r="BX94" s="84" t="s">
        <v>34</v>
      </c>
      <c r="CC94" s="12">
        <f>CC93/CF138</f>
        <v>10468.219760000002</v>
      </c>
      <c r="CD94" s="4" t="s">
        <v>16</v>
      </c>
    </row>
    <row r="95" spans="69:131" x14ac:dyDescent="0.25">
      <c r="BQ95" s="32" t="str">
        <f>BT94</f>
        <v>Rollo de tela</v>
      </c>
      <c r="BR95" s="33"/>
      <c r="BS95" t="s">
        <v>152</v>
      </c>
      <c r="BT95" s="461"/>
      <c r="BU95" s="462"/>
      <c r="BV95" s="10"/>
      <c r="BW95" s="10"/>
      <c r="BX95" s="112" t="s">
        <v>65</v>
      </c>
      <c r="BZ95" s="424" t="s">
        <v>64</v>
      </c>
      <c r="CA95" s="425"/>
    </row>
    <row r="96" spans="69:131" x14ac:dyDescent="0.25">
      <c r="BQ96" s="12" t="e">
        <f>BU97</f>
        <v>#VALUE!</v>
      </c>
      <c r="BR96" s="4" t="s">
        <v>18</v>
      </c>
      <c r="BS96" t="s">
        <v>153</v>
      </c>
      <c r="BT96" s="85" t="s">
        <v>30</v>
      </c>
      <c r="BU96" s="5" t="s">
        <v>1</v>
      </c>
      <c r="BV96" s="5" t="s">
        <v>42</v>
      </c>
      <c r="BW96" s="10"/>
      <c r="BX96" s="86" t="s">
        <v>35</v>
      </c>
      <c r="BZ96" s="426"/>
      <c r="CA96" s="427"/>
    </row>
    <row r="97" spans="69:89" x14ac:dyDescent="0.25">
      <c r="BQ97" s="12" t="e">
        <f>BT97</f>
        <v>#VALUE!</v>
      </c>
      <c r="BR97" s="4" t="s">
        <v>16</v>
      </c>
      <c r="BS97" t="s">
        <v>154</v>
      </c>
      <c r="BT97" s="85" t="e">
        <f>CA111*BU136*BW136</f>
        <v>#VALUE!</v>
      </c>
      <c r="BU97" s="4" t="e">
        <f>CA111*BU136*BW136*BZ136</f>
        <v>#VALUE!</v>
      </c>
      <c r="BV97" s="36"/>
      <c r="BW97" s="10"/>
      <c r="BX97" s="79">
        <f>CA98</f>
        <v>20.3</v>
      </c>
      <c r="BZ97" s="5" t="s">
        <v>30</v>
      </c>
      <c r="CA97" s="5" t="s">
        <v>1</v>
      </c>
      <c r="CB97" s="5" t="s">
        <v>42</v>
      </c>
      <c r="CC97" s="18" t="s">
        <v>36</v>
      </c>
    </row>
    <row r="98" spans="69:89" x14ac:dyDescent="0.25">
      <c r="BT98" s="463" t="s">
        <v>151</v>
      </c>
      <c r="BU98" s="74">
        <f>(40*210)*CC137*399</f>
        <v>335.16</v>
      </c>
      <c r="BV98" s="10" t="s">
        <v>69</v>
      </c>
      <c r="BW98" s="10"/>
      <c r="BX98" s="87" t="s">
        <v>36</v>
      </c>
      <c r="BZ98" s="5">
        <f>CG112*CD137*2</f>
        <v>203</v>
      </c>
      <c r="CA98" s="4">
        <f>CI137*CG112</f>
        <v>20.3</v>
      </c>
      <c r="CB98" s="36"/>
      <c r="CC98" s="19" t="s">
        <v>54</v>
      </c>
    </row>
    <row r="99" spans="69:89" x14ac:dyDescent="0.25">
      <c r="BT99" s="464"/>
      <c r="BU99" s="74">
        <f>(40*210)*CC137*CF137*399</f>
        <v>33.516000000000005</v>
      </c>
      <c r="BV99" s="10" t="s">
        <v>68</v>
      </c>
      <c r="BW99" s="10"/>
      <c r="BX99" s="88"/>
      <c r="CC99" s="69">
        <f>CC110</f>
        <v>0.81218729829936009</v>
      </c>
    </row>
    <row r="100" spans="69:89" x14ac:dyDescent="0.25">
      <c r="BT100" s="78"/>
      <c r="BU100" s="48"/>
      <c r="BV100" s="10"/>
      <c r="BW100" s="10"/>
      <c r="BX100" s="89"/>
      <c r="BY100" s="449" t="s">
        <v>98</v>
      </c>
      <c r="BZ100" s="425"/>
      <c r="CC100" s="1">
        <f>CA98+CA108+BZ103</f>
        <v>22.821002803072467</v>
      </c>
    </row>
    <row r="101" spans="69:89" x14ac:dyDescent="0.25">
      <c r="BT101" s="78"/>
      <c r="BU101" s="10"/>
      <c r="BV101" s="10"/>
      <c r="BW101" s="10"/>
      <c r="BX101" s="90"/>
      <c r="BY101" s="450"/>
      <c r="BZ101" s="427"/>
      <c r="CC101" s="13" t="s">
        <v>34</v>
      </c>
    </row>
    <row r="102" spans="69:89" x14ac:dyDescent="0.25">
      <c r="BT102" s="78"/>
      <c r="BU102" s="10"/>
      <c r="BV102" s="10"/>
      <c r="BW102" s="10"/>
      <c r="BX102" s="79"/>
      <c r="BY102" s="8" t="s">
        <v>30</v>
      </c>
      <c r="BZ102" s="5" t="s">
        <v>1</v>
      </c>
      <c r="CA102" s="5" t="s">
        <v>42</v>
      </c>
      <c r="CC102" s="109" t="s">
        <v>99</v>
      </c>
    </row>
    <row r="103" spans="69:89" ht="15.75" thickBot="1" x14ac:dyDescent="0.3">
      <c r="BT103" s="451" t="s">
        <v>51</v>
      </c>
      <c r="BU103" s="452"/>
      <c r="BV103" s="91"/>
      <c r="BW103" s="92" t="s">
        <v>101</v>
      </c>
      <c r="BX103" s="93">
        <f>BU99-BX92-CA98</f>
        <v>7.0000000000014495E-3</v>
      </c>
      <c r="BY103" s="8">
        <f>CG112*CD139</f>
        <v>158.34</v>
      </c>
      <c r="BZ103" s="4">
        <f>CG112*CH139</f>
        <v>1.3475744680851065</v>
      </c>
      <c r="CA103" s="36"/>
      <c r="CC103" s="14" t="s">
        <v>35</v>
      </c>
    </row>
    <row r="104" spans="69:89" x14ac:dyDescent="0.25">
      <c r="BT104" s="447" t="str">
        <f>BY100</f>
        <v>Cremallera</v>
      </c>
      <c r="BU104" s="448"/>
      <c r="CC104">
        <f>CH112</f>
        <v>22.008815504773107</v>
      </c>
    </row>
    <row r="105" spans="69:89" x14ac:dyDescent="0.25">
      <c r="BT105" s="12">
        <f>BZ103</f>
        <v>1.3475744680851065</v>
      </c>
      <c r="BU105" s="4" t="s">
        <v>18</v>
      </c>
      <c r="BW105" s="404" t="s">
        <v>51</v>
      </c>
      <c r="BX105" s="405"/>
      <c r="BZ105" s="424" t="s">
        <v>73</v>
      </c>
      <c r="CA105" s="425"/>
      <c r="CC105" s="15" t="s">
        <v>36</v>
      </c>
    </row>
    <row r="106" spans="69:89" x14ac:dyDescent="0.25">
      <c r="BT106" s="12">
        <f>BY103</f>
        <v>158.34</v>
      </c>
      <c r="BU106" s="4" t="s">
        <v>16</v>
      </c>
      <c r="BW106" s="406" t="str">
        <f>BZ105</f>
        <v>Hilo funda de tela sin cremallera</v>
      </c>
      <c r="BX106" s="407"/>
      <c r="BZ106" s="426"/>
      <c r="CA106" s="427"/>
      <c r="CC106" s="35" t="s">
        <v>63</v>
      </c>
    </row>
    <row r="107" spans="69:89" x14ac:dyDescent="0.25">
      <c r="BW107" s="12">
        <f>CA108</f>
        <v>1.17342833498736</v>
      </c>
      <c r="BX107" s="4" t="s">
        <v>18</v>
      </c>
      <c r="BZ107" s="5" t="s">
        <v>30</v>
      </c>
      <c r="CA107" s="5" t="s">
        <v>1</v>
      </c>
      <c r="CB107" s="5" t="s">
        <v>42</v>
      </c>
      <c r="CC107" s="28"/>
    </row>
    <row r="108" spans="69:89" x14ac:dyDescent="0.25">
      <c r="BW108" s="12">
        <f>BZ108</f>
        <v>1318.82</v>
      </c>
      <c r="BX108" s="4" t="s">
        <v>16</v>
      </c>
      <c r="BZ108" s="5">
        <f>BZ109</f>
        <v>1318.82</v>
      </c>
      <c r="CA108" s="4">
        <f>BZ108*CH138</f>
        <v>1.17342833498736</v>
      </c>
      <c r="CB108" s="37"/>
      <c r="CC108" s="16"/>
    </row>
    <row r="109" spans="69:89" x14ac:dyDescent="0.25">
      <c r="BZ109" s="34">
        <v>1318.82</v>
      </c>
      <c r="CG109" s="410" t="s">
        <v>89</v>
      </c>
      <c r="CH109" s="410"/>
      <c r="CJ109" s="10"/>
      <c r="CK109" s="10"/>
    </row>
    <row r="110" spans="69:89" x14ac:dyDescent="0.25">
      <c r="BW110" s="404" t="s">
        <v>51</v>
      </c>
      <c r="BX110" s="405"/>
      <c r="BZ110" s="14" t="s">
        <v>94</v>
      </c>
      <c r="CC110" s="22">
        <f>CA108+CA98+BZ103-CH112</f>
        <v>0.81218729829936009</v>
      </c>
      <c r="CG110" s="410"/>
      <c r="CH110" s="410"/>
      <c r="CJ110" s="10"/>
      <c r="CK110" s="10"/>
    </row>
    <row r="111" spans="69:89" x14ac:dyDescent="0.25">
      <c r="BW111" s="406">
        <f>BZ116</f>
        <v>0</v>
      </c>
      <c r="BX111" s="407"/>
      <c r="CG111" s="5" t="s">
        <v>4</v>
      </c>
      <c r="CH111" s="5" t="s">
        <v>1</v>
      </c>
      <c r="CJ111" s="10"/>
      <c r="CK111" s="10"/>
    </row>
    <row r="112" spans="69:89" x14ac:dyDescent="0.25">
      <c r="BW112" s="12">
        <f>CA119</f>
        <v>0</v>
      </c>
      <c r="BX112" s="4" t="s">
        <v>18</v>
      </c>
      <c r="CG112" s="5">
        <f>CL115</f>
        <v>406</v>
      </c>
      <c r="CH112" s="4">
        <f>CG112*(CH138+CI137+CH139)</f>
        <v>22.008815504773107</v>
      </c>
    </row>
    <row r="113" spans="65:92" x14ac:dyDescent="0.25">
      <c r="BQ113" s="18" t="s">
        <v>36</v>
      </c>
      <c r="BW113" s="12">
        <f>BZ119</f>
        <v>0</v>
      </c>
      <c r="BX113" s="4" t="s">
        <v>16</v>
      </c>
      <c r="CJ113">
        <f>CH112+CH118</f>
        <v>275.3528155047731</v>
      </c>
      <c r="CL113" s="416" t="s">
        <v>52</v>
      </c>
      <c r="CM113" s="416"/>
    </row>
    <row r="114" spans="65:92" ht="15.75" customHeight="1" thickBot="1" x14ac:dyDescent="0.3">
      <c r="BQ114" s="19">
        <v>1E-4</v>
      </c>
      <c r="CJ114" s="13" t="s">
        <v>34</v>
      </c>
      <c r="CL114" s="436" t="s">
        <v>90</v>
      </c>
      <c r="CM114" s="417"/>
      <c r="CN114" s="65" t="s">
        <v>37</v>
      </c>
    </row>
    <row r="115" spans="65:92" x14ac:dyDescent="0.25">
      <c r="BQ115" s="18"/>
      <c r="BZ115" s="478" t="s">
        <v>105</v>
      </c>
      <c r="CA115" s="479"/>
      <c r="CJ115" s="109" t="s">
        <v>3</v>
      </c>
      <c r="CL115" s="202">
        <v>406</v>
      </c>
      <c r="CM115" s="4" t="s">
        <v>27</v>
      </c>
    </row>
    <row r="116" spans="65:92" x14ac:dyDescent="0.25">
      <c r="BQ116" s="1">
        <f>SUM(BO123:BO130)</f>
        <v>270.97674239999992</v>
      </c>
      <c r="BZ116" s="480"/>
      <c r="CA116" s="481"/>
      <c r="CG116" s="410" t="s">
        <v>95</v>
      </c>
      <c r="CH116" s="410"/>
      <c r="CJ116" s="14" t="s">
        <v>35</v>
      </c>
      <c r="CL116" s="4">
        <f>CL115*CI141</f>
        <v>275.35281550477316</v>
      </c>
      <c r="CM116" s="4" t="s">
        <v>28</v>
      </c>
    </row>
    <row r="117" spans="65:92" x14ac:dyDescent="0.25">
      <c r="BQ117" s="13" t="s">
        <v>34</v>
      </c>
      <c r="BZ117" s="480"/>
      <c r="CA117" s="481"/>
      <c r="CC117" s="1" t="s">
        <v>106</v>
      </c>
      <c r="CG117" s="5" t="s">
        <v>4</v>
      </c>
      <c r="CH117" s="5" t="s">
        <v>1</v>
      </c>
      <c r="CJ117">
        <f>CL116</f>
        <v>275.35281550477316</v>
      </c>
    </row>
    <row r="118" spans="65:92" x14ac:dyDescent="0.25">
      <c r="BQ118" s="109" t="s">
        <v>119</v>
      </c>
      <c r="BX118" s="18" t="s">
        <v>36</v>
      </c>
      <c r="BZ118" s="480"/>
      <c r="CA118" s="481"/>
      <c r="CC118" s="18" t="s">
        <v>36</v>
      </c>
      <c r="CG118" s="5">
        <f>CL115</f>
        <v>406</v>
      </c>
      <c r="CH118" s="4">
        <f>CG118*(CH135)</f>
        <v>253.34399999999999</v>
      </c>
      <c r="CJ118" s="15" t="s">
        <v>36</v>
      </c>
    </row>
    <row r="119" spans="65:92" x14ac:dyDescent="0.25">
      <c r="BQ119" s="14" t="s">
        <v>35</v>
      </c>
      <c r="BX119" s="19">
        <v>1E-4</v>
      </c>
      <c r="BZ119" s="480"/>
      <c r="CA119" s="481"/>
      <c r="CC119" s="19">
        <v>6.9599999999999995E-2</v>
      </c>
      <c r="CJ119" s="1">
        <f>CJ113-CJ117</f>
        <v>0</v>
      </c>
    </row>
    <row r="120" spans="65:92" ht="15.75" thickBot="1" x14ac:dyDescent="0.3">
      <c r="BQ120" s="1">
        <f>SUM(BW129:BW136)</f>
        <v>270.97674239999992</v>
      </c>
      <c r="BX120" s="18"/>
      <c r="BZ120" s="482"/>
      <c r="CA120" s="483"/>
      <c r="CC120" s="18">
        <f>CG118*CH135*CC119</f>
        <v>17.632742399999998</v>
      </c>
      <c r="CJ120" s="28" t="s">
        <v>45</v>
      </c>
    </row>
    <row r="121" spans="65:92" x14ac:dyDescent="0.25">
      <c r="BN121" s="24" t="s">
        <v>51</v>
      </c>
      <c r="BO121" s="24"/>
      <c r="BQ121" s="15" t="s">
        <v>36</v>
      </c>
      <c r="BX121" s="1">
        <f>SUM(BW129:BW136)</f>
        <v>270.97674239999992</v>
      </c>
      <c r="CC121" s="1">
        <f>CA129</f>
        <v>270.97674239999998</v>
      </c>
    </row>
    <row r="122" spans="65:92" x14ac:dyDescent="0.25">
      <c r="BN122" s="475" t="s">
        <v>120</v>
      </c>
      <c r="BO122" s="476"/>
      <c r="BP122" s="6" t="s">
        <v>2</v>
      </c>
      <c r="BQ122" s="17">
        <f>IF(BQ115=BQ116,BQ116-BQ120,BQ115-BQ120)</f>
        <v>-270.97674239999992</v>
      </c>
      <c r="BX122" s="13" t="s">
        <v>34</v>
      </c>
      <c r="CC122" s="13" t="s">
        <v>34</v>
      </c>
    </row>
    <row r="123" spans="65:92" x14ac:dyDescent="0.25">
      <c r="BM123" s="477" t="s">
        <v>121</v>
      </c>
      <c r="BN123" s="12" t="str">
        <f>BU129</f>
        <v>Agua</v>
      </c>
      <c r="BO123" s="4">
        <f>BW129</f>
        <v>8.1293022719999986</v>
      </c>
      <c r="BP123" s="7" t="s">
        <v>18</v>
      </c>
      <c r="BQ123" s="28" t="s">
        <v>45</v>
      </c>
      <c r="BX123" s="109" t="s">
        <v>84</v>
      </c>
      <c r="CC123" s="109" t="s">
        <v>85</v>
      </c>
    </row>
    <row r="124" spans="65:92" x14ac:dyDescent="0.25">
      <c r="BM124" s="477"/>
      <c r="BN124" s="12" t="str">
        <f t="shared" ref="BN124:BN129" si="59">BU130</f>
        <v>Poliol</v>
      </c>
      <c r="BO124" s="4">
        <f t="shared" ref="BO124:BO130" si="60">BW130</f>
        <v>172.07023142399999</v>
      </c>
      <c r="BP124" s="7" t="s">
        <v>18</v>
      </c>
      <c r="BX124" s="14" t="s">
        <v>35</v>
      </c>
      <c r="CC124" s="14" t="s">
        <v>35</v>
      </c>
    </row>
    <row r="125" spans="65:92" x14ac:dyDescent="0.25">
      <c r="BM125" s="477"/>
      <c r="BN125" s="12" t="str">
        <f t="shared" si="59"/>
        <v>TDI</v>
      </c>
      <c r="BO125" s="4">
        <f t="shared" si="60"/>
        <v>88.067441279999997</v>
      </c>
      <c r="BP125" s="7" t="s">
        <v>18</v>
      </c>
      <c r="BX125" s="1">
        <f>CA129</f>
        <v>270.97674239999998</v>
      </c>
      <c r="CC125">
        <f>CH118</f>
        <v>253.34399999999999</v>
      </c>
      <c r="CM125" t="s">
        <v>91</v>
      </c>
    </row>
    <row r="126" spans="65:92" x14ac:dyDescent="0.25">
      <c r="BM126" s="477"/>
      <c r="BN126" s="12" t="str">
        <f t="shared" si="59"/>
        <v>Amina</v>
      </c>
      <c r="BO126" s="4">
        <f t="shared" si="60"/>
        <v>0.54195348479999994</v>
      </c>
      <c r="BP126" s="7" t="s">
        <v>18</v>
      </c>
      <c r="BQ126" s="21">
        <f>SUM(BO123:BO130)-SUM(BW129:BW136)</f>
        <v>0</v>
      </c>
      <c r="BU126" s="410" t="s">
        <v>107</v>
      </c>
      <c r="BV126" s="410"/>
      <c r="BX126" s="15" t="s">
        <v>36</v>
      </c>
      <c r="BZ126" s="410" t="s">
        <v>103</v>
      </c>
      <c r="CA126" s="410"/>
      <c r="CC126" s="15" t="s">
        <v>36</v>
      </c>
    </row>
    <row r="127" spans="65:92" x14ac:dyDescent="0.25">
      <c r="BM127" s="477"/>
      <c r="BN127" s="12" t="str">
        <f t="shared" si="59"/>
        <v>Estaño</v>
      </c>
      <c r="BO127" s="4">
        <f t="shared" si="60"/>
        <v>0.54195348479999994</v>
      </c>
      <c r="BP127" s="7" t="s">
        <v>18</v>
      </c>
      <c r="BU127" s="410"/>
      <c r="BV127" s="410"/>
      <c r="BX127" s="17">
        <f>IF(BX120=BX121,BX121-BX125,BX120-BX125)</f>
        <v>-270.97674239999998</v>
      </c>
      <c r="BZ127" s="410"/>
      <c r="CA127" s="410"/>
      <c r="CC127" s="17"/>
    </row>
    <row r="128" spans="65:92" x14ac:dyDescent="0.25">
      <c r="BM128" s="477"/>
      <c r="BN128" s="12" t="str">
        <f t="shared" si="59"/>
        <v>Siliciona</v>
      </c>
      <c r="BO128" s="4">
        <f t="shared" si="60"/>
        <v>0.54195348479999994</v>
      </c>
      <c r="BP128" s="7" t="s">
        <v>18</v>
      </c>
      <c r="BU128" s="5" t="s">
        <v>108</v>
      </c>
      <c r="BV128" s="5" t="s">
        <v>118</v>
      </c>
      <c r="BW128" s="5" t="s">
        <v>117</v>
      </c>
      <c r="BX128" s="28" t="s">
        <v>45</v>
      </c>
      <c r="BZ128" s="5" t="s">
        <v>50</v>
      </c>
      <c r="CA128" s="5" t="s">
        <v>1</v>
      </c>
      <c r="CB128" s="5" t="s">
        <v>42</v>
      </c>
      <c r="CC128" s="28"/>
    </row>
    <row r="129" spans="65:88" x14ac:dyDescent="0.25">
      <c r="BM129" s="477"/>
      <c r="BN129" s="12" t="str">
        <f t="shared" si="59"/>
        <v>Polimérico</v>
      </c>
      <c r="BO129" s="4">
        <f t="shared" si="60"/>
        <v>0.54195348479999994</v>
      </c>
      <c r="BP129" s="7" t="s">
        <v>18</v>
      </c>
      <c r="BU129" s="6" t="s">
        <v>109</v>
      </c>
      <c r="BV129" s="105">
        <v>0.03</v>
      </c>
      <c r="BW129" s="6">
        <f>$CA$129*BV129</f>
        <v>8.1293022719999986</v>
      </c>
      <c r="BZ129" s="27">
        <f>CA129*(1/1005)</f>
        <v>0.26962859940298506</v>
      </c>
      <c r="CA129" s="4">
        <f>CH135*CG118+CC119*CH135*CG118</f>
        <v>270.97674239999998</v>
      </c>
      <c r="CB129" s="5">
        <f>IF(CC127&gt;0,CA129+CC127/2,CA129)</f>
        <v>270.97674239999998</v>
      </c>
      <c r="CC129" s="16"/>
    </row>
    <row r="130" spans="65:88" x14ac:dyDescent="0.25">
      <c r="BM130" s="477"/>
      <c r="BN130" s="12" t="str">
        <f>BU136</f>
        <v>Cloruro de Metilo</v>
      </c>
      <c r="BO130" s="4">
        <f t="shared" si="60"/>
        <v>0.54195348479999994</v>
      </c>
      <c r="BP130" s="7" t="s">
        <v>18</v>
      </c>
      <c r="BU130" s="4" t="s">
        <v>110</v>
      </c>
      <c r="BV130" s="105">
        <v>0.63500000000000001</v>
      </c>
      <c r="BW130" s="6">
        <f t="shared" ref="BW130:BW136" si="61">$CA$129*BV130</f>
        <v>172.07023142399999</v>
      </c>
      <c r="BZ130" s="14" t="s">
        <v>104</v>
      </c>
    </row>
    <row r="131" spans="65:88" x14ac:dyDescent="0.25">
      <c r="BU131" s="4" t="s">
        <v>111</v>
      </c>
      <c r="BV131" s="105">
        <v>0.32500000000000001</v>
      </c>
      <c r="BW131" s="6">
        <f t="shared" si="61"/>
        <v>88.067441279999997</v>
      </c>
      <c r="BX131" s="21">
        <f>BX121-BX125</f>
        <v>0</v>
      </c>
      <c r="CC131" s="22">
        <f>CA129-CH118</f>
        <v>17.632742399999984</v>
      </c>
    </row>
    <row r="132" spans="65:88" x14ac:dyDescent="0.25">
      <c r="BU132" s="4" t="s">
        <v>112</v>
      </c>
      <c r="BV132" s="105">
        <v>2E-3</v>
      </c>
      <c r="BW132" s="6">
        <f t="shared" si="61"/>
        <v>0.54195348479999994</v>
      </c>
    </row>
    <row r="133" spans="65:88" x14ac:dyDescent="0.25">
      <c r="BU133" s="4" t="s">
        <v>113</v>
      </c>
      <c r="BV133" s="105">
        <v>2E-3</v>
      </c>
      <c r="BW133" s="6">
        <f t="shared" si="61"/>
        <v>0.54195348479999994</v>
      </c>
      <c r="CA133" s="415" t="s">
        <v>125</v>
      </c>
      <c r="CB133" s="415"/>
      <c r="CC133" s="4" t="s">
        <v>19</v>
      </c>
      <c r="CD133" s="5" t="s">
        <v>20</v>
      </c>
      <c r="CE133" s="5" t="s">
        <v>2</v>
      </c>
      <c r="CF133" s="5" t="s">
        <v>21</v>
      </c>
      <c r="CG133" s="5" t="s">
        <v>2</v>
      </c>
      <c r="CH133" s="11" t="s">
        <v>24</v>
      </c>
    </row>
    <row r="134" spans="65:88" x14ac:dyDescent="0.25">
      <c r="BU134" s="4" t="s">
        <v>114</v>
      </c>
      <c r="BV134" s="105">
        <v>2E-3</v>
      </c>
      <c r="BW134" s="6">
        <f t="shared" si="61"/>
        <v>0.54195348479999994</v>
      </c>
      <c r="BZ134" s="5"/>
      <c r="CA134" s="3"/>
      <c r="CB134" s="3"/>
      <c r="CC134" s="23"/>
      <c r="CD134" s="23"/>
      <c r="CE134" s="23"/>
      <c r="CF134" s="23"/>
      <c r="CG134" s="23"/>
      <c r="CH134" s="39"/>
    </row>
    <row r="135" spans="65:88" x14ac:dyDescent="0.25">
      <c r="BU135" s="4" t="s">
        <v>115</v>
      </c>
      <c r="BV135" s="105">
        <v>2E-3</v>
      </c>
      <c r="BW135" s="6">
        <f t="shared" si="61"/>
        <v>0.54195348479999994</v>
      </c>
      <c r="BZ135" s="5" t="s">
        <v>96</v>
      </c>
      <c r="CA135" s="3">
        <f>13*60*40</f>
        <v>31200</v>
      </c>
      <c r="CB135" s="3" t="s">
        <v>26</v>
      </c>
      <c r="CC135" s="23">
        <v>9.9999999999999995E-7</v>
      </c>
      <c r="CD135" s="23">
        <f>CA135*CC135</f>
        <v>3.1199999999999999E-2</v>
      </c>
      <c r="CE135" s="23" t="s">
        <v>15</v>
      </c>
      <c r="CF135" s="23">
        <v>20</v>
      </c>
      <c r="CG135" s="23" t="s">
        <v>13</v>
      </c>
      <c r="CH135" s="23">
        <f>CD135*CF135</f>
        <v>0.624</v>
      </c>
    </row>
    <row r="136" spans="65:88" x14ac:dyDescent="0.25">
      <c r="BU136" s="4" t="s">
        <v>116</v>
      </c>
      <c r="BV136" s="105">
        <v>2E-3</v>
      </c>
      <c r="BW136" s="6">
        <f t="shared" si="61"/>
        <v>0.54195348479999994</v>
      </c>
      <c r="BZ136" s="5"/>
      <c r="CA136" s="3"/>
      <c r="CB136" s="3"/>
      <c r="CC136" s="23"/>
      <c r="CD136" s="23"/>
      <c r="CE136" s="23"/>
      <c r="CF136" s="23"/>
      <c r="CG136" s="23"/>
      <c r="CH136" s="40"/>
    </row>
    <row r="137" spans="65:88" x14ac:dyDescent="0.25">
      <c r="BZ137" s="5" t="s">
        <v>92</v>
      </c>
      <c r="CA137" s="3">
        <f>62.5*40</f>
        <v>2500</v>
      </c>
      <c r="CB137" s="3" t="s">
        <v>9</v>
      </c>
      <c r="CC137" s="23">
        <f>0.0001</f>
        <v>1E-4</v>
      </c>
      <c r="CD137" s="23">
        <f>CA137*CC137</f>
        <v>0.25</v>
      </c>
      <c r="CE137" s="23" t="s">
        <v>17</v>
      </c>
      <c r="CF137" s="23">
        <v>0.1</v>
      </c>
      <c r="CG137" s="23" t="s">
        <v>23</v>
      </c>
      <c r="CH137" s="66">
        <f t="shared" ref="CH137:CH138" si="62">CF137*CD137</f>
        <v>2.5000000000000001E-2</v>
      </c>
      <c r="CI137" s="67">
        <f>CH137*2</f>
        <v>0.05</v>
      </c>
    </row>
    <row r="138" spans="65:88" x14ac:dyDescent="0.25">
      <c r="BZ138" s="5" t="s">
        <v>33</v>
      </c>
      <c r="CA138" s="3">
        <v>1146.8</v>
      </c>
      <c r="CB138" s="3" t="s">
        <v>10</v>
      </c>
      <c r="CC138" s="23">
        <f>1/100</f>
        <v>0.01</v>
      </c>
      <c r="CD138" s="23">
        <f>CA138*CC138</f>
        <v>11.468</v>
      </c>
      <c r="CE138" s="23" t="s">
        <v>16</v>
      </c>
      <c r="CF138" s="23">
        <v>7.7585999999999999E-5</v>
      </c>
      <c r="CG138" s="23" t="s">
        <v>22</v>
      </c>
      <c r="CH138" s="23">
        <f t="shared" si="62"/>
        <v>8.89756248E-4</v>
      </c>
    </row>
    <row r="139" spans="65:88" x14ac:dyDescent="0.25">
      <c r="BZ139" s="5" t="s">
        <v>93</v>
      </c>
      <c r="CA139" s="3">
        <v>39</v>
      </c>
      <c r="CB139" s="3" t="s">
        <v>10</v>
      </c>
      <c r="CC139" s="23">
        <f>1/100</f>
        <v>0.01</v>
      </c>
      <c r="CD139" s="23">
        <f>CA139*CC139</f>
        <v>0.39</v>
      </c>
      <c r="CE139" s="23" t="s">
        <v>16</v>
      </c>
      <c r="CF139" s="23">
        <f>1/117.5</f>
        <v>8.5106382978723406E-3</v>
      </c>
      <c r="CG139" s="23" t="s">
        <v>22</v>
      </c>
      <c r="CH139" s="23">
        <f t="shared" ref="CH139" si="63">CF139*CD139</f>
        <v>3.319148936170213E-3</v>
      </c>
    </row>
    <row r="140" spans="65:88" x14ac:dyDescent="0.25">
      <c r="CI140" s="408" t="s">
        <v>25</v>
      </c>
      <c r="CJ140" s="408"/>
    </row>
    <row r="141" spans="65:88" x14ac:dyDescent="0.25">
      <c r="CI141" s="4">
        <f>CH135+CI137+CH138+CH139</f>
        <v>0.67820890518417032</v>
      </c>
      <c r="CJ141" s="4" t="s">
        <v>18</v>
      </c>
    </row>
    <row r="146" spans="65:81" x14ac:dyDescent="0.25">
      <c r="BT146" s="10"/>
      <c r="BU146" s="10"/>
      <c r="BV146" s="10"/>
      <c r="BW146" s="10"/>
      <c r="BX146" s="10"/>
    </row>
    <row r="147" spans="65:81" x14ac:dyDescent="0.25">
      <c r="BT147" s="10"/>
      <c r="BU147" s="10"/>
      <c r="BV147" s="10"/>
      <c r="BW147" s="10"/>
      <c r="BX147" s="10"/>
    </row>
    <row r="148" spans="65:81" x14ac:dyDescent="0.25">
      <c r="BT148" s="10"/>
      <c r="BU148" s="10"/>
      <c r="BV148" s="10"/>
      <c r="BW148" s="10"/>
      <c r="BX148" s="10"/>
    </row>
    <row r="149" spans="65:81" x14ac:dyDescent="0.25">
      <c r="BT149" s="10"/>
      <c r="BU149" s="10"/>
      <c r="BV149" s="10"/>
      <c r="BW149" s="10"/>
      <c r="BX149" s="10"/>
    </row>
    <row r="150" spans="65:81" x14ac:dyDescent="0.25">
      <c r="BT150" s="10"/>
      <c r="BU150" s="10"/>
      <c r="BV150" s="10"/>
      <c r="BW150" s="10"/>
      <c r="BX150" s="10" t="s">
        <v>141</v>
      </c>
    </row>
    <row r="151" spans="65:81" x14ac:dyDescent="0.25">
      <c r="BM151" s="41" t="s">
        <v>58</v>
      </c>
      <c r="BN151" s="41"/>
      <c r="BT151" s="10"/>
      <c r="BU151" s="10"/>
      <c r="BV151" s="10"/>
      <c r="BW151" s="10"/>
      <c r="BX151" s="49" t="s">
        <v>36</v>
      </c>
    </row>
    <row r="152" spans="65:81" x14ac:dyDescent="0.25">
      <c r="BM152" s="25" t="s">
        <v>156</v>
      </c>
      <c r="BN152" s="4"/>
      <c r="BT152" s="10"/>
      <c r="BU152" s="10"/>
      <c r="BV152" s="10"/>
      <c r="BW152" s="10"/>
      <c r="BX152" s="45" t="s">
        <v>54</v>
      </c>
    </row>
    <row r="153" spans="65:81" x14ac:dyDescent="0.25">
      <c r="BM153" s="129">
        <f>BX153</f>
        <v>17.659907154864015</v>
      </c>
      <c r="BN153" s="4" t="s">
        <v>18</v>
      </c>
      <c r="BT153" s="10"/>
      <c r="BU153" s="10"/>
      <c r="BV153" s="10"/>
      <c r="BW153" s="10"/>
      <c r="BX153" s="121">
        <f>BX154-BX158</f>
        <v>17.659907154864015</v>
      </c>
    </row>
    <row r="154" spans="65:81" x14ac:dyDescent="0.25">
      <c r="BM154" s="12">
        <f>6/1000</f>
        <v>6.0000000000000001E-3</v>
      </c>
      <c r="BN154" s="4" t="s">
        <v>158</v>
      </c>
      <c r="BT154" s="10"/>
      <c r="BU154" s="10"/>
      <c r="BV154" s="10"/>
      <c r="BW154" s="10"/>
      <c r="BX154" s="128">
        <f>BU160</f>
        <v>370.8580502521441</v>
      </c>
    </row>
    <row r="155" spans="65:81" x14ac:dyDescent="0.25">
      <c r="BT155" s="421" t="s">
        <v>139</v>
      </c>
      <c r="BU155" s="421"/>
      <c r="BV155" s="10"/>
      <c r="BW155" s="10"/>
      <c r="BX155" s="47" t="s">
        <v>34</v>
      </c>
    </row>
    <row r="156" spans="65:81" x14ac:dyDescent="0.25">
      <c r="BT156" s="421"/>
      <c r="BU156" s="421"/>
      <c r="BV156" s="10"/>
      <c r="BW156" s="10"/>
      <c r="BX156" s="118" t="s">
        <v>138</v>
      </c>
      <c r="BZ156" s="424" t="s">
        <v>135</v>
      </c>
      <c r="CA156" s="425"/>
    </row>
    <row r="157" spans="65:81" x14ac:dyDescent="0.25">
      <c r="BT157" s="115" t="s">
        <v>1</v>
      </c>
      <c r="BU157" s="115" t="s">
        <v>1</v>
      </c>
      <c r="BV157" s="9"/>
      <c r="BW157" s="10"/>
      <c r="BX157" s="48" t="s">
        <v>35</v>
      </c>
      <c r="BZ157" s="426"/>
      <c r="CA157" s="427"/>
      <c r="CC157" s="1" t="s">
        <v>137</v>
      </c>
    </row>
    <row r="158" spans="65:81" x14ac:dyDescent="0.25">
      <c r="BT158" s="115">
        <f>BU158</f>
        <v>370.8580502521441</v>
      </c>
      <c r="BU158" s="67">
        <f>BU160</f>
        <v>370.8580502521441</v>
      </c>
      <c r="BV158" s="55"/>
      <c r="BW158" s="10"/>
      <c r="BX158" s="10">
        <f>CA159</f>
        <v>353.19814309728008</v>
      </c>
      <c r="BZ158" s="6" t="s">
        <v>1</v>
      </c>
      <c r="CA158" s="6" t="s">
        <v>1</v>
      </c>
      <c r="CB158" s="6" t="s">
        <v>42</v>
      </c>
      <c r="CC158" s="18" t="s">
        <v>36</v>
      </c>
    </row>
    <row r="159" spans="65:81" x14ac:dyDescent="0.25">
      <c r="BT159" s="422" t="s">
        <v>140</v>
      </c>
      <c r="BU159" s="10"/>
      <c r="BV159" s="10"/>
      <c r="BW159" s="10"/>
      <c r="BX159" s="50" t="s">
        <v>36</v>
      </c>
      <c r="BZ159" s="6">
        <f>CG173*(CH197+CH198+CH199+CH202)</f>
        <v>353.19814309728008</v>
      </c>
      <c r="CA159" s="4">
        <f>BZ159</f>
        <v>353.19814309728008</v>
      </c>
      <c r="CB159" s="36"/>
      <c r="CC159" s="19" t="s">
        <v>54</v>
      </c>
    </row>
    <row r="160" spans="65:81" x14ac:dyDescent="0.25">
      <c r="BT160" s="423"/>
      <c r="BU160" s="10">
        <f>BX158+BX158*0.05</f>
        <v>370.8580502521441</v>
      </c>
      <c r="BV160" s="10"/>
      <c r="BW160" s="10"/>
      <c r="BX160" s="53" t="s">
        <v>157</v>
      </c>
      <c r="CC160" s="69">
        <f>CC171</f>
        <v>16.346147444640053</v>
      </c>
    </row>
    <row r="161" spans="72:92" x14ac:dyDescent="0.25">
      <c r="BT161" s="10"/>
      <c r="BU161" s="48"/>
      <c r="BV161" s="10"/>
      <c r="BW161" s="10"/>
      <c r="BX161" s="28"/>
      <c r="BY161" s="445" t="s">
        <v>98</v>
      </c>
      <c r="BZ161" s="445"/>
      <c r="CC161" s="1">
        <f>CA159+CA169+BZ164</f>
        <v>375.6127571091514</v>
      </c>
    </row>
    <row r="162" spans="72:92" x14ac:dyDescent="0.25">
      <c r="BT162" s="10"/>
      <c r="BU162" s="10"/>
      <c r="BV162" s="10"/>
      <c r="BW162" s="10"/>
      <c r="BX162" s="16"/>
      <c r="BY162" s="445"/>
      <c r="BZ162" s="445"/>
      <c r="CC162" s="13" t="s">
        <v>34</v>
      </c>
    </row>
    <row r="163" spans="72:92" x14ac:dyDescent="0.25">
      <c r="BT163" s="10"/>
      <c r="BU163" s="10"/>
      <c r="BV163" s="10"/>
      <c r="BW163" s="10"/>
      <c r="BX163" s="10"/>
      <c r="BY163" s="115" t="s">
        <v>30</v>
      </c>
      <c r="BZ163" s="115" t="s">
        <v>1</v>
      </c>
      <c r="CA163" s="8" t="s">
        <v>42</v>
      </c>
      <c r="CC163" s="109" t="s">
        <v>99</v>
      </c>
    </row>
    <row r="164" spans="72:92" x14ac:dyDescent="0.25">
      <c r="BT164" s="446" t="s">
        <v>51</v>
      </c>
      <c r="BU164" s="446"/>
      <c r="BV164" s="10"/>
      <c r="BW164" s="48"/>
      <c r="BX164" s="52">
        <f>BU160-CA159</f>
        <v>17.659907154864015</v>
      </c>
      <c r="BY164" s="115">
        <f>CG173*CD200</f>
        <v>585</v>
      </c>
      <c r="BZ164" s="67">
        <f>CG173*CH200</f>
        <v>4.9787234042553195</v>
      </c>
      <c r="CA164" s="119"/>
      <c r="CC164" s="14" t="s">
        <v>35</v>
      </c>
    </row>
    <row r="165" spans="72:92" x14ac:dyDescent="0.25">
      <c r="BT165" s="447" t="str">
        <f>BY161</f>
        <v>Cremallera</v>
      </c>
      <c r="BU165" s="448"/>
      <c r="CC165">
        <f>CH173</f>
        <v>359.26660966451135</v>
      </c>
    </row>
    <row r="166" spans="72:92" x14ac:dyDescent="0.25">
      <c r="BT166" s="12">
        <f>BZ164</f>
        <v>4.9787234042553195</v>
      </c>
      <c r="BU166" s="4" t="s">
        <v>18</v>
      </c>
      <c r="BW166" s="404" t="s">
        <v>51</v>
      </c>
      <c r="BX166" s="405"/>
      <c r="BZ166" s="424" t="s">
        <v>73</v>
      </c>
      <c r="CA166" s="425"/>
      <c r="CC166" s="15" t="s">
        <v>36</v>
      </c>
    </row>
    <row r="167" spans="72:92" x14ac:dyDescent="0.25">
      <c r="BT167" s="12">
        <f>BY164</f>
        <v>585</v>
      </c>
      <c r="BU167" s="4" t="s">
        <v>16</v>
      </c>
      <c r="BW167" s="406" t="str">
        <f>BZ166</f>
        <v>Hilo funda de tela sin cremallera</v>
      </c>
      <c r="BX167" s="407"/>
      <c r="BZ167" s="426"/>
      <c r="CA167" s="427"/>
      <c r="CC167" s="35" t="s">
        <v>63</v>
      </c>
    </row>
    <row r="168" spans="72:92" x14ac:dyDescent="0.25">
      <c r="BW168" s="12">
        <f>CA169</f>
        <v>17.435890607615999</v>
      </c>
      <c r="BX168" s="4" t="s">
        <v>18</v>
      </c>
      <c r="BZ168" s="6" t="s">
        <v>30</v>
      </c>
      <c r="CA168" s="6" t="s">
        <v>1</v>
      </c>
      <c r="CB168" s="6" t="s">
        <v>42</v>
      </c>
      <c r="CC168" s="28"/>
    </row>
    <row r="169" spans="72:92" x14ac:dyDescent="0.25">
      <c r="BW169" s="12">
        <f>BZ169</f>
        <v>224729.856</v>
      </c>
      <c r="BX169" s="4" t="s">
        <v>16</v>
      </c>
      <c r="BZ169" s="6">
        <f>(CD201+BZ171)*CG173</f>
        <v>224729.856</v>
      </c>
      <c r="CA169" s="4">
        <f>BZ169*CF201</f>
        <v>17.435890607615999</v>
      </c>
      <c r="CB169" s="37"/>
      <c r="CC169" s="16"/>
    </row>
    <row r="170" spans="72:92" x14ac:dyDescent="0.25">
      <c r="BZ170" s="34" t="s">
        <v>136</v>
      </c>
      <c r="CG170" s="410" t="s">
        <v>89</v>
      </c>
      <c r="CH170" s="410"/>
    </row>
    <row r="171" spans="72:92" x14ac:dyDescent="0.25">
      <c r="BZ171" s="14">
        <v>360.14400000000001</v>
      </c>
      <c r="CC171" s="22">
        <f>CA169+CA159+BZ164-CH173</f>
        <v>16.346147444640053</v>
      </c>
      <c r="CG171" s="410"/>
      <c r="CH171" s="410"/>
    </row>
    <row r="172" spans="72:92" x14ac:dyDescent="0.25">
      <c r="CG172" s="6" t="s">
        <v>4</v>
      </c>
      <c r="CH172" s="6" t="s">
        <v>1</v>
      </c>
    </row>
    <row r="173" spans="72:92" x14ac:dyDescent="0.25">
      <c r="CG173" s="6">
        <f>CL176</f>
        <v>585</v>
      </c>
      <c r="CH173" s="4">
        <f>CG173*(CH199+CH198+CH200+CH201+CH202+CH197)</f>
        <v>359.26660966451135</v>
      </c>
    </row>
    <row r="174" spans="72:92" x14ac:dyDescent="0.25">
      <c r="CJ174">
        <f>CH173+CH179</f>
        <v>2359.9666096645115</v>
      </c>
      <c r="CL174" s="416" t="s">
        <v>52</v>
      </c>
      <c r="CM174" s="416"/>
    </row>
    <row r="175" spans="72:92" x14ac:dyDescent="0.25">
      <c r="CJ175" s="13" t="s">
        <v>34</v>
      </c>
      <c r="CL175" s="436" t="s">
        <v>124</v>
      </c>
      <c r="CM175" s="417"/>
      <c r="CN175" s="127" t="s">
        <v>123</v>
      </c>
    </row>
    <row r="176" spans="72:92" x14ac:dyDescent="0.25">
      <c r="CJ176" s="109" t="s">
        <v>3</v>
      </c>
      <c r="CL176" s="184">
        <v>585</v>
      </c>
      <c r="CM176" s="4" t="s">
        <v>27</v>
      </c>
    </row>
    <row r="177" spans="65:91" x14ac:dyDescent="0.25">
      <c r="CG177" s="410" t="s">
        <v>134</v>
      </c>
      <c r="CH177" s="410"/>
      <c r="CJ177" s="14" t="s">
        <v>35</v>
      </c>
      <c r="CL177" s="4">
        <f>CL176*CI202</f>
        <v>2359.966609664511</v>
      </c>
      <c r="CM177" s="4" t="s">
        <v>28</v>
      </c>
    </row>
    <row r="178" spans="65:91" x14ac:dyDescent="0.25">
      <c r="CC178" s="1"/>
      <c r="CG178" s="6" t="s">
        <v>4</v>
      </c>
      <c r="CH178" s="6" t="s">
        <v>1</v>
      </c>
      <c r="CJ178">
        <f>CL177</f>
        <v>2359.966609664511</v>
      </c>
    </row>
    <row r="179" spans="65:91" x14ac:dyDescent="0.25">
      <c r="CC179" s="18" t="s">
        <v>36</v>
      </c>
      <c r="CG179" s="6">
        <f>CL176</f>
        <v>585</v>
      </c>
      <c r="CH179" s="4">
        <f>CG179*(CH196)</f>
        <v>2000.7</v>
      </c>
      <c r="CJ179" s="15" t="s">
        <v>36</v>
      </c>
    </row>
    <row r="180" spans="65:91" x14ac:dyDescent="0.25">
      <c r="CC180" s="19">
        <v>1.0000000000000001E-5</v>
      </c>
      <c r="CJ180" s="1">
        <f>CJ174-CJ178</f>
        <v>0</v>
      </c>
    </row>
    <row r="181" spans="65:91" x14ac:dyDescent="0.25">
      <c r="BW181" s="473" t="s">
        <v>87</v>
      </c>
      <c r="BX181" s="473"/>
      <c r="CC181" s="18">
        <f>CC182-CC186</f>
        <v>0</v>
      </c>
      <c r="CJ181" s="28" t="s">
        <v>45</v>
      </c>
    </row>
    <row r="182" spans="65:91" x14ac:dyDescent="0.25">
      <c r="BW182" s="447" t="str">
        <f>BZ187</f>
        <v>Bloque de espuma</v>
      </c>
      <c r="BX182" s="448"/>
      <c r="CC182" s="1">
        <f>CA191</f>
        <v>2000.7</v>
      </c>
    </row>
    <row r="183" spans="65:91" x14ac:dyDescent="0.25">
      <c r="BW183" s="12"/>
      <c r="BX183" s="4" t="s">
        <v>18</v>
      </c>
      <c r="CC183" s="13" t="s">
        <v>34</v>
      </c>
    </row>
    <row r="184" spans="65:91" ht="15" customHeight="1" x14ac:dyDescent="0.25">
      <c r="BW184" s="12"/>
      <c r="BX184" s="4" t="s">
        <v>16</v>
      </c>
      <c r="CC184" s="109" t="s">
        <v>142</v>
      </c>
    </row>
    <row r="185" spans="65:91" x14ac:dyDescent="0.25">
      <c r="CC185" s="14" t="s">
        <v>35</v>
      </c>
    </row>
    <row r="186" spans="65:91" x14ac:dyDescent="0.25">
      <c r="CC186">
        <f>CH179</f>
        <v>2000.7</v>
      </c>
      <c r="CM186" t="s">
        <v>91</v>
      </c>
    </row>
    <row r="187" spans="65:91" x14ac:dyDescent="0.25">
      <c r="BZ187" s="474" t="s">
        <v>143</v>
      </c>
      <c r="CA187" s="474"/>
      <c r="CC187" s="15" t="s">
        <v>36</v>
      </c>
    </row>
    <row r="188" spans="65:91" x14ac:dyDescent="0.25">
      <c r="BZ188" s="474"/>
      <c r="CA188" s="474"/>
      <c r="CC188" s="28" t="s">
        <v>45</v>
      </c>
    </row>
    <row r="189" spans="65:91" x14ac:dyDescent="0.25">
      <c r="BZ189" s="6" t="s">
        <v>50</v>
      </c>
      <c r="CA189" s="6" t="s">
        <v>1</v>
      </c>
      <c r="CB189" s="6" t="s">
        <v>42</v>
      </c>
      <c r="CC189" s="28"/>
    </row>
    <row r="190" spans="65:91" x14ac:dyDescent="0.25">
      <c r="BZ190" s="27"/>
      <c r="CA190" s="4"/>
      <c r="CB190" s="6"/>
      <c r="CC190" s="16"/>
    </row>
    <row r="191" spans="65:91" x14ac:dyDescent="0.25">
      <c r="BM191" s="18" t="s">
        <v>36</v>
      </c>
      <c r="BY191" s="14" t="s">
        <v>144</v>
      </c>
      <c r="BZ191" s="14">
        <f>CD196*CG179</f>
        <v>111.15</v>
      </c>
      <c r="CA191" s="14">
        <f>CH196*CG179</f>
        <v>2000.7</v>
      </c>
    </row>
    <row r="192" spans="65:91" x14ac:dyDescent="0.25">
      <c r="BM192" s="19">
        <v>1E-4</v>
      </c>
      <c r="CC192" s="22">
        <f>CA191-CH179</f>
        <v>0</v>
      </c>
    </row>
    <row r="193" spans="65:88" x14ac:dyDescent="0.25">
      <c r="BM193" s="18">
        <f>BM194+BM194*BM192</f>
        <v>31.281195728008356</v>
      </c>
    </row>
    <row r="194" spans="65:88" x14ac:dyDescent="0.25">
      <c r="BM194" s="130">
        <f>BM153+BX209</f>
        <v>31.278067921216234</v>
      </c>
      <c r="BT194" s="41" t="s">
        <v>58</v>
      </c>
      <c r="BU194" s="41"/>
      <c r="CA194" s="415" t="s">
        <v>126</v>
      </c>
      <c r="CB194" s="415"/>
      <c r="CC194" s="4" t="s">
        <v>19</v>
      </c>
      <c r="CD194" s="6" t="s">
        <v>20</v>
      </c>
      <c r="CE194" s="6" t="s">
        <v>2</v>
      </c>
      <c r="CF194" s="6" t="s">
        <v>21</v>
      </c>
      <c r="CG194" s="6" t="s">
        <v>2</v>
      </c>
      <c r="CH194" s="11" t="s">
        <v>24</v>
      </c>
    </row>
    <row r="195" spans="65:88" x14ac:dyDescent="0.25">
      <c r="BM195" s="13" t="s">
        <v>34</v>
      </c>
      <c r="BT195" s="25" t="s">
        <v>156</v>
      </c>
      <c r="BU195" s="4"/>
      <c r="BZ195" s="6"/>
      <c r="CA195" s="68"/>
      <c r="CB195" s="68"/>
      <c r="CC195" s="23"/>
      <c r="CD195" s="23"/>
      <c r="CE195" s="23"/>
      <c r="CF195" s="23"/>
      <c r="CG195" s="23"/>
      <c r="CH195" s="39"/>
    </row>
    <row r="196" spans="65:88" x14ac:dyDescent="0.25">
      <c r="BM196" s="29" t="s">
        <v>238</v>
      </c>
      <c r="BT196" s="129">
        <f>BX209</f>
        <v>13.618160766352219</v>
      </c>
      <c r="BU196" s="4" t="s">
        <v>18</v>
      </c>
      <c r="BZ196" s="6" t="s">
        <v>128</v>
      </c>
      <c r="CA196" s="68">
        <f>100*190*10</f>
        <v>190000</v>
      </c>
      <c r="CB196" s="68" t="s">
        <v>26</v>
      </c>
      <c r="CC196" s="23">
        <v>9.9999999999999995E-7</v>
      </c>
      <c r="CD196" s="23">
        <f t="shared" ref="CD196:CD202" si="64">CA196*CC196</f>
        <v>0.19</v>
      </c>
      <c r="CE196" s="23" t="s">
        <v>15</v>
      </c>
      <c r="CF196" s="23">
        <v>18</v>
      </c>
      <c r="CG196" s="23" t="s">
        <v>13</v>
      </c>
      <c r="CH196" s="23">
        <f>CD196*CF196</f>
        <v>3.42</v>
      </c>
    </row>
    <row r="197" spans="65:88" x14ac:dyDescent="0.25">
      <c r="BM197" s="14" t="s">
        <v>35</v>
      </c>
      <c r="BP197" s="404" t="s">
        <v>51</v>
      </c>
      <c r="BQ197" s="405"/>
      <c r="BT197" s="12">
        <f>6/1000</f>
        <v>6.0000000000000001E-3</v>
      </c>
      <c r="BU197" s="4" t="s">
        <v>158</v>
      </c>
      <c r="BZ197" s="6" t="s">
        <v>129</v>
      </c>
      <c r="CA197" s="68">
        <f>3708.8</f>
        <v>3708.8</v>
      </c>
      <c r="CB197" s="68" t="s">
        <v>10</v>
      </c>
      <c r="CC197" s="23">
        <f>1/100</f>
        <v>0.01</v>
      </c>
      <c r="CD197" s="23">
        <f t="shared" si="64"/>
        <v>37.088000000000001</v>
      </c>
      <c r="CE197" s="23" t="s">
        <v>16</v>
      </c>
      <c r="CF197" s="23">
        <v>7.7585999999999999E-5</v>
      </c>
      <c r="CG197" s="23" t="s">
        <v>22</v>
      </c>
      <c r="CH197" s="23">
        <f t="shared" ref="CH197:CH199" si="65">CD197*CF197</f>
        <v>2.8775095680000002E-3</v>
      </c>
    </row>
    <row r="198" spans="65:88" x14ac:dyDescent="0.25">
      <c r="BM198" s="130">
        <f>BM194</f>
        <v>31.278067921216234</v>
      </c>
      <c r="BP198" s="406" t="s">
        <v>159</v>
      </c>
      <c r="BQ198" s="407"/>
      <c r="BZ198" s="6" t="s">
        <v>131</v>
      </c>
      <c r="CA198" s="68">
        <f>210*210*0.3</f>
        <v>13230</v>
      </c>
      <c r="CB198" s="68" t="s">
        <v>26</v>
      </c>
      <c r="CC198" s="23">
        <v>9.9999999999999995E-7</v>
      </c>
      <c r="CD198" s="23">
        <f t="shared" si="64"/>
        <v>1.3229999999999999E-2</v>
      </c>
      <c r="CE198" s="23" t="s">
        <v>15</v>
      </c>
      <c r="CF198" s="23">
        <v>12</v>
      </c>
      <c r="CG198" s="23" t="s">
        <v>13</v>
      </c>
      <c r="CH198" s="23">
        <f t="shared" si="65"/>
        <v>0.15875999999999998</v>
      </c>
    </row>
    <row r="199" spans="65:88" x14ac:dyDescent="0.25">
      <c r="BM199" s="15" t="s">
        <v>36</v>
      </c>
      <c r="BP199" s="43">
        <f>IF(CI247-BM194&lt;0,0,CI247-BM194)</f>
        <v>0</v>
      </c>
      <c r="BQ199" s="44" t="s">
        <v>18</v>
      </c>
      <c r="BZ199" s="6" t="s">
        <v>127</v>
      </c>
      <c r="CA199" s="68">
        <f>560</f>
        <v>560</v>
      </c>
      <c r="CB199" s="68" t="s">
        <v>9</v>
      </c>
      <c r="CC199" s="23">
        <f>0.0001</f>
        <v>1E-4</v>
      </c>
      <c r="CD199" s="23">
        <f t="shared" si="64"/>
        <v>5.6000000000000001E-2</v>
      </c>
      <c r="CE199" s="23" t="s">
        <v>17</v>
      </c>
      <c r="CF199" s="23">
        <f>20/1000</f>
        <v>0.02</v>
      </c>
      <c r="CG199" s="23" t="s">
        <v>23</v>
      </c>
      <c r="CH199" s="23">
        <f t="shared" si="65"/>
        <v>1.1200000000000001E-3</v>
      </c>
    </row>
    <row r="200" spans="65:88" x14ac:dyDescent="0.25">
      <c r="BM200" s="210">
        <f>BM198-CI247</f>
        <v>24.102067921216232</v>
      </c>
      <c r="BN200" s="209"/>
      <c r="BP200" s="43">
        <f>BP199</f>
        <v>0</v>
      </c>
      <c r="BQ200" s="44" t="s">
        <v>18</v>
      </c>
      <c r="BZ200" s="6" t="s">
        <v>93</v>
      </c>
      <c r="CA200" s="68">
        <v>100</v>
      </c>
      <c r="CB200" s="68" t="s">
        <v>10</v>
      </c>
      <c r="CC200" s="23">
        <f>1/100</f>
        <v>0.01</v>
      </c>
      <c r="CD200" s="23">
        <f t="shared" si="64"/>
        <v>1</v>
      </c>
      <c r="CE200" s="23" t="s">
        <v>16</v>
      </c>
      <c r="CF200" s="23">
        <f>1/117.5</f>
        <v>8.5106382978723406E-3</v>
      </c>
      <c r="CG200" s="23" t="s">
        <v>22</v>
      </c>
      <c r="CH200" s="23">
        <f>CD200*CF200</f>
        <v>8.5106382978723406E-3</v>
      </c>
    </row>
    <row r="201" spans="65:88" x14ac:dyDescent="0.25">
      <c r="BM201" s="209" t="s">
        <v>168</v>
      </c>
      <c r="BN201" s="209"/>
      <c r="BZ201" s="11" t="s">
        <v>130</v>
      </c>
      <c r="CA201" s="68">
        <f>2400.96</f>
        <v>2400.96</v>
      </c>
      <c r="CB201" s="68" t="s">
        <v>10</v>
      </c>
      <c r="CC201" s="23">
        <f>1/100</f>
        <v>0.01</v>
      </c>
      <c r="CD201" s="23">
        <f t="shared" si="64"/>
        <v>24.009600000000002</v>
      </c>
      <c r="CE201" s="23" t="s">
        <v>16</v>
      </c>
      <c r="CF201" s="23">
        <v>7.7585999999999999E-5</v>
      </c>
      <c r="CG201" s="23" t="s">
        <v>22</v>
      </c>
      <c r="CH201" s="23">
        <f>CD201*CF201</f>
        <v>1.8628088256000001E-3</v>
      </c>
      <c r="CI201" s="408" t="s">
        <v>133</v>
      </c>
      <c r="CJ201" s="408"/>
    </row>
    <row r="202" spans="65:88" x14ac:dyDescent="0.25">
      <c r="BZ202" s="11" t="s">
        <v>132</v>
      </c>
      <c r="CA202" s="68">
        <f>210*210</f>
        <v>44100</v>
      </c>
      <c r="CB202" s="68" t="s">
        <v>9</v>
      </c>
      <c r="CC202" s="23">
        <f>0.0001</f>
        <v>1E-4</v>
      </c>
      <c r="CD202" s="23">
        <f t="shared" si="64"/>
        <v>4.41</v>
      </c>
      <c r="CE202" s="23" t="s">
        <v>17</v>
      </c>
      <c r="CF202" s="23">
        <v>0.1</v>
      </c>
      <c r="CG202" s="23" t="s">
        <v>23</v>
      </c>
      <c r="CH202" s="23">
        <f>CD202*CF202</f>
        <v>0.44100000000000006</v>
      </c>
      <c r="CI202" s="4">
        <f>CH196+CH197+CH198+CH199+CH200+CH201+CH202</f>
        <v>4.034130956691472</v>
      </c>
      <c r="CJ202" s="4" t="s">
        <v>18</v>
      </c>
    </row>
    <row r="205" spans="65:88" x14ac:dyDescent="0.25">
      <c r="BT205" s="10"/>
      <c r="BU205" s="10"/>
      <c r="BV205" s="10"/>
      <c r="BW205" s="10"/>
      <c r="BX205" s="10"/>
    </row>
    <row r="206" spans="65:88" x14ac:dyDescent="0.25">
      <c r="BT206" s="10"/>
      <c r="BU206" s="10"/>
      <c r="BV206" s="10"/>
      <c r="BW206" s="10"/>
      <c r="BX206" s="48" t="s">
        <v>141</v>
      </c>
    </row>
    <row r="207" spans="65:88" x14ac:dyDescent="0.25">
      <c r="BT207" s="10"/>
      <c r="BU207" s="10"/>
      <c r="BV207" s="10"/>
      <c r="BW207" s="10"/>
      <c r="BX207" s="49" t="s">
        <v>36</v>
      </c>
    </row>
    <row r="208" spans="65:88" x14ac:dyDescent="0.25">
      <c r="BT208" s="10"/>
      <c r="BU208" s="10"/>
      <c r="BV208" s="10"/>
      <c r="BW208" s="10"/>
      <c r="BX208" s="45" t="s">
        <v>54</v>
      </c>
    </row>
    <row r="209" spans="72:76" x14ac:dyDescent="0.25">
      <c r="BT209" s="10"/>
      <c r="BU209" s="10"/>
      <c r="BV209" s="10"/>
      <c r="BW209" s="10"/>
      <c r="BX209" s="121">
        <f>BX210-BX214</f>
        <v>13.618160766352219</v>
      </c>
    </row>
    <row r="210" spans="72:76" x14ac:dyDescent="0.25">
      <c r="BT210" s="10"/>
      <c r="BU210" s="10"/>
      <c r="BV210" s="10"/>
      <c r="BW210" s="10"/>
      <c r="BX210" s="113">
        <f>BU216</f>
        <v>285.98137609339659</v>
      </c>
    </row>
    <row r="211" spans="72:76" x14ac:dyDescent="0.25">
      <c r="BT211" s="421" t="s">
        <v>139</v>
      </c>
      <c r="BU211" s="421"/>
      <c r="BV211" s="10"/>
      <c r="BW211" s="10"/>
      <c r="BX211" s="47" t="s">
        <v>34</v>
      </c>
    </row>
    <row r="212" spans="72:76" x14ac:dyDescent="0.25">
      <c r="BT212" s="421"/>
      <c r="BU212" s="421"/>
      <c r="BV212" s="10"/>
      <c r="BW212" s="10"/>
      <c r="BX212" s="118" t="s">
        <v>138</v>
      </c>
    </row>
    <row r="213" spans="72:76" x14ac:dyDescent="0.25">
      <c r="BT213" s="115" t="s">
        <v>1</v>
      </c>
      <c r="BU213" s="115" t="s">
        <v>1</v>
      </c>
      <c r="BV213" s="9"/>
      <c r="BW213" s="10"/>
      <c r="BX213" s="48" t="s">
        <v>35</v>
      </c>
    </row>
    <row r="214" spans="72:76" x14ac:dyDescent="0.25">
      <c r="BT214" s="115">
        <f>BU214</f>
        <v>285.98137609339659</v>
      </c>
      <c r="BU214" s="67">
        <f>BU216</f>
        <v>285.98137609339659</v>
      </c>
      <c r="BV214" s="55"/>
      <c r="BW214" s="10"/>
      <c r="BX214" s="10">
        <f>CG229</f>
        <v>272.36321532704437</v>
      </c>
    </row>
    <row r="215" spans="72:76" x14ac:dyDescent="0.25">
      <c r="BT215" s="422" t="s">
        <v>169</v>
      </c>
      <c r="BU215" s="10"/>
      <c r="BV215" s="10"/>
      <c r="BW215" s="10"/>
      <c r="BX215" s="50" t="s">
        <v>36</v>
      </c>
    </row>
    <row r="216" spans="72:76" x14ac:dyDescent="0.25">
      <c r="BT216" s="423"/>
      <c r="BU216" s="10">
        <f>BX214+BX214*0.05</f>
        <v>285.98137609339659</v>
      </c>
      <c r="BV216" s="10"/>
      <c r="BW216" s="10"/>
      <c r="BX216" s="53" t="s">
        <v>63</v>
      </c>
    </row>
    <row r="217" spans="72:76" x14ac:dyDescent="0.25">
      <c r="BT217" s="10"/>
      <c r="BU217" s="48"/>
      <c r="BV217" s="10"/>
      <c r="BW217" s="10"/>
      <c r="BX217" s="28"/>
    </row>
    <row r="218" spans="72:76" x14ac:dyDescent="0.25">
      <c r="BT218" s="10"/>
      <c r="BU218" s="10"/>
      <c r="BV218" s="10"/>
      <c r="BW218" s="10"/>
      <c r="BX218" s="16"/>
    </row>
    <row r="219" spans="72:76" x14ac:dyDescent="0.25">
      <c r="BT219" s="10"/>
      <c r="BU219" s="10"/>
      <c r="BV219" s="10"/>
      <c r="BW219" s="10"/>
      <c r="BX219" s="10"/>
    </row>
    <row r="220" spans="72:76" x14ac:dyDescent="0.25">
      <c r="BT220" s="10"/>
      <c r="BU220" s="10"/>
      <c r="BV220" s="10"/>
      <c r="BW220" s="48"/>
      <c r="BX220" s="52">
        <f>BU216-CA215</f>
        <v>285.98137609339659</v>
      </c>
    </row>
    <row r="226" spans="75:92" x14ac:dyDescent="0.25">
      <c r="CG226" s="410" t="s">
        <v>141</v>
      </c>
      <c r="CH226" s="410"/>
    </row>
    <row r="227" spans="75:92" x14ac:dyDescent="0.25">
      <c r="CG227" s="410"/>
      <c r="CH227" s="410"/>
    </row>
    <row r="228" spans="75:92" x14ac:dyDescent="0.25">
      <c r="CG228" s="6" t="s">
        <v>1</v>
      </c>
      <c r="CH228" s="6" t="s">
        <v>1</v>
      </c>
    </row>
    <row r="229" spans="75:92" x14ac:dyDescent="0.25">
      <c r="CG229" s="6">
        <f>CH229</f>
        <v>272.36321532704437</v>
      </c>
      <c r="CH229" s="4">
        <f>CL232*(CH254+CH255+CH257+CH258+CH259+CH260)</f>
        <v>272.36321532704437</v>
      </c>
    </row>
    <row r="230" spans="75:92" x14ac:dyDescent="0.25">
      <c r="CJ230">
        <f>CH229+CH235+CH239+CI243+CI247</f>
        <v>1817.2580440934744</v>
      </c>
      <c r="CL230" s="416" t="s">
        <v>52</v>
      </c>
      <c r="CM230" s="416"/>
    </row>
    <row r="231" spans="75:92" x14ac:dyDescent="0.25">
      <c r="CJ231" s="13" t="s">
        <v>34</v>
      </c>
      <c r="CL231" s="436" t="s">
        <v>162</v>
      </c>
      <c r="CM231" s="417"/>
      <c r="CN231" s="127" t="s">
        <v>150</v>
      </c>
    </row>
    <row r="232" spans="75:92" x14ac:dyDescent="0.25">
      <c r="CJ232" s="109" t="s">
        <v>160</v>
      </c>
      <c r="CL232" s="184">
        <v>299</v>
      </c>
      <c r="CM232" s="4" t="s">
        <v>27</v>
      </c>
    </row>
    <row r="233" spans="75:92" x14ac:dyDescent="0.25">
      <c r="CG233" s="410" t="s">
        <v>134</v>
      </c>
      <c r="CH233" s="410"/>
      <c r="CJ233" s="14" t="s">
        <v>35</v>
      </c>
      <c r="CL233" s="4">
        <f>CL232*CI258</f>
        <v>1817.2580440934751</v>
      </c>
      <c r="CM233" s="4" t="s">
        <v>28</v>
      </c>
    </row>
    <row r="234" spans="75:92" x14ac:dyDescent="0.25">
      <c r="CC234" s="1"/>
      <c r="CG234" s="6" t="s">
        <v>50</v>
      </c>
      <c r="CH234" s="6" t="s">
        <v>1</v>
      </c>
      <c r="CJ234">
        <f>CL233</f>
        <v>1817.2580440934751</v>
      </c>
    </row>
    <row r="235" spans="75:92" x14ac:dyDescent="0.25">
      <c r="CC235" s="18" t="s">
        <v>36</v>
      </c>
      <c r="CG235" s="6">
        <f>CL232*CD252</f>
        <v>85.214999999999989</v>
      </c>
      <c r="CH235" s="4">
        <f>CL232*(CH252)</f>
        <v>1533.87</v>
      </c>
      <c r="CJ235" s="15" t="s">
        <v>36</v>
      </c>
    </row>
    <row r="236" spans="75:92" x14ac:dyDescent="0.25">
      <c r="CC236" s="19">
        <v>1.0000000000000001E-5</v>
      </c>
      <c r="CJ236" s="1">
        <f>CJ230-CJ234</f>
        <v>0</v>
      </c>
    </row>
    <row r="237" spans="75:92" x14ac:dyDescent="0.25">
      <c r="BW237" s="473" t="s">
        <v>87</v>
      </c>
      <c r="BX237" s="473"/>
      <c r="CC237" s="18">
        <f>CC238-CC242</f>
        <v>0</v>
      </c>
      <c r="CG237" s="410" t="s">
        <v>98</v>
      </c>
      <c r="CH237" s="410"/>
      <c r="CJ237" s="28" t="s">
        <v>45</v>
      </c>
    </row>
    <row r="238" spans="75:92" x14ac:dyDescent="0.25">
      <c r="BW238" s="447" t="str">
        <f>BZ243</f>
        <v>Bloque de espuma</v>
      </c>
      <c r="BX238" s="448"/>
      <c r="CC238" s="1">
        <f>CA247</f>
        <v>1533.87</v>
      </c>
      <c r="CG238" s="6" t="s">
        <v>30</v>
      </c>
      <c r="CH238" s="6" t="s">
        <v>1</v>
      </c>
    </row>
    <row r="239" spans="75:92" x14ac:dyDescent="0.25">
      <c r="BW239" s="12"/>
      <c r="BX239" s="4" t="s">
        <v>18</v>
      </c>
      <c r="CC239" s="13" t="s">
        <v>34</v>
      </c>
      <c r="CG239" s="6">
        <f>CL232*CD256</f>
        <v>299</v>
      </c>
      <c r="CH239" s="4">
        <f>CL232*(CH256)</f>
        <v>2.5446808510638297</v>
      </c>
    </row>
    <row r="240" spans="75:92" x14ac:dyDescent="0.25">
      <c r="BW240" s="12"/>
      <c r="BX240" s="4" t="s">
        <v>16</v>
      </c>
      <c r="CC240" s="109" t="s">
        <v>142</v>
      </c>
    </row>
    <row r="241" spans="77:91" x14ac:dyDescent="0.25">
      <c r="CC241" s="14" t="s">
        <v>35</v>
      </c>
      <c r="CD241" s="409" t="s">
        <v>51</v>
      </c>
      <c r="CE241" s="409"/>
      <c r="CF241" s="144"/>
      <c r="CH241" s="410" t="s">
        <v>137</v>
      </c>
      <c r="CI241" s="410"/>
    </row>
    <row r="242" spans="77:91" x14ac:dyDescent="0.25">
      <c r="CC242">
        <f>CH235</f>
        <v>1533.87</v>
      </c>
      <c r="CD242" s="142" t="s">
        <v>98</v>
      </c>
      <c r="CE242" s="143" t="str">
        <f>CH241</f>
        <v>Hilo</v>
      </c>
      <c r="CF242" s="72"/>
      <c r="CH242" s="6" t="s">
        <v>30</v>
      </c>
      <c r="CI242" s="6" t="s">
        <v>1</v>
      </c>
      <c r="CM242" t="s">
        <v>91</v>
      </c>
    </row>
    <row r="243" spans="77:91" x14ac:dyDescent="0.25">
      <c r="BZ243" s="474" t="s">
        <v>143</v>
      </c>
      <c r="CA243" s="474"/>
      <c r="CC243" s="15" t="s">
        <v>36</v>
      </c>
      <c r="CD243" s="115">
        <f>CH239</f>
        <v>2.5446808510638297</v>
      </c>
      <c r="CE243" s="141">
        <f>CI243</f>
        <v>1.3041479153664</v>
      </c>
      <c r="CF243" s="4" t="s">
        <v>18</v>
      </c>
      <c r="CH243" s="6">
        <f>CD253*CL232</f>
        <v>16809.062400000003</v>
      </c>
      <c r="CI243" s="4">
        <f>CL232*(CH253)</f>
        <v>1.3041479153664</v>
      </c>
    </row>
    <row r="244" spans="77:91" x14ac:dyDescent="0.25">
      <c r="BZ244" s="474"/>
      <c r="CA244" s="474"/>
      <c r="CC244" s="28" t="s">
        <v>45</v>
      </c>
      <c r="CD244" s="115">
        <f>CG239</f>
        <v>299</v>
      </c>
      <c r="CE244" s="141">
        <f>CH243</f>
        <v>16809.062400000003</v>
      </c>
      <c r="CF244" s="4" t="s">
        <v>16</v>
      </c>
    </row>
    <row r="245" spans="77:91" x14ac:dyDescent="0.25">
      <c r="BZ245" s="6" t="s">
        <v>50</v>
      </c>
      <c r="CA245" s="6" t="s">
        <v>1</v>
      </c>
      <c r="CB245" s="6" t="s">
        <v>42</v>
      </c>
      <c r="CC245" s="28"/>
      <c r="CH245" s="410" t="s">
        <v>161</v>
      </c>
      <c r="CI245" s="410"/>
    </row>
    <row r="246" spans="77:91" x14ac:dyDescent="0.25">
      <c r="BZ246" s="27"/>
      <c r="CA246" s="4"/>
      <c r="CB246" s="6"/>
      <c r="CC246" s="16"/>
      <c r="CH246" s="6" t="s">
        <v>4</v>
      </c>
      <c r="CI246" s="6" t="s">
        <v>1</v>
      </c>
    </row>
    <row r="247" spans="77:91" x14ac:dyDescent="0.25">
      <c r="BY247" s="14" t="s">
        <v>170</v>
      </c>
      <c r="BZ247" s="14">
        <f>CG235</f>
        <v>85.214999999999989</v>
      </c>
      <c r="CA247" s="14">
        <f>CH235</f>
        <v>1533.87</v>
      </c>
      <c r="CH247" s="6">
        <f>CL232*4</f>
        <v>1196</v>
      </c>
      <c r="CI247" s="4">
        <f>CH261*CL232</f>
        <v>7.1760000000000002</v>
      </c>
    </row>
    <row r="248" spans="77:91" x14ac:dyDescent="0.25">
      <c r="CC248" s="22">
        <f>CA247-CH235</f>
        <v>0</v>
      </c>
    </row>
    <row r="250" spans="77:91" x14ac:dyDescent="0.25">
      <c r="CA250" s="415" t="str">
        <f>CL231</f>
        <v>Sensaflex de 190 x 100 (C15)</v>
      </c>
      <c r="CB250" s="415"/>
      <c r="CC250" s="4" t="s">
        <v>19</v>
      </c>
      <c r="CD250" s="6" t="s">
        <v>20</v>
      </c>
      <c r="CE250" s="6" t="s">
        <v>2</v>
      </c>
      <c r="CF250" s="6" t="s">
        <v>21</v>
      </c>
      <c r="CG250" s="6" t="s">
        <v>2</v>
      </c>
      <c r="CH250" s="11" t="s">
        <v>24</v>
      </c>
    </row>
    <row r="251" spans="77:91" x14ac:dyDescent="0.25">
      <c r="BZ251" s="6"/>
      <c r="CA251" s="68"/>
      <c r="CB251" s="68"/>
      <c r="CC251" s="23"/>
      <c r="CD251" s="23"/>
      <c r="CE251" s="23"/>
      <c r="CF251" s="23"/>
      <c r="CG251" s="23"/>
      <c r="CH251" s="39"/>
    </row>
    <row r="252" spans="77:91" x14ac:dyDescent="0.25">
      <c r="BZ252" s="27" t="s">
        <v>128</v>
      </c>
      <c r="CA252" s="68">
        <f>100*190*15</f>
        <v>285000</v>
      </c>
      <c r="CB252" s="68" t="s">
        <v>26</v>
      </c>
      <c r="CC252" s="23">
        <v>9.9999999999999995E-7</v>
      </c>
      <c r="CD252" s="23">
        <f t="shared" ref="CD252:CD259" si="66">CA252*CC252</f>
        <v>0.28499999999999998</v>
      </c>
      <c r="CE252" s="23" t="s">
        <v>15</v>
      </c>
      <c r="CF252" s="23">
        <v>18</v>
      </c>
      <c r="CG252" s="23" t="s">
        <v>13</v>
      </c>
      <c r="CH252" s="23">
        <f>CD252*CF252</f>
        <v>5.13</v>
      </c>
    </row>
    <row r="253" spans="77:91" x14ac:dyDescent="0.25">
      <c r="BZ253" s="27" t="s">
        <v>130</v>
      </c>
      <c r="CA253" s="68">
        <f>5621.76</f>
        <v>5621.76</v>
      </c>
      <c r="CB253" s="68" t="s">
        <v>10</v>
      </c>
      <c r="CC253" s="23">
        <f>1/100</f>
        <v>0.01</v>
      </c>
      <c r="CD253" s="23">
        <f t="shared" si="66"/>
        <v>56.217600000000004</v>
      </c>
      <c r="CE253" s="23" t="s">
        <v>16</v>
      </c>
      <c r="CF253" s="23">
        <v>7.7585999999999999E-5</v>
      </c>
      <c r="CG253" s="23" t="s">
        <v>22</v>
      </c>
      <c r="CH253" s="23">
        <f t="shared" ref="CH253:CH255" si="67">CD253*CF253</f>
        <v>4.3616987136000001E-3</v>
      </c>
    </row>
    <row r="254" spans="77:91" x14ac:dyDescent="0.25">
      <c r="BZ254" s="27" t="s">
        <v>164</v>
      </c>
      <c r="CA254" s="68">
        <f>210*210*0.3</f>
        <v>13230</v>
      </c>
      <c r="CB254" s="68" t="s">
        <v>26</v>
      </c>
      <c r="CC254" s="23">
        <v>9.9999999999999995E-7</v>
      </c>
      <c r="CD254" s="23">
        <f t="shared" si="66"/>
        <v>1.3229999999999999E-2</v>
      </c>
      <c r="CE254" s="23" t="s">
        <v>15</v>
      </c>
      <c r="CF254" s="23">
        <v>12</v>
      </c>
      <c r="CG254" s="23" t="s">
        <v>13</v>
      </c>
      <c r="CH254" s="23">
        <f t="shared" si="67"/>
        <v>0.15875999999999998</v>
      </c>
    </row>
    <row r="255" spans="77:91" x14ac:dyDescent="0.25">
      <c r="BZ255" s="27" t="s">
        <v>127</v>
      </c>
      <c r="CA255" s="68">
        <f>56000</f>
        <v>56000</v>
      </c>
      <c r="CB255" s="68" t="s">
        <v>9</v>
      </c>
      <c r="CC255" s="23">
        <f>0.0001</f>
        <v>1E-4</v>
      </c>
      <c r="CD255" s="23">
        <f t="shared" si="66"/>
        <v>5.6000000000000005</v>
      </c>
      <c r="CE255" s="23" t="s">
        <v>17</v>
      </c>
      <c r="CF255" s="23">
        <f>20/1000</f>
        <v>0.02</v>
      </c>
      <c r="CG255" s="23" t="s">
        <v>23</v>
      </c>
      <c r="CH255" s="23">
        <f t="shared" si="67"/>
        <v>0.11200000000000002</v>
      </c>
    </row>
    <row r="256" spans="77:91" x14ac:dyDescent="0.25">
      <c r="BZ256" s="27" t="s">
        <v>93</v>
      </c>
      <c r="CA256" s="68">
        <v>100</v>
      </c>
      <c r="CB256" s="68" t="s">
        <v>10</v>
      </c>
      <c r="CC256" s="23">
        <f>1/100</f>
        <v>0.01</v>
      </c>
      <c r="CD256" s="23">
        <f t="shared" si="66"/>
        <v>1</v>
      </c>
      <c r="CE256" s="23" t="s">
        <v>16</v>
      </c>
      <c r="CF256" s="23">
        <f>1/117.5</f>
        <v>8.5106382978723406E-3</v>
      </c>
      <c r="CG256" s="23" t="s">
        <v>22</v>
      </c>
      <c r="CH256" s="23">
        <f>CD256*CF256</f>
        <v>8.5106382978723406E-3</v>
      </c>
    </row>
    <row r="257" spans="78:88" x14ac:dyDescent="0.25">
      <c r="BZ257" s="132" t="s">
        <v>130</v>
      </c>
      <c r="CA257" s="68">
        <f>2400.96</f>
        <v>2400.96</v>
      </c>
      <c r="CB257" s="68" t="s">
        <v>10</v>
      </c>
      <c r="CC257" s="23">
        <f>1/100</f>
        <v>0.01</v>
      </c>
      <c r="CD257" s="23">
        <f t="shared" si="66"/>
        <v>24.009600000000002</v>
      </c>
      <c r="CE257" s="23" t="s">
        <v>16</v>
      </c>
      <c r="CF257" s="23">
        <v>7.7585999999999999E-5</v>
      </c>
      <c r="CG257" s="23" t="s">
        <v>22</v>
      </c>
      <c r="CH257" s="23">
        <f>CD257*CF257</f>
        <v>1.8628088256000001E-3</v>
      </c>
      <c r="CI257" s="408" t="s">
        <v>163</v>
      </c>
      <c r="CJ257" s="408"/>
    </row>
    <row r="258" spans="78:88" x14ac:dyDescent="0.25">
      <c r="BZ258" s="132" t="s">
        <v>132</v>
      </c>
      <c r="CA258" s="131">
        <f>227*227</f>
        <v>51529</v>
      </c>
      <c r="CB258" s="131" t="s">
        <v>9</v>
      </c>
      <c r="CC258" s="39">
        <f>0.0001</f>
        <v>1E-4</v>
      </c>
      <c r="CD258" s="39">
        <f t="shared" si="66"/>
        <v>5.1528999999999998</v>
      </c>
      <c r="CE258" s="39" t="s">
        <v>17</v>
      </c>
      <c r="CF258" s="39">
        <v>0.1</v>
      </c>
      <c r="CG258" s="39" t="s">
        <v>23</v>
      </c>
      <c r="CH258" s="39">
        <f>CD258*CF258</f>
        <v>0.51529000000000003</v>
      </c>
      <c r="CI258" s="4">
        <f>CH252+CH253+CH254+CH255+CH256+CH257+CH258+CH259+CH260+CH261</f>
        <v>6.0777861006470735</v>
      </c>
      <c r="CJ258" s="4" t="s">
        <v>18</v>
      </c>
    </row>
    <row r="259" spans="78:88" x14ac:dyDescent="0.25">
      <c r="BZ259" s="108" t="s">
        <v>165</v>
      </c>
      <c r="CA259" s="71">
        <f>0.515*0.515*0.3</f>
        <v>7.9567499999999999E-2</v>
      </c>
      <c r="CB259" s="127" t="s">
        <v>26</v>
      </c>
      <c r="CC259" s="71">
        <v>9.9999999999999995E-7</v>
      </c>
      <c r="CD259" s="71">
        <f t="shared" si="66"/>
        <v>7.9567500000000001E-8</v>
      </c>
      <c r="CE259" s="71" t="s">
        <v>15</v>
      </c>
      <c r="CF259" s="71">
        <v>12</v>
      </c>
      <c r="CG259" s="71" t="s">
        <v>13</v>
      </c>
      <c r="CH259" s="71">
        <f>CD259*CF259</f>
        <v>9.5481000000000001E-7</v>
      </c>
    </row>
    <row r="260" spans="78:88" x14ac:dyDescent="0.25">
      <c r="BZ260" s="134" t="s">
        <v>166</v>
      </c>
      <c r="CA260" s="135"/>
      <c r="CB260" s="135"/>
      <c r="CC260" s="135"/>
      <c r="CD260" s="136">
        <v>1.23</v>
      </c>
      <c r="CE260" s="136" t="s">
        <v>17</v>
      </c>
      <c r="CF260" s="136">
        <v>0.1</v>
      </c>
      <c r="CG260" s="136" t="s">
        <v>22</v>
      </c>
      <c r="CH260" s="136">
        <f>CD260*CF260</f>
        <v>0.123</v>
      </c>
    </row>
    <row r="261" spans="78:88" x14ac:dyDescent="0.25">
      <c r="BZ261" s="137" t="s">
        <v>167</v>
      </c>
      <c r="CA261" s="71">
        <f>6*4</f>
        <v>24</v>
      </c>
      <c r="CB261" s="138" t="s">
        <v>5</v>
      </c>
      <c r="CC261" s="71"/>
      <c r="CD261" s="71"/>
      <c r="CE261" s="71"/>
      <c r="CF261" s="71">
        <f>1/1000</f>
        <v>1E-3</v>
      </c>
      <c r="CG261" s="139" t="s">
        <v>18</v>
      </c>
      <c r="CH261" s="139">
        <f>CA261*CF261</f>
        <v>2.4E-2</v>
      </c>
    </row>
    <row r="307" spans="51:75" x14ac:dyDescent="0.25">
      <c r="BN307" s="213">
        <f>BV315-BO319</f>
        <v>3.08</v>
      </c>
    </row>
    <row r="310" spans="51:75" x14ac:dyDescent="0.25">
      <c r="BO310" s="18" t="s">
        <v>36</v>
      </c>
    </row>
    <row r="311" spans="51:75" x14ac:dyDescent="0.25">
      <c r="BO311" s="19">
        <v>1E-4</v>
      </c>
    </row>
    <row r="312" spans="51:75" x14ac:dyDescent="0.25">
      <c r="BO312" s="18">
        <f>BO313+BO313*BO311</f>
        <v>4.6470937458942947</v>
      </c>
    </row>
    <row r="313" spans="51:75" x14ac:dyDescent="0.25">
      <c r="BO313" s="130">
        <f>BZ328</f>
        <v>4.6466290829859958</v>
      </c>
      <c r="BV313" s="41" t="s">
        <v>58</v>
      </c>
      <c r="BW313" s="41"/>
    </row>
    <row r="314" spans="51:75" x14ac:dyDescent="0.25">
      <c r="AZ314" s="41" t="s">
        <v>58</v>
      </c>
      <c r="BA314" s="41"/>
      <c r="BO314" s="13" t="s">
        <v>34</v>
      </c>
      <c r="BV314" s="25" t="s">
        <v>156</v>
      </c>
      <c r="BW314" s="4"/>
    </row>
    <row r="315" spans="51:75" x14ac:dyDescent="0.25">
      <c r="AZ315" s="25" t="s">
        <v>59</v>
      </c>
      <c r="BA315" s="4"/>
      <c r="BO315" s="29" t="s">
        <v>142</v>
      </c>
      <c r="BV315" s="129">
        <f>BZ328</f>
        <v>4.6466290829859958</v>
      </c>
      <c r="BW315" s="4" t="s">
        <v>18</v>
      </c>
    </row>
    <row r="316" spans="51:75" x14ac:dyDescent="0.25">
      <c r="AZ316" s="176">
        <f>(45/10)*210*0.000001*AU331*CH373</f>
        <v>5.67E-2</v>
      </c>
      <c r="BA316" s="4" t="s">
        <v>18</v>
      </c>
      <c r="BO316" s="14" t="s">
        <v>35</v>
      </c>
      <c r="BR316" s="404" t="s">
        <v>51</v>
      </c>
      <c r="BS316" s="405"/>
      <c r="BV316" s="12">
        <f>6/1000</f>
        <v>6.0000000000000001E-3</v>
      </c>
      <c r="BW316" s="4" t="s">
        <v>158</v>
      </c>
    </row>
    <row r="317" spans="51:75" x14ac:dyDescent="0.25">
      <c r="AZ317" s="176">
        <f>(45/10)*210*0.000001*AU331*CH373</f>
        <v>5.67E-2</v>
      </c>
      <c r="BA317" s="4" t="s">
        <v>18</v>
      </c>
      <c r="BO317" s="130">
        <f>BO313</f>
        <v>4.6466290829859958</v>
      </c>
      <c r="BR317" s="406" t="s">
        <v>159</v>
      </c>
      <c r="BS317" s="407"/>
    </row>
    <row r="318" spans="51:75" x14ac:dyDescent="0.25">
      <c r="BO318" s="15" t="s">
        <v>36</v>
      </c>
      <c r="BR318" s="43">
        <f>IF(CK366-BO313&lt;0,0,CK366-BO313)</f>
        <v>0</v>
      </c>
      <c r="BS318" s="44" t="s">
        <v>18</v>
      </c>
    </row>
    <row r="319" spans="51:75" x14ac:dyDescent="0.25">
      <c r="AY319" s="178"/>
      <c r="AZ319" s="178"/>
      <c r="BA319" s="178"/>
      <c r="BO319" s="208">
        <f>BO317-CK366</f>
        <v>1.5666290829859957</v>
      </c>
      <c r="BP319" s="209"/>
      <c r="BQ319" s="209"/>
      <c r="BR319" s="43">
        <f>BR318</f>
        <v>0</v>
      </c>
      <c r="BS319" s="44" t="s">
        <v>18</v>
      </c>
    </row>
    <row r="320" spans="51:75" x14ac:dyDescent="0.25">
      <c r="AY320" s="178"/>
      <c r="AZ320" s="178"/>
      <c r="BA320" s="178"/>
      <c r="BO320" s="209" t="s">
        <v>168</v>
      </c>
      <c r="BP320" s="209"/>
      <c r="BQ320" s="209"/>
    </row>
    <row r="321" spans="27:87" x14ac:dyDescent="0.25">
      <c r="AY321" s="178"/>
      <c r="AZ321" s="178"/>
      <c r="BA321" s="178"/>
      <c r="BT321" s="441" t="s">
        <v>226</v>
      </c>
      <c r="BU321" s="442"/>
    </row>
    <row r="322" spans="27:87" x14ac:dyDescent="0.25">
      <c r="AY322" s="178"/>
      <c r="AZ322" s="178"/>
      <c r="BA322" s="178"/>
      <c r="BT322" s="406" t="str">
        <f>BT333</f>
        <v>Desperdicios Hilo</v>
      </c>
      <c r="BU322" s="407"/>
    </row>
    <row r="323" spans="27:87" x14ac:dyDescent="0.25">
      <c r="AZ323" t="s">
        <v>220</v>
      </c>
      <c r="BT323" s="43">
        <f>SUM(BT335:BT341)</f>
        <v>0.33391831679015999</v>
      </c>
      <c r="BU323" s="44" t="s">
        <v>18</v>
      </c>
    </row>
    <row r="324" spans="27:87" x14ac:dyDescent="0.25">
      <c r="AZ324" s="18" t="s">
        <v>36</v>
      </c>
      <c r="BH324" s="18" t="s">
        <v>36</v>
      </c>
      <c r="BT324" s="215">
        <f>SUM(BS335:BS341)</f>
        <v>86076.95120000001</v>
      </c>
      <c r="BU324" s="44" t="s">
        <v>16</v>
      </c>
      <c r="BV324" s="10"/>
      <c r="BW324" s="10"/>
      <c r="BX324" s="10"/>
      <c r="BY324" s="10"/>
      <c r="BZ324" s="10"/>
    </row>
    <row r="325" spans="27:87" x14ac:dyDescent="0.25">
      <c r="AE325" s="18" t="s">
        <v>36</v>
      </c>
      <c r="AZ325" s="19">
        <v>1E-4</v>
      </c>
      <c r="BH325" s="19">
        <v>1E-4</v>
      </c>
      <c r="BV325" s="10"/>
      <c r="BW325" s="10"/>
      <c r="BX325" s="10"/>
      <c r="BY325" s="10"/>
      <c r="BZ325" s="10" t="s">
        <v>141</v>
      </c>
    </row>
    <row r="326" spans="27:87" ht="15.75" thickBot="1" x14ac:dyDescent="0.3">
      <c r="AE326" s="19">
        <v>1E-4</v>
      </c>
      <c r="AZ326" s="175">
        <f>AZ316</f>
        <v>5.67E-2</v>
      </c>
      <c r="BH326" s="18"/>
      <c r="BV326" s="10"/>
      <c r="BW326" s="10"/>
      <c r="BX326" s="10"/>
      <c r="BY326" s="10"/>
      <c r="BZ326" s="49" t="s">
        <v>36</v>
      </c>
    </row>
    <row r="327" spans="27:87" x14ac:dyDescent="0.25">
      <c r="AE327" s="18"/>
      <c r="AN327" s="453" t="s">
        <v>208</v>
      </c>
      <c r="AO327" s="454"/>
      <c r="AU327" s="473" t="s">
        <v>87</v>
      </c>
      <c r="AV327" s="473"/>
      <c r="AZ327" s="1">
        <f>AU329*AU331</f>
        <v>320.63094624999997</v>
      </c>
      <c r="BH327" s="1">
        <f>AZ331</f>
        <v>320.63094624999997</v>
      </c>
      <c r="BV327" s="10"/>
      <c r="BW327" s="10"/>
      <c r="BX327" s="10"/>
      <c r="BY327" s="10"/>
      <c r="BZ327" s="45" t="s">
        <v>54</v>
      </c>
    </row>
    <row r="328" spans="27:87" x14ac:dyDescent="0.25">
      <c r="AE328" s="179">
        <f>SUM(AC335:AC342)</f>
        <v>341.23212580845507</v>
      </c>
      <c r="AN328" s="455"/>
      <c r="AO328" s="456"/>
      <c r="AU328" s="447">
        <f>AX333</f>
        <v>0</v>
      </c>
      <c r="AV328" s="448"/>
      <c r="AZ328" s="13" t="s">
        <v>34</v>
      </c>
      <c r="BH328" s="13" t="s">
        <v>34</v>
      </c>
      <c r="BV328" s="10"/>
      <c r="BW328" s="10"/>
      <c r="BX328" s="10"/>
      <c r="BY328" s="10"/>
      <c r="BZ328" s="121">
        <f>BZ329-BZ333</f>
        <v>4.6466290829859958</v>
      </c>
    </row>
    <row r="329" spans="27:87" x14ac:dyDescent="0.25">
      <c r="AE329" s="13" t="s">
        <v>34</v>
      </c>
      <c r="AN329" s="455"/>
      <c r="AO329" s="456"/>
      <c r="AQ329" s="1" t="s">
        <v>106</v>
      </c>
      <c r="AU329" s="42">
        <v>64.126189249999996</v>
      </c>
      <c r="AV329" s="4" t="s">
        <v>18</v>
      </c>
      <c r="AZ329" s="109" t="s">
        <v>222</v>
      </c>
      <c r="BH329" s="109" t="s">
        <v>218</v>
      </c>
      <c r="BU329" s="14">
        <f>BH331</f>
        <v>263.38984466839196</v>
      </c>
      <c r="BV329" s="48">
        <f>BW333-BH331</f>
        <v>997.80205329050386</v>
      </c>
      <c r="BW329" s="48" t="s">
        <v>245</v>
      </c>
      <c r="BX329" s="10"/>
      <c r="BY329" s="10"/>
      <c r="BZ329" s="113">
        <f>BW335</f>
        <v>97.579210742705996</v>
      </c>
    </row>
    <row r="330" spans="27:87" x14ac:dyDescent="0.25">
      <c r="AE330" s="109" t="s">
        <v>119</v>
      </c>
      <c r="AL330" s="18" t="s">
        <v>36</v>
      </c>
      <c r="AN330" s="455"/>
      <c r="AO330" s="456"/>
      <c r="AQ330" s="18" t="s">
        <v>36</v>
      </c>
      <c r="AU330" s="42">
        <v>5.3438489999999996</v>
      </c>
      <c r="AV330" s="4" t="s">
        <v>15</v>
      </c>
      <c r="AZ330" s="14" t="s">
        <v>35</v>
      </c>
      <c r="BH330" s="14" t="s">
        <v>35</v>
      </c>
      <c r="BJ330" s="421" t="s">
        <v>139</v>
      </c>
      <c r="BK330" s="421"/>
      <c r="BL330" s="10"/>
      <c r="BU330" s="443" t="s">
        <v>246</v>
      </c>
      <c r="BV330" s="421" t="s">
        <v>139</v>
      </c>
      <c r="BW330" s="421"/>
      <c r="BX330" s="10"/>
      <c r="BY330" s="10"/>
      <c r="BZ330" s="47" t="s">
        <v>34</v>
      </c>
    </row>
    <row r="331" spans="27:87" ht="18.75" x14ac:dyDescent="0.3">
      <c r="AE331" s="14" t="s">
        <v>35</v>
      </c>
      <c r="AL331" s="19">
        <v>1E-4</v>
      </c>
      <c r="AN331" s="455"/>
      <c r="AO331" s="456"/>
      <c r="AQ331" s="19">
        <v>6.9599999999999995E-2</v>
      </c>
      <c r="AU331" s="165">
        <f>ROUNDUP(BH331/AU329,0)</f>
        <v>5</v>
      </c>
      <c r="AV331" s="165" t="s">
        <v>217</v>
      </c>
      <c r="AZ331" s="1">
        <f>AZ327</f>
        <v>320.63094624999997</v>
      </c>
      <c r="BH331" s="1">
        <f>SUM(BY335:BY342)+BW339</f>
        <v>263.38984466839196</v>
      </c>
      <c r="BJ331" s="421"/>
      <c r="BK331" s="421"/>
      <c r="BL331" s="10"/>
      <c r="BT331" s="13"/>
      <c r="BU331" s="444"/>
      <c r="BV331" s="421"/>
      <c r="BW331" s="421"/>
      <c r="BX331" s="10"/>
      <c r="BY331" s="10"/>
      <c r="BZ331" s="118" t="s">
        <v>138</v>
      </c>
      <c r="CH331" s="409" t="s">
        <v>51</v>
      </c>
      <c r="CI331" s="409"/>
    </row>
    <row r="332" spans="27:87" ht="15.75" thickBot="1" x14ac:dyDescent="0.3">
      <c r="AE332" s="1">
        <f>AE328</f>
        <v>341.23212580845507</v>
      </c>
      <c r="AL332" s="18"/>
      <c r="AN332" s="457"/>
      <c r="AO332" s="458"/>
      <c r="AQ332" s="18">
        <f>AQ333-AQ337</f>
        <v>22.315913858999977</v>
      </c>
      <c r="AZ332" s="15" t="s">
        <v>36</v>
      </c>
      <c r="BD332" s="410" t="s">
        <v>219</v>
      </c>
      <c r="BE332" s="410"/>
      <c r="BH332" s="15" t="s">
        <v>36</v>
      </c>
      <c r="BJ332" s="154" t="s">
        <v>1</v>
      </c>
      <c r="BK332" s="115" t="s">
        <v>1</v>
      </c>
      <c r="BL332" s="167" t="s">
        <v>211</v>
      </c>
      <c r="BS332" s="71" t="s">
        <v>216</v>
      </c>
      <c r="BT332" s="67">
        <f>SUM(BT335:BT341)</f>
        <v>0.33391831679015999</v>
      </c>
      <c r="BU332" s="115" t="s">
        <v>213</v>
      </c>
      <c r="BV332" s="154" t="s">
        <v>1</v>
      </c>
      <c r="BW332" s="115" t="s">
        <v>1</v>
      </c>
      <c r="BX332" s="167" t="s">
        <v>211</v>
      </c>
      <c r="BY332" s="10"/>
      <c r="BZ332" s="48" t="s">
        <v>35</v>
      </c>
      <c r="CH332" s="142" t="str">
        <f>CI339</f>
        <v>unidad resortada</v>
      </c>
      <c r="CI332" s="143">
        <f>CL331</f>
        <v>0</v>
      </c>
    </row>
    <row r="333" spans="27:87" ht="18.75" x14ac:dyDescent="0.3">
      <c r="AB333" s="24" t="s">
        <v>51</v>
      </c>
      <c r="AC333" s="24"/>
      <c r="AE333" s="15" t="s">
        <v>36</v>
      </c>
      <c r="AL333" s="1">
        <f>AO341</f>
        <v>342.94686010899994</v>
      </c>
      <c r="AQ333" s="1">
        <f>AQ337+AQ337*AQ331</f>
        <v>342.94686010899994</v>
      </c>
      <c r="AU333" s="165"/>
      <c r="AV333" s="166"/>
      <c r="AZ333" s="17"/>
      <c r="BD333" s="410"/>
      <c r="BE333" s="410"/>
      <c r="BH333" s="17">
        <f>IF(BH326=BH327,BH327-BH331,BH326-BH331)</f>
        <v>-263.38984466839196</v>
      </c>
      <c r="BJ333" s="171">
        <f>BV333</f>
        <v>1261.1918979588959</v>
      </c>
      <c r="BK333" s="67">
        <f>BW333</f>
        <v>1261.1918979588959</v>
      </c>
      <c r="BL333" s="167">
        <f>BK333/SUM(BK334:BK339)*100</f>
        <v>284.87939053168122</v>
      </c>
      <c r="BS333" s="172" t="s">
        <v>215</v>
      </c>
      <c r="BT333" s="172" t="s">
        <v>215</v>
      </c>
      <c r="BU333" s="169" t="s">
        <v>214</v>
      </c>
      <c r="BV333" s="171">
        <f>BW333</f>
        <v>1261.1918979588959</v>
      </c>
      <c r="BW333" s="67">
        <f>SUM(BW335:BW342)</f>
        <v>1261.1918979588959</v>
      </c>
      <c r="BX333" s="167">
        <f>BW333/SUM(BW334:BW342)*100</f>
        <v>100</v>
      </c>
      <c r="BY333" s="10"/>
      <c r="BZ333" s="10">
        <f>CI348</f>
        <v>92.93258165972</v>
      </c>
      <c r="CH333" s="115">
        <f>CI342</f>
        <v>110</v>
      </c>
      <c r="CI333" s="141" t="str">
        <f>CI341</f>
        <v>en unidades</v>
      </c>
    </row>
    <row r="334" spans="27:87" ht="18.75" x14ac:dyDescent="0.3">
      <c r="AB334" s="475" t="s">
        <v>120</v>
      </c>
      <c r="AC334" s="476"/>
      <c r="AD334" s="6" t="s">
        <v>2</v>
      </c>
      <c r="AE334" s="17">
        <f>IF(AE327=AE328,AE328-AE332,AE327-AE332)</f>
        <v>-341.23212580845507</v>
      </c>
      <c r="AL334" s="13" t="s">
        <v>34</v>
      </c>
      <c r="AQ334" s="13" t="s">
        <v>34</v>
      </c>
      <c r="AU334" s="165"/>
      <c r="AV334" s="165"/>
      <c r="AZ334" s="20"/>
      <c r="BD334" s="6" t="s">
        <v>1</v>
      </c>
      <c r="BE334" s="6" t="s">
        <v>1</v>
      </c>
      <c r="BF334" s="6" t="s">
        <v>42</v>
      </c>
      <c r="BH334" s="28" t="s">
        <v>45</v>
      </c>
      <c r="BJ334" s="423" t="str">
        <f>BV334</f>
        <v>Por semiortopédico resortado</v>
      </c>
      <c r="BK334" s="53" t="str">
        <f>BW334</f>
        <v>en kg + desperdicios</v>
      </c>
      <c r="BL334" s="164"/>
      <c r="BS334" s="115" t="s">
        <v>30</v>
      </c>
      <c r="BT334" s="115" t="s">
        <v>1</v>
      </c>
      <c r="BU334" s="67"/>
      <c r="BV334" s="423" t="s">
        <v>176</v>
      </c>
      <c r="BW334" s="117" t="s">
        <v>42</v>
      </c>
      <c r="BX334" s="164"/>
      <c r="BY334" s="10" t="s">
        <v>243</v>
      </c>
      <c r="BZ334" s="50" t="s">
        <v>36</v>
      </c>
      <c r="CH334" s="115">
        <f>CJ342</f>
        <v>2138.4</v>
      </c>
      <c r="CI334" s="141" t="str">
        <f>CJ341</f>
        <v>en kg</v>
      </c>
    </row>
    <row r="335" spans="27:87" x14ac:dyDescent="0.25">
      <c r="AA335" s="477" t="s">
        <v>121</v>
      </c>
      <c r="AB335" s="12" t="str">
        <f>AI341</f>
        <v>Agua</v>
      </c>
      <c r="AC335" s="4">
        <f>AK341</f>
        <v>10.288405803269997</v>
      </c>
      <c r="AD335" s="7" t="s">
        <v>18</v>
      </c>
      <c r="AE335" s="28" t="s">
        <v>45</v>
      </c>
      <c r="AL335" s="109" t="s">
        <v>84</v>
      </c>
      <c r="AQ335" s="29" t="s">
        <v>85</v>
      </c>
      <c r="BD335" s="27">
        <f>BE335</f>
        <v>320.63094624999997</v>
      </c>
      <c r="BE335" s="4">
        <f>AZ331</f>
        <v>320.63094624999997</v>
      </c>
      <c r="BF335" s="6"/>
      <c r="BJ335" s="423"/>
      <c r="BK335" s="53">
        <f>BW335</f>
        <v>97.579210742705996</v>
      </c>
      <c r="BL335" s="164">
        <f t="shared" ref="BL335:BL338" si="68">BK335/$BW$333*100</f>
        <v>7.7370629244151905</v>
      </c>
      <c r="BS335" s="182">
        <f>BU335/$CH$376</f>
        <v>28795.756000000001</v>
      </c>
      <c r="BT335" s="174">
        <f>BU335*0.05</f>
        <v>0.11170737625080002</v>
      </c>
      <c r="BU335" s="67">
        <f>CJ376*CN351</f>
        <v>2.2341475250160001</v>
      </c>
      <c r="BV335" s="423"/>
      <c r="BW335" s="117">
        <f>BZ333+BZ333*0.05</f>
        <v>97.579210742705996</v>
      </c>
      <c r="BX335" s="164">
        <f t="shared" ref="BX335:BX342" si="69">BW335/$BW$333*100</f>
        <v>7.7370629244151905</v>
      </c>
      <c r="BY335" s="10">
        <f>CN351*(CJ373+CJ378)</f>
        <v>20.948534134703998</v>
      </c>
      <c r="BZ335" s="53" t="s">
        <v>63</v>
      </c>
    </row>
    <row r="336" spans="27:87" x14ac:dyDescent="0.25">
      <c r="AA336" s="477"/>
      <c r="AB336" s="12" t="str">
        <f t="shared" ref="AB336:AB341" si="70">AI342</f>
        <v>Poliol</v>
      </c>
      <c r="AC336" s="4">
        <f t="shared" ref="AC336:AC342" si="71">AK342</f>
        <v>216.05652186866996</v>
      </c>
      <c r="AD336" s="7" t="s">
        <v>18</v>
      </c>
      <c r="AL336" s="14" t="s">
        <v>35</v>
      </c>
      <c r="AQ336" s="14" t="s">
        <v>35</v>
      </c>
      <c r="BD336" s="14"/>
      <c r="BJ336" s="53" t="str">
        <f>BV336</f>
        <v>Por semi anatómico</v>
      </c>
      <c r="BK336" s="53">
        <f>BW336</f>
        <v>118.60097202535512</v>
      </c>
      <c r="BL336" s="164">
        <f t="shared" si="68"/>
        <v>9.4038799501723815</v>
      </c>
      <c r="BS336" s="182">
        <f t="shared" ref="BS336:BS337" si="72">BU336/$CH$376</f>
        <v>2977.1904000000004</v>
      </c>
      <c r="BT336" s="115">
        <f t="shared" ref="BT336:BT337" si="73">BU336*0.05</f>
        <v>1.1549414718720001E-2</v>
      </c>
      <c r="BU336" s="67">
        <f>CJ450*CN425</f>
        <v>0.23098829437440002</v>
      </c>
      <c r="BV336" s="117" t="str">
        <f>BV408</f>
        <v>Por semi anatómico</v>
      </c>
      <c r="BW336" s="180">
        <f>BW409</f>
        <v>118.60097202535512</v>
      </c>
      <c r="BX336" s="164">
        <f t="shared" si="69"/>
        <v>9.4038799501723815</v>
      </c>
      <c r="BY336" s="10">
        <f>CN425*(CJ447+CJ452)</f>
        <v>19.686358396439999</v>
      </c>
      <c r="BZ336" s="28"/>
    </row>
    <row r="337" spans="27:94" x14ac:dyDescent="0.25">
      <c r="AA337" s="477"/>
      <c r="AB337" s="12" t="str">
        <f t="shared" si="70"/>
        <v>TDI</v>
      </c>
      <c r="AC337" s="4">
        <f t="shared" si="71"/>
        <v>111.45772953542499</v>
      </c>
      <c r="AD337" s="7" t="s">
        <v>18</v>
      </c>
      <c r="AL337" s="1">
        <f>AO341</f>
        <v>342.94686010899994</v>
      </c>
      <c r="AQ337">
        <f>AU329*AU331</f>
        <v>320.63094624999997</v>
      </c>
      <c r="AZ337" s="216">
        <f>BH337</f>
        <v>57.241101581608007</v>
      </c>
      <c r="BA337" s="14"/>
      <c r="BB337" s="14"/>
      <c r="BC337" s="14"/>
      <c r="BD337" s="14"/>
      <c r="BE337" s="14"/>
      <c r="BF337" s="14"/>
      <c r="BG337" s="14"/>
      <c r="BH337" s="216">
        <f>BH327-BH331</f>
        <v>57.241101581608007</v>
      </c>
      <c r="BJ337" s="53" t="str">
        <f>BV337</f>
        <v>Por anatómico</v>
      </c>
      <c r="BK337" s="53">
        <f>BW337</f>
        <v>108.07991805536395</v>
      </c>
      <c r="BL337" s="164">
        <f t="shared" si="68"/>
        <v>8.5696647933022501</v>
      </c>
      <c r="BS337" s="182">
        <f t="shared" si="72"/>
        <v>2713.0848000000001</v>
      </c>
      <c r="BT337" s="115">
        <f t="shared" si="73"/>
        <v>1.0524869864640001E-2</v>
      </c>
      <c r="BU337" s="67">
        <f>CJ526*CN501</f>
        <v>0.21049739729280001</v>
      </c>
      <c r="BV337" s="117" t="str">
        <f>BV484</f>
        <v>Por anatómico</v>
      </c>
      <c r="BW337" s="180">
        <f>BW485</f>
        <v>108.07991805536395</v>
      </c>
      <c r="BX337" s="164">
        <f t="shared" si="69"/>
        <v>8.5696647933022501</v>
      </c>
      <c r="BY337" s="10">
        <f>CN501*(CJ523+CJ528)</f>
        <v>17.939987893529999</v>
      </c>
      <c r="BZ337" s="16"/>
    </row>
    <row r="338" spans="27:94" x14ac:dyDescent="0.25">
      <c r="AA338" s="477"/>
      <c r="AB338" s="12" t="str">
        <f t="shared" si="70"/>
        <v>Amina</v>
      </c>
      <c r="AC338" s="4">
        <f t="shared" si="71"/>
        <v>0.68589372021799988</v>
      </c>
      <c r="AD338" s="7" t="s">
        <v>18</v>
      </c>
      <c r="AE338" s="21">
        <f>SUM(AC335:AC342)-SUM(AK341:AK348)</f>
        <v>0</v>
      </c>
      <c r="AI338" s="410" t="s">
        <v>107</v>
      </c>
      <c r="AJ338" s="410"/>
      <c r="AL338" s="15" t="s">
        <v>36</v>
      </c>
      <c r="AN338" s="410" t="s">
        <v>103</v>
      </c>
      <c r="AO338" s="410"/>
      <c r="AQ338" s="15" t="s">
        <v>36</v>
      </c>
      <c r="AZ338" s="14" t="s">
        <v>244</v>
      </c>
      <c r="BA338" s="14"/>
      <c r="BB338" s="14"/>
      <c r="BC338" s="14"/>
      <c r="BD338" s="14"/>
      <c r="BE338" s="14"/>
      <c r="BF338" s="14"/>
      <c r="BG338" s="14"/>
      <c r="BH338" s="14"/>
      <c r="BJ338" s="53" t="str">
        <f>BV338</f>
        <v>Por ortopédico resortado</v>
      </c>
      <c r="BK338" s="53">
        <f>BW338</f>
        <v>102.90169343279281</v>
      </c>
      <c r="BL338" s="164">
        <f t="shared" si="68"/>
        <v>8.1590829753448464</v>
      </c>
      <c r="BS338" s="182">
        <f>BU338/$CH$376</f>
        <v>30366.433599999997</v>
      </c>
      <c r="BT338" s="115">
        <f>BU338*0.05</f>
        <v>0.11780050586447999</v>
      </c>
      <c r="BU338" s="67">
        <f>CJ604*CN579</f>
        <v>2.3560101172895997</v>
      </c>
      <c r="BV338" s="117" t="str">
        <f>BV562</f>
        <v>Por ortopédico resortado</v>
      </c>
      <c r="BW338" s="180">
        <f>BW563</f>
        <v>102.90169343279281</v>
      </c>
      <c r="BX338" s="164">
        <f t="shared" si="69"/>
        <v>8.1590829753448464</v>
      </c>
      <c r="BY338" s="10">
        <f>CN579*(CJ601+CJ606)</f>
        <v>22.091162675846402</v>
      </c>
      <c r="BZ338" s="10"/>
    </row>
    <row r="339" spans="27:94" x14ac:dyDescent="0.25">
      <c r="AA339" s="477"/>
      <c r="AB339" s="12" t="str">
        <f t="shared" si="70"/>
        <v>Estaño</v>
      </c>
      <c r="AC339" s="4">
        <f t="shared" si="71"/>
        <v>0.68589372021799988</v>
      </c>
      <c r="AD339" s="7" t="s">
        <v>18</v>
      </c>
      <c r="AI339" s="410"/>
      <c r="AJ339" s="410"/>
      <c r="AL339" s="17">
        <f>IF(AL332=AL333,AL333-AL337,AL332-AL337)</f>
        <v>-342.94686010899994</v>
      </c>
      <c r="AN339" s="410"/>
      <c r="AO339" s="410"/>
      <c r="AQ339" s="17"/>
      <c r="BJ339" s="53" t="str">
        <f>BV339</f>
        <v>Por tapas almohada triturada</v>
      </c>
      <c r="BK339" s="53">
        <f>BW339</f>
        <v>15.549029999999998</v>
      </c>
      <c r="BL339" s="164">
        <f>BK339/$BW$333*100</f>
        <v>1.2328837526758964</v>
      </c>
      <c r="BS339" s="182"/>
      <c r="BT339" s="14"/>
      <c r="BV339" s="117" t="str">
        <f>BF54</f>
        <v>Por tapas almohada triturada</v>
      </c>
      <c r="BW339" s="117">
        <f>BG55</f>
        <v>15.549029999999998</v>
      </c>
      <c r="BX339" s="164">
        <f t="shared" si="69"/>
        <v>1.2328837526758964</v>
      </c>
      <c r="BY339" s="48"/>
      <c r="BZ339" s="52">
        <f>BW335-CI348</f>
        <v>4.6466290829859958</v>
      </c>
      <c r="CI339" s="410" t="s">
        <v>174</v>
      </c>
      <c r="CJ339" s="410"/>
    </row>
    <row r="340" spans="27:94" x14ac:dyDescent="0.25">
      <c r="AA340" s="477"/>
      <c r="AB340" s="12" t="str">
        <f t="shared" si="70"/>
        <v>Siliciona</v>
      </c>
      <c r="AC340" s="4">
        <f t="shared" si="71"/>
        <v>0.68589372021799988</v>
      </c>
      <c r="AD340" s="7" t="s">
        <v>18</v>
      </c>
      <c r="AI340" s="6" t="s">
        <v>108</v>
      </c>
      <c r="AJ340" s="6" t="s">
        <v>118</v>
      </c>
      <c r="AK340" s="6" t="s">
        <v>117</v>
      </c>
      <c r="AL340" s="28" t="s">
        <v>45</v>
      </c>
      <c r="AN340" s="6" t="s">
        <v>50</v>
      </c>
      <c r="AO340" s="6" t="s">
        <v>1</v>
      </c>
      <c r="AP340" s="6" t="s">
        <v>42</v>
      </c>
      <c r="AQ340" s="28"/>
      <c r="BS340" s="182">
        <f t="shared" ref="BS340" si="74">BU340/$CH$376</f>
        <v>7178.8704000000007</v>
      </c>
      <c r="BT340" s="173">
        <f>BU340*0.05</f>
        <v>2.7848991942720003E-2</v>
      </c>
      <c r="BU340">
        <f>CL232*CH257</f>
        <v>0.55697983885440006</v>
      </c>
      <c r="BV340" s="34" t="str">
        <f>BT215</f>
        <v>Por tapa y bandas sensaflex</v>
      </c>
      <c r="BW340" s="34">
        <f>BU216</f>
        <v>285.98137609339659</v>
      </c>
      <c r="BX340" s="164">
        <f t="shared" si="69"/>
        <v>22.675484718560817</v>
      </c>
      <c r="BY340">
        <f>CL232*(CH254+CH259)</f>
        <v>47.469525488190001</v>
      </c>
      <c r="CI340" s="410"/>
      <c r="CJ340" s="410"/>
    </row>
    <row r="341" spans="27:94" x14ac:dyDescent="0.25">
      <c r="AA341" s="477"/>
      <c r="AB341" s="12" t="str">
        <f t="shared" si="70"/>
        <v>Polimérico</v>
      </c>
      <c r="AC341" s="4">
        <f t="shared" si="71"/>
        <v>0.68589372021799988</v>
      </c>
      <c r="AD341" s="7" t="s">
        <v>18</v>
      </c>
      <c r="AI341" s="6" t="s">
        <v>109</v>
      </c>
      <c r="AJ341" s="105">
        <v>0.03</v>
      </c>
      <c r="AK341" s="6">
        <f>AJ341*$AL$333</f>
        <v>10.288405803269997</v>
      </c>
      <c r="AN341" s="27">
        <f>AO341*(1/1005)</f>
        <v>0.34124065682487553</v>
      </c>
      <c r="AO341" s="4">
        <f>AQ333</f>
        <v>342.94686010899994</v>
      </c>
      <c r="AP341" s="6">
        <f>IF(AQ339&gt;0,AO341+AQ339/2,AO341)</f>
        <v>342.94686010899994</v>
      </c>
      <c r="AQ341" s="16"/>
      <c r="BS341" s="182">
        <f>BU341/$CH$376</f>
        <v>14045.616000000002</v>
      </c>
      <c r="BT341" s="173">
        <f>BU341*0.05</f>
        <v>5.4487158148800008E-2</v>
      </c>
      <c r="BU341">
        <f>CL176*CH201</f>
        <v>1.0897431629760002</v>
      </c>
      <c r="BV341" s="34" t="str">
        <f>BT159</f>
        <v>Por tapa  Colchoneta</v>
      </c>
      <c r="BW341" s="34">
        <f>BU160</f>
        <v>370.8580502521441</v>
      </c>
      <c r="BX341" s="164">
        <f t="shared" si="69"/>
        <v>29.40536256634206</v>
      </c>
      <c r="BY341">
        <f>CG173*(CH198)</f>
        <v>92.874599999999987</v>
      </c>
      <c r="CI341" s="6" t="s">
        <v>4</v>
      </c>
      <c r="CJ341" s="6" t="s">
        <v>1</v>
      </c>
    </row>
    <row r="342" spans="27:94" x14ac:dyDescent="0.25">
      <c r="AA342" s="477"/>
      <c r="AB342" s="12" t="str">
        <f>AI348</f>
        <v>Cloruro de Metilo</v>
      </c>
      <c r="AC342" s="4">
        <f t="shared" si="71"/>
        <v>0.68589372021799988</v>
      </c>
      <c r="AD342" s="7" t="s">
        <v>18</v>
      </c>
      <c r="AI342" s="4" t="s">
        <v>110</v>
      </c>
      <c r="AJ342" s="105">
        <v>0.63</v>
      </c>
      <c r="AK342" s="6">
        <f t="shared" ref="AK342:AK348" si="75">AJ342*$AL$333</f>
        <v>216.05652186866996</v>
      </c>
      <c r="AN342" s="14" t="s">
        <v>104</v>
      </c>
      <c r="BS342" s="182">
        <f>BU342/$CH$376</f>
        <v>4057.6224000000002</v>
      </c>
      <c r="BT342" s="173">
        <f>BU342*0.05</f>
        <v>1.5740734576320001E-2</v>
      </c>
      <c r="BU342">
        <f>CM701*CI726</f>
        <v>0.31481469152640001</v>
      </c>
      <c r="BV342" s="34" t="str">
        <f>BU684</f>
        <v>Por tapa y bandas cassata</v>
      </c>
      <c r="BW342" s="34">
        <f>BV685</f>
        <v>161.64164735713723</v>
      </c>
      <c r="BX342" s="164">
        <f t="shared" si="69"/>
        <v>12.816578319186553</v>
      </c>
      <c r="BY342">
        <f>CM701*(CI723+CJ378)</f>
        <v>26.830646079681596</v>
      </c>
      <c r="CI342" s="6">
        <f>CN351*CC379</f>
        <v>110</v>
      </c>
      <c r="CJ342" s="4">
        <f>CN351*CJ379</f>
        <v>2138.4</v>
      </c>
    </row>
    <row r="343" spans="27:94" x14ac:dyDescent="0.25">
      <c r="AI343" s="4" t="s">
        <v>111</v>
      </c>
      <c r="AJ343" s="105">
        <v>0.32500000000000001</v>
      </c>
      <c r="AK343" s="6">
        <f t="shared" si="75"/>
        <v>111.45772953542499</v>
      </c>
      <c r="AL343" s="21">
        <f>AL333-AL337</f>
        <v>0</v>
      </c>
      <c r="AQ343" s="22">
        <f>AQ333-AQ337</f>
        <v>22.315913858999977</v>
      </c>
    </row>
    <row r="344" spans="27:94" x14ac:dyDescent="0.25">
      <c r="AI344" s="4" t="s">
        <v>112</v>
      </c>
      <c r="AJ344" s="105">
        <v>2E-3</v>
      </c>
      <c r="AK344" s="6">
        <f t="shared" si="75"/>
        <v>0.68589372021799988</v>
      </c>
    </row>
    <row r="345" spans="27:94" x14ac:dyDescent="0.25">
      <c r="AI345" s="4" t="s">
        <v>113</v>
      </c>
      <c r="AJ345" s="105">
        <v>2E-3</v>
      </c>
      <c r="AK345" s="6">
        <f t="shared" si="75"/>
        <v>0.68589372021799988</v>
      </c>
      <c r="CI345" s="424" t="s">
        <v>141</v>
      </c>
      <c r="CJ345" s="425"/>
    </row>
    <row r="346" spans="27:94" x14ac:dyDescent="0.25">
      <c r="AI346" s="4" t="s">
        <v>114</v>
      </c>
      <c r="AJ346" s="105">
        <v>2E-3</v>
      </c>
      <c r="AK346" s="6">
        <f t="shared" si="75"/>
        <v>0.68589372021799988</v>
      </c>
      <c r="CI346" s="426"/>
      <c r="CJ346" s="427"/>
    </row>
    <row r="347" spans="27:94" x14ac:dyDescent="0.25">
      <c r="AI347" s="4" t="s">
        <v>115</v>
      </c>
      <c r="AJ347" s="105">
        <v>2E-3</v>
      </c>
      <c r="AK347" s="6">
        <f t="shared" si="75"/>
        <v>0.68589372021799988</v>
      </c>
      <c r="CI347" s="6" t="s">
        <v>1</v>
      </c>
      <c r="CJ347" s="6" t="s">
        <v>1</v>
      </c>
    </row>
    <row r="348" spans="27:94" x14ac:dyDescent="0.25">
      <c r="AI348" s="4" t="s">
        <v>116</v>
      </c>
      <c r="AJ348" s="105">
        <v>2E-3</v>
      </c>
      <c r="AK348" s="6">
        <f t="shared" si="75"/>
        <v>0.68589372021799988</v>
      </c>
      <c r="CD348" s="1"/>
      <c r="CI348" s="6">
        <f>CJ348</f>
        <v>92.93258165972</v>
      </c>
      <c r="CJ348" s="4">
        <f>CN351*(CJ373+CJ374+CJ376+CJ377+CJ378)</f>
        <v>92.93258165972</v>
      </c>
    </row>
    <row r="349" spans="27:94" ht="15.75" thickBot="1" x14ac:dyDescent="0.3">
      <c r="AZ349" s="19">
        <v>1E-4</v>
      </c>
      <c r="CD349" s="18" t="s">
        <v>36</v>
      </c>
      <c r="CL349">
        <f>CJ348+CJ354+CJ358+CK362+CK366+CJ342</f>
        <v>2348.702282625366</v>
      </c>
      <c r="CN349" s="430" t="s">
        <v>52</v>
      </c>
      <c r="CO349" s="431"/>
    </row>
    <row r="350" spans="27:94" x14ac:dyDescent="0.25">
      <c r="AZ350" s="18"/>
      <c r="BI350" s="453" t="s">
        <v>208</v>
      </c>
      <c r="BJ350" s="454"/>
      <c r="CD350" s="19">
        <v>1.0000000000000001E-5</v>
      </c>
      <c r="CL350" s="13" t="s">
        <v>34</v>
      </c>
      <c r="CN350" s="417" t="s">
        <v>201</v>
      </c>
      <c r="CO350" s="418"/>
      <c r="CP350" s="127" t="s">
        <v>172</v>
      </c>
    </row>
    <row r="351" spans="27:94" x14ac:dyDescent="0.25">
      <c r="AZ351" s="34">
        <f>BG356</f>
        <v>4367.5787852987396</v>
      </c>
      <c r="BI351" s="455"/>
      <c r="BJ351" s="456"/>
      <c r="BX351" s="473" t="s">
        <v>87</v>
      </c>
      <c r="BY351" s="473"/>
      <c r="CD351" s="18">
        <f>CD352-CD356</f>
        <v>0</v>
      </c>
      <c r="CL351" s="109" t="s">
        <v>179</v>
      </c>
      <c r="CN351" s="184">
        <v>110</v>
      </c>
      <c r="CO351" s="4" t="s">
        <v>27</v>
      </c>
    </row>
    <row r="352" spans="27:94" x14ac:dyDescent="0.25">
      <c r="AZ352" s="13" t="s">
        <v>34</v>
      </c>
      <c r="BI352" s="455"/>
      <c r="BJ352" s="456"/>
      <c r="BL352" s="1" t="s">
        <v>106</v>
      </c>
      <c r="BX352" s="447" t="str">
        <f>CA357</f>
        <v>Bloque de espuma</v>
      </c>
      <c r="BY352" s="448"/>
      <c r="CD352" s="1">
        <f>CB361</f>
        <v>112.85999999999999</v>
      </c>
      <c r="CI352" s="428" t="s">
        <v>134</v>
      </c>
      <c r="CJ352" s="429"/>
      <c r="CL352" s="14" t="s">
        <v>35</v>
      </c>
      <c r="CN352" s="4">
        <f>CN351*CK377</f>
        <v>2348.702282625366</v>
      </c>
      <c r="CO352" s="4" t="s">
        <v>28</v>
      </c>
    </row>
    <row r="353" spans="48:93" x14ac:dyDescent="0.25">
      <c r="AZ353" s="109" t="s">
        <v>119</v>
      </c>
      <c r="BG353" s="18" t="s">
        <v>36</v>
      </c>
      <c r="BI353" s="455"/>
      <c r="BJ353" s="456"/>
      <c r="BL353" s="18" t="s">
        <v>36</v>
      </c>
      <c r="BX353" s="42">
        <v>94.962228550963189</v>
      </c>
      <c r="BY353" s="4" t="s">
        <v>18</v>
      </c>
      <c r="CD353" s="13" t="s">
        <v>34</v>
      </c>
      <c r="CI353" s="6" t="s">
        <v>50</v>
      </c>
      <c r="CJ353" s="6" t="s">
        <v>1</v>
      </c>
      <c r="CL353">
        <f>CN352</f>
        <v>2348.702282625366</v>
      </c>
    </row>
    <row r="354" spans="48:93" x14ac:dyDescent="0.25">
      <c r="AZ354" s="14" t="s">
        <v>35</v>
      </c>
      <c r="BG354" s="19">
        <v>1E-4</v>
      </c>
      <c r="BI354" s="455"/>
      <c r="BJ354" s="456"/>
      <c r="BL354" s="19">
        <v>6.9599999999999995E-2</v>
      </c>
      <c r="BX354" s="42">
        <v>5.2756793639423991</v>
      </c>
      <c r="BY354" s="4" t="s">
        <v>15</v>
      </c>
      <c r="CD354" s="109" t="s">
        <v>142</v>
      </c>
      <c r="CI354" s="6">
        <f>CN351*CF371</f>
        <v>6.27</v>
      </c>
      <c r="CJ354" s="4">
        <f>CN351*(CJ371)</f>
        <v>112.85999999999999</v>
      </c>
      <c r="CL354" s="15" t="s">
        <v>36</v>
      </c>
    </row>
    <row r="355" spans="48:93" ht="19.5" thickBot="1" x14ac:dyDescent="0.35">
      <c r="AZ355" s="1">
        <f>AZ351</f>
        <v>4367.5787852987396</v>
      </c>
      <c r="BG355" s="18"/>
      <c r="BI355" s="457"/>
      <c r="BJ355" s="458"/>
      <c r="BL355" s="18">
        <f>BL356-BL360</f>
        <v>284.20295760732233</v>
      </c>
      <c r="BX355" s="165">
        <f>ROUNDUP(CB360/BX353,0)</f>
        <v>43</v>
      </c>
      <c r="BY355" s="165" t="s">
        <v>209</v>
      </c>
      <c r="CD355" s="14" t="s">
        <v>35</v>
      </c>
      <c r="CL355" s="1">
        <f>CL349-CL353</f>
        <v>0</v>
      </c>
    </row>
    <row r="356" spans="48:93" x14ac:dyDescent="0.25">
      <c r="AW356" s="24" t="s">
        <v>51</v>
      </c>
      <c r="AX356" s="24"/>
      <c r="AZ356" s="15" t="s">
        <v>36</v>
      </c>
      <c r="BG356" s="1">
        <f>BJ364</f>
        <v>4367.5787852987396</v>
      </c>
      <c r="BL356" s="1">
        <f>BL360+BL360*BL354</f>
        <v>4367.5787852987396</v>
      </c>
      <c r="CD356">
        <f>CJ354</f>
        <v>112.85999999999999</v>
      </c>
      <c r="CI356" s="428" t="s">
        <v>98</v>
      </c>
      <c r="CJ356" s="429"/>
      <c r="CL356" s="28" t="s">
        <v>45</v>
      </c>
    </row>
    <row r="357" spans="48:93" ht="18.75" x14ac:dyDescent="0.3">
      <c r="AW357" s="475" t="s">
        <v>120</v>
      </c>
      <c r="AX357" s="476"/>
      <c r="AY357" s="6" t="s">
        <v>2</v>
      </c>
      <c r="AZ357" s="17">
        <f>IF(AZ350=AZ351,AZ351-AZ355,AZ350-AZ355)</f>
        <v>-4367.5787852987396</v>
      </c>
      <c r="BG357" s="13" t="s">
        <v>34</v>
      </c>
      <c r="BL357" s="13" t="s">
        <v>34</v>
      </c>
      <c r="BX357" s="165" t="s">
        <v>210</v>
      </c>
      <c r="BY357" s="166"/>
      <c r="CA357" s="474" t="s">
        <v>143</v>
      </c>
      <c r="CB357" s="474"/>
      <c r="CD357" s="15" t="s">
        <v>36</v>
      </c>
      <c r="CI357" s="6" t="s">
        <v>30</v>
      </c>
      <c r="CJ357" s="6" t="s">
        <v>1</v>
      </c>
    </row>
    <row r="358" spans="48:93" ht="18.75" x14ac:dyDescent="0.3">
      <c r="AV358" s="477" t="s">
        <v>121</v>
      </c>
      <c r="AW358" s="12" t="str">
        <f>BD364</f>
        <v>Agua</v>
      </c>
      <c r="AX358" s="4">
        <f>BF364</f>
        <v>131.02736355896218</v>
      </c>
      <c r="AY358" s="7" t="s">
        <v>18</v>
      </c>
      <c r="AZ358" s="28" t="s">
        <v>45</v>
      </c>
      <c r="BG358" s="109" t="s">
        <v>84</v>
      </c>
      <c r="BL358" s="109" t="s">
        <v>85</v>
      </c>
      <c r="BX358" s="165">
        <f>BX355*BX353-CB360</f>
        <v>89.157827691417424</v>
      </c>
      <c r="BY358" s="165" t="s">
        <v>102</v>
      </c>
      <c r="CA358" s="474"/>
      <c r="CB358" s="474"/>
      <c r="CD358" s="28" t="s">
        <v>45</v>
      </c>
      <c r="CI358" s="6">
        <f>CN351*CF375</f>
        <v>110</v>
      </c>
      <c r="CJ358" s="4">
        <f>CN351*(CJ375)</f>
        <v>0.93617021276595747</v>
      </c>
    </row>
    <row r="359" spans="48:93" x14ac:dyDescent="0.25">
      <c r="AV359" s="477"/>
      <c r="AW359" s="12" t="str">
        <f t="shared" ref="AW359:AW364" si="76">BD365</f>
        <v>Poliol</v>
      </c>
      <c r="AX359" s="4">
        <f t="shared" ref="AX359:AX365" si="77">BF365</f>
        <v>2751.574634738206</v>
      </c>
      <c r="AY359" s="7" t="s">
        <v>18</v>
      </c>
      <c r="BG359" s="14" t="s">
        <v>35</v>
      </c>
      <c r="BL359" s="14" t="s">
        <v>35</v>
      </c>
      <c r="CA359" s="6" t="s">
        <v>50</v>
      </c>
      <c r="CB359" s="6" t="s">
        <v>1</v>
      </c>
      <c r="CC359" s="167" t="s">
        <v>211</v>
      </c>
      <c r="CD359" s="28"/>
    </row>
    <row r="360" spans="48:93" x14ac:dyDescent="0.25">
      <c r="AV360" s="477"/>
      <c r="AW360" s="12" t="str">
        <f t="shared" si="76"/>
        <v>TDI</v>
      </c>
      <c r="AX360" s="4">
        <f t="shared" si="77"/>
        <v>1419.4631052220905</v>
      </c>
      <c r="AY360" s="7" t="s">
        <v>18</v>
      </c>
      <c r="BG360" s="1">
        <f>BJ364</f>
        <v>4367.5787852987396</v>
      </c>
      <c r="BL360">
        <f>BX353*BX355</f>
        <v>4083.3758276914173</v>
      </c>
      <c r="CA360" s="4">
        <f>SUM(CA361:CA364)</f>
        <v>221.90099999999998</v>
      </c>
      <c r="CB360" s="4">
        <f>SUM(CB361:CB364)</f>
        <v>3994.2179999999998</v>
      </c>
      <c r="CC360" s="167">
        <f>CB360/SUM(CB361:CB364)*100</f>
        <v>100</v>
      </c>
      <c r="CD360" s="16"/>
      <c r="CF360" s="409" t="s">
        <v>51</v>
      </c>
      <c r="CG360" s="409"/>
      <c r="CH360" s="144"/>
      <c r="CJ360" s="428" t="s">
        <v>137</v>
      </c>
      <c r="CK360" s="429"/>
    </row>
    <row r="361" spans="48:93" x14ac:dyDescent="0.25">
      <c r="AV361" s="477"/>
      <c r="AW361" s="12" t="str">
        <f t="shared" si="76"/>
        <v>Amina</v>
      </c>
      <c r="AX361" s="4">
        <f t="shared" si="77"/>
        <v>8.7351575705974795</v>
      </c>
      <c r="AY361" s="7" t="s">
        <v>18</v>
      </c>
      <c r="AZ361" s="21">
        <f>SUM(AX358:AX365)-SUM(BF364:BF371)</f>
        <v>0</v>
      </c>
      <c r="BD361" s="410" t="s">
        <v>107</v>
      </c>
      <c r="BE361" s="410"/>
      <c r="BG361" s="15" t="s">
        <v>36</v>
      </c>
      <c r="BI361" s="410" t="s">
        <v>103</v>
      </c>
      <c r="BJ361" s="410"/>
      <c r="BL361" s="15" t="s">
        <v>36</v>
      </c>
      <c r="BZ361" s="14" t="s">
        <v>177</v>
      </c>
      <c r="CA361" s="14">
        <f>CF371*CN351</f>
        <v>6.27</v>
      </c>
      <c r="CB361" s="14">
        <f>CJ371*CN351</f>
        <v>112.85999999999999</v>
      </c>
      <c r="CC361" s="164">
        <f>CB361/$CB$360*100</f>
        <v>2.8255843822245055</v>
      </c>
      <c r="CF361" s="142" t="s">
        <v>98</v>
      </c>
      <c r="CG361" s="143" t="str">
        <f>CJ360</f>
        <v>Hilo</v>
      </c>
      <c r="CH361" s="72"/>
      <c r="CJ361" s="6" t="s">
        <v>30</v>
      </c>
      <c r="CK361" s="6" t="s">
        <v>1</v>
      </c>
      <c r="CO361" t="s">
        <v>91</v>
      </c>
    </row>
    <row r="362" spans="48:93" x14ac:dyDescent="0.25">
      <c r="AV362" s="477"/>
      <c r="AW362" s="12" t="str">
        <f t="shared" si="76"/>
        <v>Estaño</v>
      </c>
      <c r="AX362" s="4">
        <f t="shared" si="77"/>
        <v>8.7351575705974795</v>
      </c>
      <c r="AY362" s="7" t="s">
        <v>18</v>
      </c>
      <c r="BD362" s="410"/>
      <c r="BE362" s="410"/>
      <c r="BG362" s="17">
        <f>IF(BG355=BG356,BG356-BG360,BG355-BG360)</f>
        <v>-4367.5787852987396</v>
      </c>
      <c r="BI362" s="410"/>
      <c r="BJ362" s="410"/>
      <c r="BL362" s="17"/>
      <c r="BZ362" s="14" t="str">
        <f>BY247</f>
        <v>Sensaflex</v>
      </c>
      <c r="CA362" s="14">
        <f>BZ247</f>
        <v>85.214999999999989</v>
      </c>
      <c r="CB362" s="14">
        <f t="shared" ref="CB362" si="78">CA247</f>
        <v>1533.87</v>
      </c>
      <c r="CC362" s="164">
        <f t="shared" ref="CC362:CC364" si="79">CB362/$CB$360*100</f>
        <v>38.402260467505776</v>
      </c>
      <c r="CD362" s="22">
        <f>CB361-CJ354</f>
        <v>0</v>
      </c>
      <c r="CF362" s="115">
        <f>CJ358</f>
        <v>0.93617021276595747</v>
      </c>
      <c r="CG362" s="141">
        <f>CK362</f>
        <v>0.49353075288000003</v>
      </c>
      <c r="CH362" s="4" t="s">
        <v>18</v>
      </c>
      <c r="CJ362" s="6">
        <f>CF372*CN351</f>
        <v>6361.08</v>
      </c>
      <c r="CK362" s="4">
        <f>CN351*(CJ372)</f>
        <v>0.49353075288000003</v>
      </c>
    </row>
    <row r="363" spans="48:93" x14ac:dyDescent="0.25">
      <c r="AV363" s="477"/>
      <c r="AW363" s="12" t="str">
        <f t="shared" si="76"/>
        <v>Siliciona</v>
      </c>
      <c r="AX363" s="4">
        <f>BF369</f>
        <v>8.7351575705974795</v>
      </c>
      <c r="AY363" s="7" t="s">
        <v>18</v>
      </c>
      <c r="BD363" s="6" t="s">
        <v>108</v>
      </c>
      <c r="BE363" s="6" t="s">
        <v>118</v>
      </c>
      <c r="BF363" s="6" t="s">
        <v>117</v>
      </c>
      <c r="BG363" s="28" t="s">
        <v>45</v>
      </c>
      <c r="BI363" s="6" t="s">
        <v>50</v>
      </c>
      <c r="BJ363" s="6" t="s">
        <v>1</v>
      </c>
      <c r="BK363" s="6" t="s">
        <v>42</v>
      </c>
      <c r="BL363" s="28"/>
      <c r="BZ363" s="14" t="str">
        <f>BY191</f>
        <v>Colchonetas</v>
      </c>
      <c r="CA363" s="14">
        <f t="shared" ref="CA363:CB363" si="80">BZ191</f>
        <v>111.15</v>
      </c>
      <c r="CB363" s="14">
        <f t="shared" si="80"/>
        <v>2000.7</v>
      </c>
      <c r="CC363" s="164">
        <f t="shared" si="79"/>
        <v>50.089904957616241</v>
      </c>
      <c r="CF363" s="115">
        <f>CI358</f>
        <v>110</v>
      </c>
      <c r="CG363" s="141">
        <f>CJ362</f>
        <v>6361.08</v>
      </c>
      <c r="CH363" s="4" t="s">
        <v>16</v>
      </c>
    </row>
    <row r="364" spans="48:93" x14ac:dyDescent="0.25">
      <c r="AV364" s="477"/>
      <c r="AW364" s="12" t="str">
        <f t="shared" si="76"/>
        <v>Polimérico</v>
      </c>
      <c r="AX364" s="4">
        <f t="shared" si="77"/>
        <v>8.7351575705974795</v>
      </c>
      <c r="AY364" s="7" t="s">
        <v>18</v>
      </c>
      <c r="BD364" s="6" t="s">
        <v>109</v>
      </c>
      <c r="BE364" s="105">
        <v>0.03</v>
      </c>
      <c r="BF364" s="6">
        <f>BE364*$BG$356</f>
        <v>131.02736355896218</v>
      </c>
      <c r="BI364" s="27">
        <f>BJ364*(1/1005)</f>
        <v>4.345849537610686</v>
      </c>
      <c r="BJ364" s="4">
        <f>BL356</f>
        <v>4367.5787852987396</v>
      </c>
      <c r="BK364" s="6">
        <f>IF(BL362&gt;0,BJ364+BL362/2,BJ364)</f>
        <v>4367.5787852987396</v>
      </c>
      <c r="BL364" s="16"/>
      <c r="BZ364" s="14" t="str">
        <f t="shared" ref="BZ364:CA364" si="81">BZ716</f>
        <v>Colchón Cassata</v>
      </c>
      <c r="CA364" s="14">
        <f t="shared" si="81"/>
        <v>19.265999999999998</v>
      </c>
      <c r="CB364" s="14">
        <f>CB716</f>
        <v>346.78799999999995</v>
      </c>
      <c r="CC364" s="164">
        <f t="shared" si="79"/>
        <v>8.6822501926534805</v>
      </c>
      <c r="CJ364" s="428" t="s">
        <v>161</v>
      </c>
      <c r="CK364" s="429"/>
    </row>
    <row r="365" spans="48:93" x14ac:dyDescent="0.25">
      <c r="AV365" s="477"/>
      <c r="AW365" s="12" t="str">
        <f>BD371</f>
        <v>Cloruro de Metilo</v>
      </c>
      <c r="AX365" s="4">
        <f t="shared" si="77"/>
        <v>8.7351575705974795</v>
      </c>
      <c r="AY365" s="7" t="s">
        <v>18</v>
      </c>
      <c r="BD365" s="4" t="s">
        <v>110</v>
      </c>
      <c r="BE365" s="105">
        <v>0.63</v>
      </c>
      <c r="BF365" s="6">
        <f t="shared" ref="BF365:BF370" si="82">BE365*$BG$356</f>
        <v>2751.574634738206</v>
      </c>
      <c r="BI365" s="14" t="s">
        <v>104</v>
      </c>
      <c r="CJ365" s="6" t="s">
        <v>4</v>
      </c>
      <c r="CK365" s="6" t="s">
        <v>1</v>
      </c>
    </row>
    <row r="366" spans="48:93" x14ac:dyDescent="0.25">
      <c r="BD366" s="4" t="s">
        <v>111</v>
      </c>
      <c r="BE366" s="105">
        <v>0.32500000000000001</v>
      </c>
      <c r="BF366" s="6">
        <f t="shared" si="82"/>
        <v>1419.4631052220905</v>
      </c>
      <c r="BG366" s="21">
        <f>BG356-BG360</f>
        <v>0</v>
      </c>
      <c r="BL366" s="22">
        <f>BL356-BL360</f>
        <v>284.20295760732233</v>
      </c>
      <c r="CJ366" s="6">
        <f>CN351*4</f>
        <v>440</v>
      </c>
      <c r="CK366" s="4">
        <f>CJ380*CN351</f>
        <v>3.08</v>
      </c>
    </row>
    <row r="367" spans="48:93" x14ac:dyDescent="0.25">
      <c r="BD367" s="4" t="s">
        <v>112</v>
      </c>
      <c r="BE367" s="105">
        <v>2E-3</v>
      </c>
      <c r="BF367" s="6">
        <f t="shared" si="82"/>
        <v>8.7351575705974795</v>
      </c>
    </row>
    <row r="368" spans="48:93" x14ac:dyDescent="0.25">
      <c r="BD368" s="4" t="s">
        <v>113</v>
      </c>
      <c r="BE368" s="105">
        <v>2E-3</v>
      </c>
      <c r="BF368" s="6">
        <f t="shared" si="82"/>
        <v>8.7351575705974795</v>
      </c>
    </row>
    <row r="369" spans="56:90" x14ac:dyDescent="0.25">
      <c r="BD369" s="4" t="s">
        <v>114</v>
      </c>
      <c r="BE369" s="105">
        <v>2E-3</v>
      </c>
      <c r="BF369" s="6">
        <f t="shared" si="82"/>
        <v>8.7351575705974795</v>
      </c>
      <c r="CC369" s="415" t="s">
        <v>188</v>
      </c>
      <c r="CD369" s="415"/>
      <c r="CE369" s="4" t="s">
        <v>19</v>
      </c>
      <c r="CF369" s="6" t="s">
        <v>20</v>
      </c>
      <c r="CG369" s="6" t="s">
        <v>2</v>
      </c>
      <c r="CH369" s="6" t="s">
        <v>21</v>
      </c>
      <c r="CI369" s="6" t="s">
        <v>2</v>
      </c>
      <c r="CJ369" s="11" t="s">
        <v>24</v>
      </c>
    </row>
    <row r="370" spans="56:90" x14ac:dyDescent="0.25">
      <c r="BD370" s="4" t="s">
        <v>115</v>
      </c>
      <c r="BE370" s="105">
        <v>2E-3</v>
      </c>
      <c r="BF370" s="6">
        <f t="shared" si="82"/>
        <v>8.7351575705974795</v>
      </c>
      <c r="CB370" s="153"/>
      <c r="CC370" s="68"/>
      <c r="CD370" s="68"/>
      <c r="CE370" s="23"/>
      <c r="CF370" s="23"/>
      <c r="CG370" s="23"/>
      <c r="CH370" s="23"/>
      <c r="CI370" s="23"/>
      <c r="CJ370" s="39"/>
    </row>
    <row r="371" spans="56:90" x14ac:dyDescent="0.25">
      <c r="BD371" s="4" t="s">
        <v>116</v>
      </c>
      <c r="BE371" s="105">
        <v>2E-3</v>
      </c>
      <c r="BF371" s="6">
        <f>BE371*$BG$356</f>
        <v>8.7351575705974795</v>
      </c>
      <c r="CB371" s="149" t="s">
        <v>128</v>
      </c>
      <c r="CC371" s="150">
        <f>100*190*3</f>
        <v>57000</v>
      </c>
      <c r="CD371" s="68" t="s">
        <v>26</v>
      </c>
      <c r="CE371" s="23">
        <v>9.9999999999999995E-7</v>
      </c>
      <c r="CF371" s="23">
        <f t="shared" ref="CF371:CF378" si="83">CC371*CE371</f>
        <v>5.6999999999999995E-2</v>
      </c>
      <c r="CG371" s="23" t="s">
        <v>15</v>
      </c>
      <c r="CH371" s="23">
        <v>18</v>
      </c>
      <c r="CI371" s="23" t="s">
        <v>13</v>
      </c>
      <c r="CJ371" s="23">
        <f>CF371*CH371</f>
        <v>1.0259999999999998</v>
      </c>
    </row>
    <row r="372" spans="56:90" x14ac:dyDescent="0.25">
      <c r="CB372" s="149" t="s">
        <v>130</v>
      </c>
      <c r="CC372" s="150">
        <f>5782.8</f>
        <v>5782.8</v>
      </c>
      <c r="CD372" s="68" t="s">
        <v>10</v>
      </c>
      <c r="CE372" s="23">
        <f>1/100</f>
        <v>0.01</v>
      </c>
      <c r="CF372" s="23">
        <f t="shared" si="83"/>
        <v>57.828000000000003</v>
      </c>
      <c r="CG372" s="23" t="s">
        <v>16</v>
      </c>
      <c r="CH372" s="23">
        <v>7.7585999999999999E-5</v>
      </c>
      <c r="CI372" s="23" t="s">
        <v>22</v>
      </c>
      <c r="CJ372" s="23">
        <f t="shared" ref="CJ372:CJ374" si="84">CF372*CH372</f>
        <v>4.4866432080000003E-3</v>
      </c>
    </row>
    <row r="373" spans="56:90" x14ac:dyDescent="0.25">
      <c r="CB373" s="149" t="s">
        <v>164</v>
      </c>
      <c r="CC373" s="150">
        <f>230*230*0.3</f>
        <v>15870</v>
      </c>
      <c r="CD373" s="68" t="s">
        <v>26</v>
      </c>
      <c r="CE373" s="23">
        <v>9.9999999999999995E-7</v>
      </c>
      <c r="CF373" s="23">
        <f t="shared" si="83"/>
        <v>1.5869999999999999E-2</v>
      </c>
      <c r="CG373" s="23" t="s">
        <v>15</v>
      </c>
      <c r="CH373" s="23">
        <v>12</v>
      </c>
      <c r="CI373" s="23" t="s">
        <v>13</v>
      </c>
      <c r="CJ373" s="23">
        <f t="shared" si="84"/>
        <v>0.19044</v>
      </c>
    </row>
    <row r="374" spans="56:90" x14ac:dyDescent="0.25">
      <c r="CB374" s="149" t="s">
        <v>127</v>
      </c>
      <c r="CC374" s="150">
        <v>59400</v>
      </c>
      <c r="CD374" s="68" t="s">
        <v>9</v>
      </c>
      <c r="CE374" s="23">
        <f>0.0001</f>
        <v>1E-4</v>
      </c>
      <c r="CF374" s="23">
        <f t="shared" si="83"/>
        <v>5.94</v>
      </c>
      <c r="CG374" s="23" t="s">
        <v>17</v>
      </c>
      <c r="CH374" s="23">
        <f>20/1000</f>
        <v>0.02</v>
      </c>
      <c r="CI374" s="23" t="s">
        <v>23</v>
      </c>
      <c r="CJ374" s="23">
        <f t="shared" si="84"/>
        <v>0.11880000000000002</v>
      </c>
    </row>
    <row r="375" spans="56:90" x14ac:dyDescent="0.25">
      <c r="CB375" s="149" t="s">
        <v>93</v>
      </c>
      <c r="CC375" s="150">
        <v>100</v>
      </c>
      <c r="CD375" s="68" t="s">
        <v>10</v>
      </c>
      <c r="CE375" s="23">
        <f>1/100</f>
        <v>0.01</v>
      </c>
      <c r="CF375" s="23">
        <f t="shared" si="83"/>
        <v>1</v>
      </c>
      <c r="CG375" s="23" t="s">
        <v>16</v>
      </c>
      <c r="CH375" s="23">
        <f>1/117.5</f>
        <v>8.5106382978723406E-3</v>
      </c>
      <c r="CI375" s="23" t="s">
        <v>22</v>
      </c>
      <c r="CJ375" s="23">
        <f>CF375*CH375</f>
        <v>8.5106382978723406E-3</v>
      </c>
    </row>
    <row r="376" spans="56:90" x14ac:dyDescent="0.25">
      <c r="CB376" s="137" t="s">
        <v>130</v>
      </c>
      <c r="CC376" s="150">
        <f>26177.96</f>
        <v>26177.96</v>
      </c>
      <c r="CD376" s="68" t="s">
        <v>10</v>
      </c>
      <c r="CE376" s="23">
        <f>1/100</f>
        <v>0.01</v>
      </c>
      <c r="CF376" s="23">
        <f t="shared" si="83"/>
        <v>261.77960000000002</v>
      </c>
      <c r="CG376" s="23" t="s">
        <v>16</v>
      </c>
      <c r="CH376" s="23">
        <v>7.7585999999999999E-5</v>
      </c>
      <c r="CI376" s="23" t="s">
        <v>22</v>
      </c>
      <c r="CJ376" s="23">
        <f>CF376*CH376</f>
        <v>2.0310432045599999E-2</v>
      </c>
      <c r="CK376" s="408" t="s">
        <v>204</v>
      </c>
      <c r="CL376" s="408"/>
    </row>
    <row r="377" spans="56:90" x14ac:dyDescent="0.25">
      <c r="CB377" s="137" t="s">
        <v>132</v>
      </c>
      <c r="CC377" s="151">
        <f>227*227</f>
        <v>51529</v>
      </c>
      <c r="CD377" s="131" t="s">
        <v>9</v>
      </c>
      <c r="CE377" s="39">
        <f>0.0001</f>
        <v>1E-4</v>
      </c>
      <c r="CF377" s="39">
        <f t="shared" si="83"/>
        <v>5.1528999999999998</v>
      </c>
      <c r="CG377" s="39" t="s">
        <v>17</v>
      </c>
      <c r="CH377" s="39">
        <v>0.1</v>
      </c>
      <c r="CI377" s="39" t="s">
        <v>23</v>
      </c>
      <c r="CJ377" s="39">
        <f>CF377*CH377</f>
        <v>0.51529000000000003</v>
      </c>
      <c r="CK377" s="4">
        <f>CJ371+CJ372+CJ373+CJ374+CJ375+CJ376+CJ377+CJ378+CJ379+CJ380</f>
        <v>21.351838932957872</v>
      </c>
      <c r="CL377" s="4" t="s">
        <v>18</v>
      </c>
    </row>
    <row r="378" spans="56:90" x14ac:dyDescent="0.25">
      <c r="CB378" s="149" t="s">
        <v>165</v>
      </c>
      <c r="CC378" s="152">
        <f>0.582*0.582*0.3</f>
        <v>0.10161719999999999</v>
      </c>
      <c r="CD378" s="127" t="s">
        <v>26</v>
      </c>
      <c r="CE378" s="71">
        <v>9.9999999999999995E-7</v>
      </c>
      <c r="CF378" s="71">
        <f t="shared" si="83"/>
        <v>1.0161719999999999E-7</v>
      </c>
      <c r="CG378" s="71" t="s">
        <v>15</v>
      </c>
      <c r="CH378" s="71">
        <v>12</v>
      </c>
      <c r="CI378" s="71" t="s">
        <v>13</v>
      </c>
      <c r="CJ378" s="71">
        <f>CF378*CH378</f>
        <v>1.2194063999999998E-6</v>
      </c>
    </row>
    <row r="379" spans="56:90" x14ac:dyDescent="0.25">
      <c r="CB379" s="137" t="s">
        <v>174</v>
      </c>
      <c r="CC379" s="155">
        <v>1</v>
      </c>
      <c r="CD379" s="156" t="s">
        <v>2</v>
      </c>
      <c r="CE379" s="67"/>
      <c r="CF379" s="67"/>
      <c r="CG379" s="139" t="s">
        <v>18</v>
      </c>
      <c r="CH379" s="67"/>
      <c r="CI379" s="139" t="s">
        <v>18</v>
      </c>
      <c r="CJ379" s="71">
        <f>19.44</f>
        <v>19.440000000000001</v>
      </c>
    </row>
    <row r="380" spans="56:90" x14ac:dyDescent="0.25">
      <c r="CB380" s="137" t="s">
        <v>175</v>
      </c>
      <c r="CC380" s="152">
        <f>7*4</f>
        <v>28</v>
      </c>
      <c r="CD380" s="138" t="s">
        <v>5</v>
      </c>
      <c r="CE380" s="71"/>
      <c r="CF380" s="71"/>
      <c r="CG380" s="71"/>
      <c r="CH380" s="71">
        <f>1/1000</f>
        <v>1E-3</v>
      </c>
      <c r="CI380" s="139" t="s">
        <v>18</v>
      </c>
      <c r="CJ380" s="139">
        <f>CC380*CH380</f>
        <v>2.8000000000000001E-2</v>
      </c>
    </row>
    <row r="384" spans="56:90" x14ac:dyDescent="0.25">
      <c r="BO384" s="18" t="s">
        <v>36</v>
      </c>
    </row>
    <row r="385" spans="67:78" x14ac:dyDescent="0.25">
      <c r="BO385" s="19">
        <v>1E-4</v>
      </c>
    </row>
    <row r="386" spans="67:78" x14ac:dyDescent="0.25">
      <c r="BO386" s="18">
        <f>BO387+BO387*BO385</f>
        <v>5.6482301010741729</v>
      </c>
    </row>
    <row r="387" spans="67:78" x14ac:dyDescent="0.25">
      <c r="BO387" s="130">
        <f>BZ402</f>
        <v>5.6476653345407186</v>
      </c>
      <c r="BV387" s="41" t="s">
        <v>58</v>
      </c>
      <c r="BW387" s="41"/>
    </row>
    <row r="388" spans="67:78" x14ac:dyDescent="0.25">
      <c r="BO388" s="13" t="s">
        <v>34</v>
      </c>
      <c r="BV388" s="25" t="s">
        <v>156</v>
      </c>
      <c r="BW388" s="4"/>
    </row>
    <row r="389" spans="67:78" x14ac:dyDescent="0.25">
      <c r="BO389" s="29" t="s">
        <v>142</v>
      </c>
      <c r="BV389" s="129">
        <f>BZ402</f>
        <v>5.6476653345407186</v>
      </c>
      <c r="BW389" s="4" t="s">
        <v>18</v>
      </c>
    </row>
    <row r="390" spans="67:78" x14ac:dyDescent="0.25">
      <c r="BO390" s="14" t="s">
        <v>35</v>
      </c>
      <c r="BR390" s="404" t="s">
        <v>51</v>
      </c>
      <c r="BS390" s="405"/>
      <c r="BV390" s="12">
        <f>6/1000</f>
        <v>6.0000000000000001E-3</v>
      </c>
      <c r="BW390" s="4" t="s">
        <v>158</v>
      </c>
    </row>
    <row r="391" spans="67:78" x14ac:dyDescent="0.25">
      <c r="BO391" s="130">
        <f>BO387</f>
        <v>5.6476653345407186</v>
      </c>
      <c r="BR391" s="406" t="s">
        <v>159</v>
      </c>
      <c r="BS391" s="407"/>
    </row>
    <row r="392" spans="67:78" x14ac:dyDescent="0.25">
      <c r="BO392" s="15" t="s">
        <v>36</v>
      </c>
      <c r="BR392" s="43">
        <f>IF(CK440-BO387&lt;0,0,CK440-BO387)</f>
        <v>0</v>
      </c>
      <c r="BS392" s="44" t="s">
        <v>18</v>
      </c>
    </row>
    <row r="393" spans="67:78" x14ac:dyDescent="0.25">
      <c r="BO393" s="210">
        <f>BO391-CK440</f>
        <v>2.6716653345407186</v>
      </c>
      <c r="BP393" s="209"/>
      <c r="BQ393" s="209"/>
      <c r="BR393" s="43">
        <f>BR392</f>
        <v>0</v>
      </c>
      <c r="BS393" s="44" t="s">
        <v>18</v>
      </c>
    </row>
    <row r="394" spans="67:78" x14ac:dyDescent="0.25">
      <c r="BO394" s="209" t="s">
        <v>168</v>
      </c>
      <c r="BP394" s="209"/>
      <c r="BQ394" s="209"/>
    </row>
    <row r="398" spans="67:78" x14ac:dyDescent="0.25">
      <c r="BV398" s="10"/>
      <c r="BW398" s="10"/>
      <c r="BX398" s="10"/>
      <c r="BY398" s="10"/>
      <c r="BZ398" s="10"/>
    </row>
    <row r="399" spans="67:78" x14ac:dyDescent="0.25">
      <c r="BV399" s="10"/>
      <c r="BW399" s="10"/>
      <c r="BX399" s="10"/>
      <c r="BY399" s="10"/>
      <c r="BZ399" s="10" t="s">
        <v>141</v>
      </c>
    </row>
    <row r="400" spans="67:78" x14ac:dyDescent="0.25">
      <c r="BV400" s="10"/>
      <c r="BW400" s="10"/>
      <c r="BX400" s="10"/>
      <c r="BY400" s="10"/>
      <c r="BZ400" s="49" t="s">
        <v>36</v>
      </c>
    </row>
    <row r="401" spans="74:93" x14ac:dyDescent="0.25">
      <c r="BV401" s="10"/>
      <c r="BW401" s="10"/>
      <c r="BX401" s="10"/>
      <c r="BY401" s="10"/>
      <c r="BZ401" s="45" t="s">
        <v>54</v>
      </c>
    </row>
    <row r="402" spans="74:93" x14ac:dyDescent="0.25">
      <c r="BV402" s="10"/>
      <c r="BW402" s="10"/>
      <c r="BX402" s="10"/>
      <c r="BY402" s="10"/>
      <c r="BZ402" s="121">
        <f>BZ403-BZ407</f>
        <v>5.6476653345407186</v>
      </c>
    </row>
    <row r="403" spans="74:93" x14ac:dyDescent="0.25">
      <c r="BV403" s="10"/>
      <c r="BW403" s="10"/>
      <c r="BX403" s="10"/>
      <c r="BY403" s="10"/>
      <c r="BZ403" s="113">
        <f>BW409</f>
        <v>118.60097202535512</v>
      </c>
    </row>
    <row r="404" spans="74:93" x14ac:dyDescent="0.25">
      <c r="BV404" s="437" t="s">
        <v>139</v>
      </c>
      <c r="BW404" s="438"/>
      <c r="BX404" s="10"/>
      <c r="BY404" s="10"/>
      <c r="BZ404" s="47" t="s">
        <v>34</v>
      </c>
    </row>
    <row r="405" spans="74:93" x14ac:dyDescent="0.25">
      <c r="BV405" s="439"/>
      <c r="BW405" s="440"/>
      <c r="BX405" s="10"/>
      <c r="BY405" s="10"/>
      <c r="BZ405" s="118" t="s">
        <v>138</v>
      </c>
      <c r="CH405" s="419" t="s">
        <v>51</v>
      </c>
      <c r="CI405" s="420"/>
      <c r="CK405" s="419" t="s">
        <v>51</v>
      </c>
      <c r="CL405" s="420"/>
    </row>
    <row r="406" spans="74:93" x14ac:dyDescent="0.25">
      <c r="BV406" s="115" t="s">
        <v>1</v>
      </c>
      <c r="BW406" s="115" t="s">
        <v>1</v>
      </c>
      <c r="BX406" s="9"/>
      <c r="BY406" s="10"/>
      <c r="BZ406" s="48" t="s">
        <v>35</v>
      </c>
      <c r="CH406" s="142" t="str">
        <f>CI413</f>
        <v>pegante poliuretano</v>
      </c>
      <c r="CI406" s="143">
        <f>CL405</f>
        <v>0</v>
      </c>
      <c r="CK406" s="142" t="str">
        <f>CL413</f>
        <v>cassta</v>
      </c>
      <c r="CL406" s="143">
        <f>CO405</f>
        <v>0</v>
      </c>
    </row>
    <row r="407" spans="74:93" x14ac:dyDescent="0.25">
      <c r="BV407" s="115">
        <f>BW407</f>
        <v>118.60097202535512</v>
      </c>
      <c r="BW407" s="67">
        <f>BW409</f>
        <v>118.60097202535512</v>
      </c>
      <c r="BX407" s="55"/>
      <c r="BY407" s="10"/>
      <c r="BZ407" s="10">
        <f>CI422</f>
        <v>112.9533066908144</v>
      </c>
      <c r="CH407" s="115">
        <f>CI416</f>
        <v>7.1919999999999998E-2</v>
      </c>
      <c r="CI407" s="141" t="str">
        <f>CI415</f>
        <v>en m^3</v>
      </c>
      <c r="CK407" s="115">
        <f>CL416</f>
        <v>7.0679999999999996</v>
      </c>
      <c r="CL407" s="141" t="str">
        <f>CL415</f>
        <v>en m^3</v>
      </c>
    </row>
    <row r="408" spans="74:93" x14ac:dyDescent="0.25">
      <c r="BV408" s="422" t="s">
        <v>186</v>
      </c>
      <c r="BW408" s="10"/>
      <c r="BX408" s="10"/>
      <c r="BY408" s="10"/>
      <c r="BZ408" s="50" t="s">
        <v>36</v>
      </c>
      <c r="CH408" s="115">
        <f>CJ416</f>
        <v>80.308748800000018</v>
      </c>
      <c r="CI408" s="141" t="str">
        <f>CJ415</f>
        <v>en kg</v>
      </c>
      <c r="CK408" s="115">
        <f>CM416</f>
        <v>565.43999999999994</v>
      </c>
      <c r="CL408" s="141" t="str">
        <f>CM415</f>
        <v>en kg</v>
      </c>
    </row>
    <row r="409" spans="74:93" x14ac:dyDescent="0.25">
      <c r="BV409" s="423"/>
      <c r="BW409" s="10">
        <f>BZ407+BZ407*0.05</f>
        <v>118.60097202535512</v>
      </c>
      <c r="BX409" s="10"/>
      <c r="BY409" s="10"/>
      <c r="BZ409" s="53" t="s">
        <v>63</v>
      </c>
    </row>
    <row r="410" spans="74:93" x14ac:dyDescent="0.25">
      <c r="BV410" s="10"/>
      <c r="BW410" s="48"/>
      <c r="BX410" s="10"/>
      <c r="BY410" s="10"/>
      <c r="BZ410" s="28"/>
    </row>
    <row r="411" spans="74:93" x14ac:dyDescent="0.25">
      <c r="BV411" s="10"/>
      <c r="BW411" s="10"/>
      <c r="BX411" s="10"/>
      <c r="BY411" s="10"/>
      <c r="BZ411" s="16"/>
    </row>
    <row r="412" spans="74:93" x14ac:dyDescent="0.25">
      <c r="BV412" s="10"/>
      <c r="BW412" s="10"/>
      <c r="BX412" s="10"/>
      <c r="BY412" s="10"/>
      <c r="BZ412" s="10"/>
    </row>
    <row r="413" spans="74:93" x14ac:dyDescent="0.25">
      <c r="BV413" s="10"/>
      <c r="BW413" s="10"/>
      <c r="BX413" s="10"/>
      <c r="BY413" s="48"/>
      <c r="BZ413" s="52">
        <f>BW409-CI422</f>
        <v>5.6476653345407186</v>
      </c>
      <c r="CI413" s="424" t="s">
        <v>183</v>
      </c>
      <c r="CJ413" s="425"/>
      <c r="CL413" s="424" t="s">
        <v>184</v>
      </c>
      <c r="CM413" s="425"/>
    </row>
    <row r="414" spans="74:93" x14ac:dyDescent="0.25">
      <c r="CI414" s="426"/>
      <c r="CJ414" s="427"/>
      <c r="CL414" s="426"/>
      <c r="CM414" s="427"/>
      <c r="CO414" s="14" t="s">
        <v>247</v>
      </c>
    </row>
    <row r="415" spans="74:93" x14ac:dyDescent="0.25">
      <c r="CI415" s="6" t="s">
        <v>50</v>
      </c>
      <c r="CJ415" s="6" t="s">
        <v>1</v>
      </c>
      <c r="CL415" s="6" t="s">
        <v>50</v>
      </c>
      <c r="CM415" s="6" t="s">
        <v>1</v>
      </c>
      <c r="CO415" s="14">
        <f>CK408+CH408+CJ428+CJ432+CK436+BR392</f>
        <v>1283.4649185894227</v>
      </c>
    </row>
    <row r="416" spans="74:93" x14ac:dyDescent="0.25">
      <c r="CI416" s="6">
        <f>CF456*CN425</f>
        <v>7.1919999999999998E-2</v>
      </c>
      <c r="CJ416" s="4">
        <f>CN425*CJ456</f>
        <v>80.308748800000018</v>
      </c>
      <c r="CL416" s="6">
        <f>CF455*CN425</f>
        <v>7.0679999999999996</v>
      </c>
      <c r="CM416" s="4">
        <f>CN425*CJ455</f>
        <v>565.43999999999994</v>
      </c>
    </row>
    <row r="419" spans="78:94" x14ac:dyDescent="0.25">
      <c r="CI419" s="410" t="s">
        <v>141</v>
      </c>
      <c r="CJ419" s="410"/>
    </row>
    <row r="420" spans="78:94" x14ac:dyDescent="0.25">
      <c r="CI420" s="410"/>
      <c r="CJ420" s="410"/>
    </row>
    <row r="421" spans="78:94" x14ac:dyDescent="0.25">
      <c r="CI421" s="6" t="s">
        <v>1</v>
      </c>
      <c r="CJ421" s="6" t="s">
        <v>1</v>
      </c>
    </row>
    <row r="422" spans="78:94" x14ac:dyDescent="0.25">
      <c r="CI422" s="6">
        <f>CJ422</f>
        <v>112.9533066908144</v>
      </c>
      <c r="CJ422" s="4">
        <f>CN425*(CJ447+CJ448+CJ450+CJ451+CJ452+CJ453)</f>
        <v>112.9533066908144</v>
      </c>
    </row>
    <row r="423" spans="78:94" x14ac:dyDescent="0.25">
      <c r="CL423">
        <f>CJ422+CJ428+CJ432+CK436+CK440+CJ416+CM416</f>
        <v>1399.3942252802369</v>
      </c>
      <c r="CN423" s="416" t="s">
        <v>52</v>
      </c>
      <c r="CO423" s="416"/>
    </row>
    <row r="424" spans="78:94" x14ac:dyDescent="0.25">
      <c r="CL424" s="13" t="s">
        <v>34</v>
      </c>
      <c r="CN424" s="436" t="s">
        <v>191</v>
      </c>
      <c r="CO424" s="417"/>
      <c r="CP424" s="127" t="s">
        <v>181</v>
      </c>
    </row>
    <row r="425" spans="78:94" x14ac:dyDescent="0.25">
      <c r="CL425" s="109" t="s">
        <v>160</v>
      </c>
      <c r="CN425" s="184">
        <v>124</v>
      </c>
      <c r="CO425" s="4" t="s">
        <v>27</v>
      </c>
    </row>
    <row r="426" spans="78:94" x14ac:dyDescent="0.25">
      <c r="CI426" s="410" t="s">
        <v>134</v>
      </c>
      <c r="CJ426" s="410"/>
      <c r="CL426" s="14" t="s">
        <v>35</v>
      </c>
      <c r="CN426" s="4">
        <f>CN425*CK451</f>
        <v>1399.3942252802372</v>
      </c>
      <c r="CO426" s="4" t="s">
        <v>28</v>
      </c>
    </row>
    <row r="427" spans="78:94" x14ac:dyDescent="0.25">
      <c r="CI427" s="6" t="s">
        <v>50</v>
      </c>
      <c r="CJ427" s="6" t="s">
        <v>1</v>
      </c>
      <c r="CL427">
        <f>CN426</f>
        <v>1399.3942252802372</v>
      </c>
    </row>
    <row r="428" spans="78:94" x14ac:dyDescent="0.25">
      <c r="CI428" s="6">
        <f>CN425*CF445</f>
        <v>35.339999999999996</v>
      </c>
      <c r="CJ428" s="4">
        <f>CN425*(CJ445)</f>
        <v>636.12</v>
      </c>
      <c r="CL428" s="15" t="s">
        <v>36</v>
      </c>
    </row>
    <row r="429" spans="78:94" x14ac:dyDescent="0.25">
      <c r="CA429" s="419" t="s">
        <v>51</v>
      </c>
      <c r="CB429" s="420"/>
      <c r="CL429" s="1">
        <f>CL423-CL427</f>
        <v>0</v>
      </c>
    </row>
    <row r="430" spans="78:94" x14ac:dyDescent="0.25">
      <c r="BZ430" s="161" t="s">
        <v>185</v>
      </c>
      <c r="CA430" s="142" t="str">
        <f>CI426</f>
        <v xml:space="preserve">Lámina de espuma </v>
      </c>
      <c r="CB430" s="143"/>
      <c r="CI430" s="410" t="s">
        <v>98</v>
      </c>
      <c r="CJ430" s="410"/>
      <c r="CL430" s="28" t="s">
        <v>45</v>
      </c>
    </row>
    <row r="431" spans="78:94" x14ac:dyDescent="0.25">
      <c r="CA431" s="115">
        <f>CI428</f>
        <v>35.339999999999996</v>
      </c>
      <c r="CB431" s="141" t="str">
        <f>CI427</f>
        <v>en m^3</v>
      </c>
      <c r="CI431" s="6" t="s">
        <v>30</v>
      </c>
      <c r="CJ431" s="6" t="s">
        <v>1</v>
      </c>
    </row>
    <row r="432" spans="78:94" x14ac:dyDescent="0.25">
      <c r="CA432" s="115">
        <f>CJ428</f>
        <v>636.12</v>
      </c>
      <c r="CB432" s="141" t="str">
        <f>CJ427</f>
        <v>en kg</v>
      </c>
      <c r="CI432" s="6">
        <f>CN425*CF449</f>
        <v>124</v>
      </c>
      <c r="CJ432" s="4">
        <f>CN425*(CJ449)</f>
        <v>1.0553191489361702</v>
      </c>
    </row>
    <row r="434" spans="80:93" x14ac:dyDescent="0.25">
      <c r="CF434" s="419" t="s">
        <v>51</v>
      </c>
      <c r="CG434" s="420"/>
      <c r="CH434" s="144"/>
      <c r="CJ434" s="410" t="s">
        <v>137</v>
      </c>
      <c r="CK434" s="410"/>
    </row>
    <row r="435" spans="80:93" x14ac:dyDescent="0.25">
      <c r="CF435" s="142" t="s">
        <v>98</v>
      </c>
      <c r="CG435" s="143" t="str">
        <f>CJ434</f>
        <v>Hilo</v>
      </c>
      <c r="CH435" s="72"/>
      <c r="CJ435" s="6" t="s">
        <v>30</v>
      </c>
      <c r="CK435" s="6" t="s">
        <v>1</v>
      </c>
      <c r="CO435" t="s">
        <v>91</v>
      </c>
    </row>
    <row r="436" spans="80:93" x14ac:dyDescent="0.25">
      <c r="CF436" s="115">
        <f>CJ432</f>
        <v>1.0553191489361702</v>
      </c>
      <c r="CG436" s="141">
        <f>CK436</f>
        <v>0.54085064048639997</v>
      </c>
      <c r="CH436" s="4" t="s">
        <v>18</v>
      </c>
      <c r="CJ436" s="6">
        <f>CJ446*CN425</f>
        <v>0.54085064048639997</v>
      </c>
      <c r="CK436" s="4">
        <f>CN425*(CJ446)</f>
        <v>0.54085064048639997</v>
      </c>
    </row>
    <row r="437" spans="80:93" x14ac:dyDescent="0.25">
      <c r="CF437" s="115">
        <f>CI432</f>
        <v>124</v>
      </c>
      <c r="CG437" s="141">
        <f>CJ436</f>
        <v>0.54085064048639997</v>
      </c>
      <c r="CH437" s="4" t="s">
        <v>16</v>
      </c>
    </row>
    <row r="438" spans="80:93" x14ac:dyDescent="0.25">
      <c r="CJ438" s="410" t="s">
        <v>161</v>
      </c>
      <c r="CK438" s="410"/>
    </row>
    <row r="439" spans="80:93" x14ac:dyDescent="0.25">
      <c r="CJ439" s="6" t="s">
        <v>4</v>
      </c>
      <c r="CK439" s="6" t="s">
        <v>1</v>
      </c>
    </row>
    <row r="440" spans="80:93" x14ac:dyDescent="0.25">
      <c r="CJ440" s="6">
        <f>CN425*4</f>
        <v>496</v>
      </c>
      <c r="CK440" s="4">
        <f>CJ454*CN425</f>
        <v>2.976</v>
      </c>
    </row>
    <row r="443" spans="80:93" x14ac:dyDescent="0.25">
      <c r="CC443" s="432" t="s">
        <v>189</v>
      </c>
      <c r="CD443" s="433"/>
      <c r="CE443" s="4" t="s">
        <v>19</v>
      </c>
      <c r="CF443" s="6" t="s">
        <v>20</v>
      </c>
      <c r="CG443" s="6" t="s">
        <v>2</v>
      </c>
      <c r="CH443" s="6" t="s">
        <v>21</v>
      </c>
      <c r="CI443" s="6" t="s">
        <v>2</v>
      </c>
      <c r="CJ443" s="11" t="s">
        <v>24</v>
      </c>
    </row>
    <row r="444" spans="80:93" x14ac:dyDescent="0.25">
      <c r="CB444" s="6"/>
      <c r="CC444" s="68"/>
      <c r="CD444" s="68"/>
      <c r="CE444" s="23"/>
      <c r="CF444" s="23"/>
      <c r="CG444" s="23"/>
      <c r="CH444" s="23"/>
      <c r="CI444" s="23"/>
      <c r="CJ444" s="39"/>
    </row>
    <row r="445" spans="80:93" x14ac:dyDescent="0.25">
      <c r="CB445" s="27" t="s">
        <v>128</v>
      </c>
      <c r="CC445" s="68">
        <f>100*190*15</f>
        <v>285000</v>
      </c>
      <c r="CD445" s="68" t="s">
        <v>26</v>
      </c>
      <c r="CE445" s="23">
        <v>9.9999999999999995E-7</v>
      </c>
      <c r="CF445" s="23">
        <f t="shared" ref="CF445:CF452" si="85">CC445*CE445</f>
        <v>0.28499999999999998</v>
      </c>
      <c r="CG445" s="23" t="s">
        <v>15</v>
      </c>
      <c r="CH445" s="23">
        <v>18</v>
      </c>
      <c r="CI445" s="23" t="s">
        <v>13</v>
      </c>
      <c r="CJ445" s="23">
        <f>CF445*CH445</f>
        <v>5.13</v>
      </c>
    </row>
    <row r="446" spans="80:93" x14ac:dyDescent="0.25">
      <c r="CB446" s="27" t="s">
        <v>130</v>
      </c>
      <c r="CC446" s="68">
        <f>5621.76</f>
        <v>5621.76</v>
      </c>
      <c r="CD446" s="68" t="s">
        <v>10</v>
      </c>
      <c r="CE446" s="23">
        <f>1/100</f>
        <v>0.01</v>
      </c>
      <c r="CF446" s="23">
        <f t="shared" si="85"/>
        <v>56.217600000000004</v>
      </c>
      <c r="CG446" s="23" t="s">
        <v>16</v>
      </c>
      <c r="CH446" s="23">
        <v>7.7585999999999999E-5</v>
      </c>
      <c r="CI446" s="23" t="s">
        <v>22</v>
      </c>
      <c r="CJ446" s="23">
        <f t="shared" ref="CJ446:CJ448" si="86">CF446*CH446</f>
        <v>4.3616987136000001E-3</v>
      </c>
    </row>
    <row r="447" spans="80:93" x14ac:dyDescent="0.25">
      <c r="CB447" s="27" t="s">
        <v>164</v>
      </c>
      <c r="CC447" s="68">
        <f>210*210*0.3</f>
        <v>13230</v>
      </c>
      <c r="CD447" s="68" t="s">
        <v>26</v>
      </c>
      <c r="CE447" s="23">
        <v>9.9999999999999995E-7</v>
      </c>
      <c r="CF447" s="23">
        <f t="shared" si="85"/>
        <v>1.3229999999999999E-2</v>
      </c>
      <c r="CG447" s="23" t="s">
        <v>15</v>
      </c>
      <c r="CH447" s="23">
        <v>12</v>
      </c>
      <c r="CI447" s="23" t="s">
        <v>13</v>
      </c>
      <c r="CJ447" s="23">
        <f t="shared" si="86"/>
        <v>0.15875999999999998</v>
      </c>
    </row>
    <row r="448" spans="80:93" x14ac:dyDescent="0.25">
      <c r="CB448" s="27" t="s">
        <v>127</v>
      </c>
      <c r="CC448" s="68">
        <f>56000</f>
        <v>56000</v>
      </c>
      <c r="CD448" s="68" t="s">
        <v>9</v>
      </c>
      <c r="CE448" s="23">
        <f>0.0001</f>
        <v>1E-4</v>
      </c>
      <c r="CF448" s="23">
        <f t="shared" si="85"/>
        <v>5.6000000000000005</v>
      </c>
      <c r="CG448" s="23" t="s">
        <v>17</v>
      </c>
      <c r="CH448" s="23">
        <f>20/1000</f>
        <v>0.02</v>
      </c>
      <c r="CI448" s="23" t="s">
        <v>23</v>
      </c>
      <c r="CJ448" s="23">
        <f t="shared" si="86"/>
        <v>0.11200000000000002</v>
      </c>
    </row>
    <row r="449" spans="67:90" x14ac:dyDescent="0.25">
      <c r="CB449" s="27" t="s">
        <v>93</v>
      </c>
      <c r="CC449" s="68">
        <v>100</v>
      </c>
      <c r="CD449" s="68" t="s">
        <v>10</v>
      </c>
      <c r="CE449" s="23">
        <f>1/100</f>
        <v>0.01</v>
      </c>
      <c r="CF449" s="23">
        <f t="shared" si="85"/>
        <v>1</v>
      </c>
      <c r="CG449" s="23" t="s">
        <v>16</v>
      </c>
      <c r="CH449" s="23">
        <f>1/117.5</f>
        <v>8.5106382978723406E-3</v>
      </c>
      <c r="CI449" s="23" t="s">
        <v>22</v>
      </c>
      <c r="CJ449" s="23">
        <f>CF449*CH449</f>
        <v>8.5106382978723406E-3</v>
      </c>
    </row>
    <row r="450" spans="67:90" x14ac:dyDescent="0.25">
      <c r="CB450" s="132" t="s">
        <v>130</v>
      </c>
      <c r="CC450" s="68">
        <f>2400.96</f>
        <v>2400.96</v>
      </c>
      <c r="CD450" s="68" t="s">
        <v>10</v>
      </c>
      <c r="CE450" s="23">
        <f>1/100</f>
        <v>0.01</v>
      </c>
      <c r="CF450" s="23">
        <f t="shared" si="85"/>
        <v>24.009600000000002</v>
      </c>
      <c r="CG450" s="23" t="s">
        <v>16</v>
      </c>
      <c r="CH450" s="23">
        <v>7.7585999999999999E-5</v>
      </c>
      <c r="CI450" s="23" t="s">
        <v>22</v>
      </c>
      <c r="CJ450" s="23">
        <f>CF450*CH450</f>
        <v>1.8628088256000001E-3</v>
      </c>
      <c r="CK450" s="434" t="s">
        <v>205</v>
      </c>
      <c r="CL450" s="435"/>
    </row>
    <row r="451" spans="67:90" x14ac:dyDescent="0.25">
      <c r="CB451" s="132" t="s">
        <v>132</v>
      </c>
      <c r="CC451" s="131">
        <f>227*227</f>
        <v>51529</v>
      </c>
      <c r="CD451" s="131" t="s">
        <v>9</v>
      </c>
      <c r="CE451" s="39">
        <f>0.0001</f>
        <v>1E-4</v>
      </c>
      <c r="CF451" s="39">
        <f t="shared" si="85"/>
        <v>5.1528999999999998</v>
      </c>
      <c r="CG451" s="39" t="s">
        <v>17</v>
      </c>
      <c r="CH451" s="39">
        <v>0.1</v>
      </c>
      <c r="CI451" s="39" t="s">
        <v>23</v>
      </c>
      <c r="CJ451" s="39">
        <f>CF451*CH451</f>
        <v>0.51529000000000003</v>
      </c>
      <c r="CK451" s="4">
        <f>CJ445+CJ446+CJ447+CJ448+CJ449+CJ450+CJ451+CJ452+CJ453+CJ454+CJ456+CJ455</f>
        <v>11.285437300647073</v>
      </c>
      <c r="CL451" s="4" t="s">
        <v>18</v>
      </c>
    </row>
    <row r="452" spans="67:90" x14ac:dyDescent="0.25">
      <c r="CB452" s="108" t="s">
        <v>165</v>
      </c>
      <c r="CC452" s="71">
        <f>0.515*0.515*0.3</f>
        <v>7.9567499999999999E-2</v>
      </c>
      <c r="CD452" s="127" t="s">
        <v>26</v>
      </c>
      <c r="CE452" s="71">
        <v>9.9999999999999995E-7</v>
      </c>
      <c r="CF452" s="71">
        <f t="shared" si="85"/>
        <v>7.9567500000000001E-8</v>
      </c>
      <c r="CG452" s="71" t="s">
        <v>15</v>
      </c>
      <c r="CH452" s="71">
        <v>12</v>
      </c>
      <c r="CI452" s="71" t="s">
        <v>13</v>
      </c>
      <c r="CJ452" s="71">
        <f>CF452*CH452</f>
        <v>9.5481000000000001E-7</v>
      </c>
    </row>
    <row r="453" spans="67:90" x14ac:dyDescent="0.25">
      <c r="CB453" s="134" t="s">
        <v>166</v>
      </c>
      <c r="CC453" s="135"/>
      <c r="CD453" s="135"/>
      <c r="CE453" s="135"/>
      <c r="CF453" s="136">
        <v>1.23</v>
      </c>
      <c r="CG453" s="136" t="s">
        <v>17</v>
      </c>
      <c r="CH453" s="136">
        <v>0.1</v>
      </c>
      <c r="CI453" s="136" t="s">
        <v>22</v>
      </c>
      <c r="CJ453" s="136">
        <f>CF453*CH453</f>
        <v>0.123</v>
      </c>
    </row>
    <row r="454" spans="67:90" x14ac:dyDescent="0.25">
      <c r="CB454" s="137" t="s">
        <v>167</v>
      </c>
      <c r="CC454" s="71">
        <f>6*4</f>
        <v>24</v>
      </c>
      <c r="CD454" s="138" t="s">
        <v>5</v>
      </c>
      <c r="CE454" s="71"/>
      <c r="CF454" s="71"/>
      <c r="CG454" s="71"/>
      <c r="CH454" s="71">
        <f>1/1000</f>
        <v>1E-3</v>
      </c>
      <c r="CI454" s="139" t="s">
        <v>18</v>
      </c>
      <c r="CJ454" s="139">
        <f>CC454*CH454</f>
        <v>2.4E-2</v>
      </c>
    </row>
    <row r="455" spans="67:90" x14ac:dyDescent="0.25">
      <c r="CB455" s="137" t="s">
        <v>182</v>
      </c>
      <c r="CC455" s="14">
        <f>190*100*3</f>
        <v>57000</v>
      </c>
      <c r="CD455" s="68" t="s">
        <v>26</v>
      </c>
      <c r="CE455" s="23">
        <v>9.9999999999999995E-7</v>
      </c>
      <c r="CF455" s="23">
        <f>CC455*CE455</f>
        <v>5.6999999999999995E-2</v>
      </c>
      <c r="CG455" s="23" t="s">
        <v>15</v>
      </c>
      <c r="CH455" s="23">
        <v>80</v>
      </c>
      <c r="CI455" s="133" t="s">
        <v>13</v>
      </c>
      <c r="CJ455" s="133">
        <f>CH455*CF455</f>
        <v>4.5599999999999996</v>
      </c>
    </row>
    <row r="456" spans="67:90" x14ac:dyDescent="0.25">
      <c r="CB456" s="160" t="s">
        <v>12</v>
      </c>
      <c r="CC456" s="68">
        <v>580</v>
      </c>
      <c r="CD456" s="68" t="s">
        <v>14</v>
      </c>
      <c r="CE456" s="23">
        <f>1/1000000</f>
        <v>9.9999999999999995E-7</v>
      </c>
      <c r="CF456" s="23">
        <f t="shared" ref="CF456" si="87">CC456*CE456</f>
        <v>5.8E-4</v>
      </c>
      <c r="CG456" s="23" t="s">
        <v>15</v>
      </c>
      <c r="CH456" s="23">
        <v>1116.6400000000001</v>
      </c>
      <c r="CI456" s="23" t="s">
        <v>13</v>
      </c>
      <c r="CJ456" s="23">
        <f t="shared" ref="CJ456" si="88">CH456*CF456</f>
        <v>0.64765120000000009</v>
      </c>
    </row>
    <row r="459" spans="67:90" x14ac:dyDescent="0.25">
      <c r="BS459" s="140">
        <f>(BV465-BO469)</f>
        <v>2.7120000000000002</v>
      </c>
    </row>
    <row r="460" spans="67:90" x14ac:dyDescent="0.25">
      <c r="BO460" s="18" t="s">
        <v>36</v>
      </c>
    </row>
    <row r="461" spans="67:90" x14ac:dyDescent="0.25">
      <c r="BO461" s="19">
        <v>1E-4</v>
      </c>
    </row>
    <row r="462" spans="67:90" x14ac:dyDescent="0.25">
      <c r="BO462" s="18">
        <f>BO463+BO463*BO461</f>
        <v>5.1471774308176022</v>
      </c>
    </row>
    <row r="463" spans="67:90" x14ac:dyDescent="0.25">
      <c r="BO463" s="130">
        <f>BZ478</f>
        <v>5.1466627645411478</v>
      </c>
      <c r="BV463" s="41" t="s">
        <v>58</v>
      </c>
      <c r="BW463" s="41"/>
    </row>
    <row r="464" spans="67:90" x14ac:dyDescent="0.25">
      <c r="BO464" s="13" t="s">
        <v>34</v>
      </c>
      <c r="BV464" s="25" t="s">
        <v>156</v>
      </c>
      <c r="BW464" s="4"/>
    </row>
    <row r="465" spans="67:78" x14ac:dyDescent="0.25">
      <c r="BO465" s="29" t="s">
        <v>142</v>
      </c>
      <c r="BV465" s="129">
        <f>BZ478</f>
        <v>5.1466627645411478</v>
      </c>
      <c r="BW465" s="4" t="s">
        <v>18</v>
      </c>
    </row>
    <row r="466" spans="67:78" x14ac:dyDescent="0.25">
      <c r="BO466" s="14" t="s">
        <v>35</v>
      </c>
      <c r="BR466" s="404" t="s">
        <v>51</v>
      </c>
      <c r="BS466" s="405"/>
      <c r="BV466" s="12">
        <f>6/1000</f>
        <v>6.0000000000000001E-3</v>
      </c>
      <c r="BW466" s="4" t="s">
        <v>158</v>
      </c>
    </row>
    <row r="467" spans="67:78" x14ac:dyDescent="0.25">
      <c r="BO467" s="130">
        <f>BO463</f>
        <v>5.1466627645411478</v>
      </c>
      <c r="BR467" s="406" t="s">
        <v>159</v>
      </c>
      <c r="BS467" s="407"/>
    </row>
    <row r="468" spans="67:78" x14ac:dyDescent="0.25">
      <c r="BO468" s="15" t="s">
        <v>36</v>
      </c>
      <c r="BR468" s="43">
        <f>IF(CK516-BO463&lt;0,0,CK516-BO463)</f>
        <v>0</v>
      </c>
      <c r="BS468" s="44" t="s">
        <v>18</v>
      </c>
    </row>
    <row r="469" spans="67:78" x14ac:dyDescent="0.25">
      <c r="BO469" s="210">
        <f>BO467-CK516</f>
        <v>2.4346627645411476</v>
      </c>
      <c r="BP469" s="209"/>
      <c r="BQ469" s="209"/>
      <c r="BR469" s="43">
        <f>BR468</f>
        <v>0</v>
      </c>
      <c r="BS469" s="44" t="s">
        <v>18</v>
      </c>
    </row>
    <row r="470" spans="67:78" x14ac:dyDescent="0.25">
      <c r="BO470" s="209" t="s">
        <v>168</v>
      </c>
      <c r="BP470" s="209"/>
      <c r="BQ470" s="209"/>
    </row>
    <row r="474" spans="67:78" x14ac:dyDescent="0.25">
      <c r="BV474" s="10"/>
      <c r="BW474" s="10"/>
      <c r="BX474" s="10"/>
      <c r="BY474" s="10"/>
      <c r="BZ474" s="10"/>
    </row>
    <row r="475" spans="67:78" x14ac:dyDescent="0.25">
      <c r="BV475" s="10"/>
      <c r="BW475" s="10"/>
      <c r="BX475" s="10"/>
      <c r="BY475" s="10"/>
      <c r="BZ475" s="10" t="s">
        <v>141</v>
      </c>
    </row>
    <row r="476" spans="67:78" x14ac:dyDescent="0.25">
      <c r="BV476" s="10"/>
      <c r="BW476" s="10"/>
      <c r="BX476" s="10"/>
      <c r="BY476" s="10"/>
      <c r="BZ476" s="49" t="s">
        <v>36</v>
      </c>
    </row>
    <row r="477" spans="67:78" x14ac:dyDescent="0.25">
      <c r="BV477" s="10"/>
      <c r="BW477" s="10"/>
      <c r="BX477" s="10"/>
      <c r="BY477" s="10"/>
      <c r="BZ477" s="45" t="s">
        <v>54</v>
      </c>
    </row>
    <row r="478" spans="67:78" x14ac:dyDescent="0.25">
      <c r="BV478" s="10"/>
      <c r="BW478" s="10"/>
      <c r="BX478" s="10"/>
      <c r="BY478" s="10"/>
      <c r="BZ478" s="121">
        <f>BZ479-BZ483</f>
        <v>5.1466627645411478</v>
      </c>
    </row>
    <row r="479" spans="67:78" x14ac:dyDescent="0.25">
      <c r="BV479" s="10"/>
      <c r="BW479" s="10"/>
      <c r="BX479" s="10"/>
      <c r="BY479" s="10"/>
      <c r="BZ479" s="113">
        <f>BW485</f>
        <v>108.07991805536395</v>
      </c>
    </row>
    <row r="480" spans="67:78" x14ac:dyDescent="0.25">
      <c r="BV480" s="437" t="s">
        <v>139</v>
      </c>
      <c r="BW480" s="438"/>
      <c r="BX480" s="10"/>
      <c r="BY480" s="10"/>
      <c r="BZ480" s="47" t="s">
        <v>34</v>
      </c>
    </row>
    <row r="481" spans="74:93" x14ac:dyDescent="0.25">
      <c r="BV481" s="439"/>
      <c r="BW481" s="440"/>
      <c r="BX481" s="10"/>
      <c r="BY481" s="10"/>
      <c r="BZ481" s="118" t="s">
        <v>138</v>
      </c>
      <c r="CH481" s="419" t="s">
        <v>51</v>
      </c>
      <c r="CI481" s="420"/>
      <c r="CK481" s="419" t="s">
        <v>51</v>
      </c>
      <c r="CL481" s="420"/>
    </row>
    <row r="482" spans="74:93" x14ac:dyDescent="0.25">
      <c r="BV482" s="115" t="s">
        <v>1</v>
      </c>
      <c r="BW482" s="115" t="s">
        <v>1</v>
      </c>
      <c r="BX482" s="9"/>
      <c r="BY482" s="10"/>
      <c r="BZ482" s="48" t="s">
        <v>35</v>
      </c>
      <c r="CH482" s="142" t="str">
        <f>CI489</f>
        <v>pegante poliuretano</v>
      </c>
      <c r="CI482" s="143">
        <f>CL481</f>
        <v>0</v>
      </c>
      <c r="CK482" s="142" t="str">
        <f>CL489</f>
        <v>cassata</v>
      </c>
      <c r="CL482" s="143">
        <f>CO481</f>
        <v>0</v>
      </c>
    </row>
    <row r="483" spans="74:93" x14ac:dyDescent="0.25">
      <c r="BV483" s="115">
        <f>BW483</f>
        <v>108.07991805536395</v>
      </c>
      <c r="BW483" s="67">
        <f>BW485</f>
        <v>108.07991805536395</v>
      </c>
      <c r="BX483" s="55"/>
      <c r="BY483" s="10"/>
      <c r="BZ483" s="10">
        <f>CI498</f>
        <v>102.9332552908228</v>
      </c>
      <c r="CH483" s="115">
        <f>CI492</f>
        <v>6.5540000000000001E-2</v>
      </c>
      <c r="CI483" s="141" t="str">
        <f>CI491</f>
        <v>en m^3</v>
      </c>
      <c r="CK483" s="115">
        <f>CL492</f>
        <v>12.882</v>
      </c>
      <c r="CL483" s="141" t="str">
        <f>CL491</f>
        <v>en m^3</v>
      </c>
    </row>
    <row r="484" spans="74:93" x14ac:dyDescent="0.25">
      <c r="BV484" s="422" t="s">
        <v>212</v>
      </c>
      <c r="BW484" s="10"/>
      <c r="BX484" s="10"/>
      <c r="BY484" s="10"/>
      <c r="BZ484" s="50" t="s">
        <v>36</v>
      </c>
      <c r="CH484" s="115">
        <f>CJ492</f>
        <v>73.184585600000005</v>
      </c>
      <c r="CI484" s="141" t="str">
        <f>CJ491</f>
        <v>en kg</v>
      </c>
      <c r="CK484" s="115">
        <f>CM492</f>
        <v>2061.12</v>
      </c>
      <c r="CL484" s="141" t="str">
        <f>CM491</f>
        <v>en kg</v>
      </c>
    </row>
    <row r="485" spans="74:93" x14ac:dyDescent="0.25">
      <c r="BV485" s="423"/>
      <c r="BW485" s="10">
        <f>BZ483+BZ483*0.05</f>
        <v>108.07991805536395</v>
      </c>
      <c r="BX485" s="10"/>
      <c r="BY485" s="10"/>
      <c r="BZ485" s="53" t="s">
        <v>63</v>
      </c>
    </row>
    <row r="486" spans="74:93" x14ac:dyDescent="0.25">
      <c r="BV486" s="10"/>
      <c r="BW486" s="48"/>
      <c r="BX486" s="10"/>
      <c r="BY486" s="10"/>
      <c r="BZ486" s="28"/>
    </row>
    <row r="487" spans="74:93" x14ac:dyDescent="0.25">
      <c r="BV487" s="10"/>
      <c r="BW487" s="10"/>
      <c r="BX487" s="10"/>
      <c r="BY487" s="10"/>
      <c r="BZ487" s="16"/>
    </row>
    <row r="488" spans="74:93" x14ac:dyDescent="0.25">
      <c r="BV488" s="10"/>
      <c r="BW488" s="10"/>
      <c r="BX488" s="10"/>
      <c r="BY488" s="10"/>
      <c r="BZ488" s="10"/>
    </row>
    <row r="489" spans="74:93" x14ac:dyDescent="0.25">
      <c r="BV489" s="10"/>
      <c r="BW489" s="10"/>
      <c r="BX489" s="10"/>
      <c r="BY489" s="48"/>
      <c r="BZ489" s="52">
        <f>BW485-CI498</f>
        <v>5.1466627645411478</v>
      </c>
      <c r="CI489" s="424" t="s">
        <v>183</v>
      </c>
      <c r="CJ489" s="425"/>
      <c r="CL489" s="424" t="s">
        <v>182</v>
      </c>
      <c r="CM489" s="425"/>
    </row>
    <row r="490" spans="74:93" x14ac:dyDescent="0.25">
      <c r="CI490" s="426"/>
      <c r="CJ490" s="427"/>
      <c r="CL490" s="426"/>
      <c r="CM490" s="427"/>
      <c r="CO490" s="14" t="s">
        <v>247</v>
      </c>
    </row>
    <row r="491" spans="74:93" x14ac:dyDescent="0.25">
      <c r="CI491" s="6" t="s">
        <v>50</v>
      </c>
      <c r="CJ491" s="6" t="s">
        <v>1</v>
      </c>
      <c r="CL491" s="6" t="s">
        <v>50</v>
      </c>
      <c r="CM491" s="6" t="s">
        <v>1</v>
      </c>
      <c r="CO491" s="14">
        <f>CK484+CH484+CJ504+CJ508+CK512+BR468</f>
        <v>2715.4491596822963</v>
      </c>
    </row>
    <row r="492" spans="74:93" x14ac:dyDescent="0.25">
      <c r="CI492" s="6">
        <f>CF532*CN501</f>
        <v>6.5540000000000001E-2</v>
      </c>
      <c r="CJ492" s="4">
        <f>CN501*CJ532</f>
        <v>73.184585600000005</v>
      </c>
      <c r="CL492" s="6">
        <f>CF531*CN501</f>
        <v>12.882</v>
      </c>
      <c r="CM492" s="4">
        <f>CN501*CJ531</f>
        <v>2061.12</v>
      </c>
    </row>
    <row r="495" spans="74:93" x14ac:dyDescent="0.25">
      <c r="CI495" s="410" t="s">
        <v>141</v>
      </c>
      <c r="CJ495" s="410"/>
    </row>
    <row r="496" spans="74:93" x14ac:dyDescent="0.25">
      <c r="CI496" s="410"/>
      <c r="CJ496" s="410"/>
    </row>
    <row r="497" spans="78:94" x14ac:dyDescent="0.25">
      <c r="CI497" s="6" t="s">
        <v>1</v>
      </c>
      <c r="CJ497" s="6" t="s">
        <v>1</v>
      </c>
    </row>
    <row r="498" spans="78:94" x14ac:dyDescent="0.25">
      <c r="CI498" s="6">
        <f>CJ498</f>
        <v>102.9332552908228</v>
      </c>
      <c r="CJ498" s="4">
        <f>CN501*(CJ523+CJ524+CJ526+CJ527+CJ528+CJ529)</f>
        <v>102.9332552908228</v>
      </c>
    </row>
    <row r="499" spans="78:94" x14ac:dyDescent="0.25">
      <c r="CL499">
        <f>CJ498+CJ504+CJ508+CK512+CK516+CJ492+CM492</f>
        <v>2821.094414973119</v>
      </c>
      <c r="CN499" s="416" t="s">
        <v>52</v>
      </c>
      <c r="CO499" s="416"/>
    </row>
    <row r="500" spans="78:94" x14ac:dyDescent="0.25">
      <c r="CL500" s="13" t="s">
        <v>34</v>
      </c>
      <c r="CN500" s="436" t="s">
        <v>196</v>
      </c>
      <c r="CO500" s="417"/>
      <c r="CP500" s="127" t="s">
        <v>194</v>
      </c>
    </row>
    <row r="501" spans="78:94" x14ac:dyDescent="0.25">
      <c r="CL501" s="109" t="s">
        <v>160</v>
      </c>
      <c r="CN501" s="223">
        <v>113</v>
      </c>
      <c r="CO501" s="4" t="s">
        <v>27</v>
      </c>
    </row>
    <row r="502" spans="78:94" x14ac:dyDescent="0.25">
      <c r="CI502" s="410" t="s">
        <v>134</v>
      </c>
      <c r="CJ502" s="410"/>
      <c r="CL502" s="14" t="s">
        <v>35</v>
      </c>
      <c r="CN502" s="4">
        <f>CN501*CK527</f>
        <v>2821.094414973119</v>
      </c>
      <c r="CO502" s="4" t="s">
        <v>28</v>
      </c>
    </row>
    <row r="503" spans="78:94" x14ac:dyDescent="0.25">
      <c r="CI503" s="6" t="s">
        <v>50</v>
      </c>
      <c r="CJ503" s="6" t="s">
        <v>1</v>
      </c>
      <c r="CL503">
        <f>CN502</f>
        <v>2821.094414973119</v>
      </c>
    </row>
    <row r="504" spans="78:94" x14ac:dyDescent="0.25">
      <c r="CI504" s="6">
        <f>CN501*CF521</f>
        <v>32.204999999999998</v>
      </c>
      <c r="CJ504" s="4">
        <f>CN501*(CJ521)</f>
        <v>579.68999999999994</v>
      </c>
      <c r="CL504" s="15" t="s">
        <v>36</v>
      </c>
    </row>
    <row r="505" spans="78:94" x14ac:dyDescent="0.25">
      <c r="CA505" s="419" t="s">
        <v>51</v>
      </c>
      <c r="CB505" s="420"/>
      <c r="CL505" s="1">
        <f>CL499-CL503</f>
        <v>0</v>
      </c>
    </row>
    <row r="506" spans="78:94" x14ac:dyDescent="0.25">
      <c r="BZ506" s="161" t="s">
        <v>185</v>
      </c>
      <c r="CA506" s="142" t="str">
        <f>CI502</f>
        <v xml:space="preserve">Lámina de espuma </v>
      </c>
      <c r="CB506" s="143"/>
      <c r="CI506" s="410" t="s">
        <v>98</v>
      </c>
      <c r="CJ506" s="410"/>
      <c r="CL506" s="28" t="s">
        <v>45</v>
      </c>
    </row>
    <row r="507" spans="78:94" x14ac:dyDescent="0.25">
      <c r="CA507" s="115">
        <f>CI504</f>
        <v>32.204999999999998</v>
      </c>
      <c r="CB507" s="141" t="str">
        <f>CI503</f>
        <v>en m^3</v>
      </c>
      <c r="CI507" s="6" t="s">
        <v>30</v>
      </c>
      <c r="CJ507" s="6" t="s">
        <v>1</v>
      </c>
    </row>
    <row r="508" spans="78:94" x14ac:dyDescent="0.25">
      <c r="CA508" s="115">
        <f>CJ504</f>
        <v>579.68999999999994</v>
      </c>
      <c r="CB508" s="141" t="str">
        <f>CJ503</f>
        <v>en kg</v>
      </c>
      <c r="CI508" s="6">
        <f>CN501*CF525</f>
        <v>113</v>
      </c>
      <c r="CJ508" s="4">
        <f>CN501*(CJ525)</f>
        <v>0.96170212765957452</v>
      </c>
    </row>
    <row r="510" spans="78:94" x14ac:dyDescent="0.25">
      <c r="CF510" s="419" t="s">
        <v>51</v>
      </c>
      <c r="CG510" s="420"/>
      <c r="CH510" s="144"/>
      <c r="CJ510" s="410" t="s">
        <v>137</v>
      </c>
      <c r="CK510" s="410"/>
    </row>
    <row r="511" spans="78:94" x14ac:dyDescent="0.25">
      <c r="CF511" s="142" t="s">
        <v>98</v>
      </c>
      <c r="CG511" s="143" t="str">
        <f>CJ510</f>
        <v>Hilo</v>
      </c>
      <c r="CH511" s="72"/>
      <c r="CJ511" s="6" t="s">
        <v>30</v>
      </c>
      <c r="CK511" s="6" t="s">
        <v>1</v>
      </c>
      <c r="CO511" t="s">
        <v>91</v>
      </c>
    </row>
    <row r="512" spans="78:94" x14ac:dyDescent="0.25">
      <c r="CF512" s="115">
        <f>CJ508</f>
        <v>0.96170212765957452</v>
      </c>
      <c r="CG512" s="141">
        <f>CK512</f>
        <v>0.4928719546368</v>
      </c>
      <c r="CH512" s="4" t="s">
        <v>18</v>
      </c>
      <c r="CJ512" s="6">
        <f>CJ522*CN501</f>
        <v>0.4928719546368</v>
      </c>
      <c r="CK512" s="4">
        <f>CN501*(CJ522)</f>
        <v>0.4928719546368</v>
      </c>
    </row>
    <row r="513" spans="80:90" x14ac:dyDescent="0.25">
      <c r="CF513" s="115">
        <f>CI508</f>
        <v>113</v>
      </c>
      <c r="CG513" s="141">
        <f>CJ512</f>
        <v>0.4928719546368</v>
      </c>
      <c r="CH513" s="4" t="s">
        <v>16</v>
      </c>
    </row>
    <row r="514" spans="80:90" x14ac:dyDescent="0.25">
      <c r="CJ514" s="410" t="s">
        <v>161</v>
      </c>
      <c r="CK514" s="410"/>
    </row>
    <row r="515" spans="80:90" x14ac:dyDescent="0.25">
      <c r="CJ515" s="6" t="s">
        <v>4</v>
      </c>
      <c r="CK515" s="6" t="s">
        <v>1</v>
      </c>
    </row>
    <row r="516" spans="80:90" x14ac:dyDescent="0.25">
      <c r="CJ516" s="6">
        <f>CN501*4</f>
        <v>452</v>
      </c>
      <c r="CK516" s="4">
        <f>CJ530*CN501</f>
        <v>2.7120000000000002</v>
      </c>
    </row>
    <row r="519" spans="80:90" x14ac:dyDescent="0.25">
      <c r="CC519" s="432" t="s">
        <v>195</v>
      </c>
      <c r="CD519" s="433"/>
      <c r="CE519" s="4" t="s">
        <v>19</v>
      </c>
      <c r="CF519" s="6" t="s">
        <v>20</v>
      </c>
      <c r="CG519" s="6" t="s">
        <v>2</v>
      </c>
      <c r="CH519" s="6" t="s">
        <v>21</v>
      </c>
      <c r="CI519" s="6" t="s">
        <v>2</v>
      </c>
      <c r="CJ519" s="11" t="s">
        <v>24</v>
      </c>
    </row>
    <row r="520" spans="80:90" x14ac:dyDescent="0.25">
      <c r="CB520" s="6"/>
      <c r="CC520" s="68"/>
      <c r="CD520" s="68"/>
      <c r="CE520" s="23"/>
      <c r="CF520" s="23"/>
      <c r="CG520" s="23"/>
      <c r="CH520" s="23"/>
      <c r="CI520" s="23"/>
      <c r="CJ520" s="39"/>
    </row>
    <row r="521" spans="80:90" x14ac:dyDescent="0.25">
      <c r="CB521" s="27" t="s">
        <v>128</v>
      </c>
      <c r="CC521" s="68">
        <f>100*190*15</f>
        <v>285000</v>
      </c>
      <c r="CD521" s="68" t="s">
        <v>26</v>
      </c>
      <c r="CE521" s="23">
        <v>9.9999999999999995E-7</v>
      </c>
      <c r="CF521" s="23">
        <f t="shared" ref="CF521:CF528" si="89">CC521*CE521</f>
        <v>0.28499999999999998</v>
      </c>
      <c r="CG521" s="23" t="s">
        <v>15</v>
      </c>
      <c r="CH521" s="23">
        <v>18</v>
      </c>
      <c r="CI521" s="23" t="s">
        <v>13</v>
      </c>
      <c r="CJ521" s="23">
        <f>CF521*CH521</f>
        <v>5.13</v>
      </c>
    </row>
    <row r="522" spans="80:90" x14ac:dyDescent="0.25">
      <c r="CB522" s="27" t="s">
        <v>130</v>
      </c>
      <c r="CC522" s="68">
        <f>5621.76</f>
        <v>5621.76</v>
      </c>
      <c r="CD522" s="68" t="s">
        <v>10</v>
      </c>
      <c r="CE522" s="23">
        <f>1/100</f>
        <v>0.01</v>
      </c>
      <c r="CF522" s="23">
        <f t="shared" si="89"/>
        <v>56.217600000000004</v>
      </c>
      <c r="CG522" s="23" t="s">
        <v>16</v>
      </c>
      <c r="CH522" s="23">
        <v>7.7585999999999999E-5</v>
      </c>
      <c r="CI522" s="23" t="s">
        <v>22</v>
      </c>
      <c r="CJ522" s="23">
        <f t="shared" ref="CJ522:CJ524" si="90">CF522*CH522</f>
        <v>4.3616987136000001E-3</v>
      </c>
    </row>
    <row r="523" spans="80:90" x14ac:dyDescent="0.25">
      <c r="CB523" s="27" t="s">
        <v>164</v>
      </c>
      <c r="CC523" s="68">
        <f>210*210*0.3</f>
        <v>13230</v>
      </c>
      <c r="CD523" s="68" t="s">
        <v>26</v>
      </c>
      <c r="CE523" s="23">
        <v>9.9999999999999995E-7</v>
      </c>
      <c r="CF523" s="23">
        <f t="shared" si="89"/>
        <v>1.3229999999999999E-2</v>
      </c>
      <c r="CG523" s="23" t="s">
        <v>15</v>
      </c>
      <c r="CH523" s="23">
        <v>12</v>
      </c>
      <c r="CI523" s="23" t="s">
        <v>13</v>
      </c>
      <c r="CJ523" s="23">
        <f t="shared" si="90"/>
        <v>0.15875999999999998</v>
      </c>
    </row>
    <row r="524" spans="80:90" x14ac:dyDescent="0.25">
      <c r="CB524" s="27" t="s">
        <v>127</v>
      </c>
      <c r="CC524" s="68">
        <f>56000</f>
        <v>56000</v>
      </c>
      <c r="CD524" s="68" t="s">
        <v>9</v>
      </c>
      <c r="CE524" s="23">
        <f>0.0001</f>
        <v>1E-4</v>
      </c>
      <c r="CF524" s="23">
        <f t="shared" si="89"/>
        <v>5.6000000000000005</v>
      </c>
      <c r="CG524" s="23" t="s">
        <v>17</v>
      </c>
      <c r="CH524" s="23">
        <f>20/1000</f>
        <v>0.02</v>
      </c>
      <c r="CI524" s="23" t="s">
        <v>23</v>
      </c>
      <c r="CJ524" s="23">
        <f t="shared" si="90"/>
        <v>0.11200000000000002</v>
      </c>
    </row>
    <row r="525" spans="80:90" x14ac:dyDescent="0.25">
      <c r="CB525" s="27" t="s">
        <v>93</v>
      </c>
      <c r="CC525" s="68">
        <v>100</v>
      </c>
      <c r="CD525" s="68" t="s">
        <v>10</v>
      </c>
      <c r="CE525" s="23">
        <f>1/100</f>
        <v>0.01</v>
      </c>
      <c r="CF525" s="23">
        <f t="shared" si="89"/>
        <v>1</v>
      </c>
      <c r="CG525" s="23" t="s">
        <v>16</v>
      </c>
      <c r="CH525" s="23">
        <f>1/117.5</f>
        <v>8.5106382978723406E-3</v>
      </c>
      <c r="CI525" s="23" t="s">
        <v>22</v>
      </c>
      <c r="CJ525" s="23">
        <f>CF525*CH525</f>
        <v>8.5106382978723406E-3</v>
      </c>
    </row>
    <row r="526" spans="80:90" x14ac:dyDescent="0.25">
      <c r="CB526" s="132" t="s">
        <v>130</v>
      </c>
      <c r="CC526" s="68">
        <f>2400.96</f>
        <v>2400.96</v>
      </c>
      <c r="CD526" s="68" t="s">
        <v>10</v>
      </c>
      <c r="CE526" s="23">
        <f>1/100</f>
        <v>0.01</v>
      </c>
      <c r="CF526" s="23">
        <f t="shared" si="89"/>
        <v>24.009600000000002</v>
      </c>
      <c r="CG526" s="23" t="s">
        <v>16</v>
      </c>
      <c r="CH526" s="23">
        <v>7.7585999999999999E-5</v>
      </c>
      <c r="CI526" s="23" t="s">
        <v>22</v>
      </c>
      <c r="CJ526" s="23">
        <f>CF526*CH526</f>
        <v>1.8628088256000001E-3</v>
      </c>
      <c r="CK526" s="434" t="s">
        <v>197</v>
      </c>
      <c r="CL526" s="435"/>
    </row>
    <row r="527" spans="80:90" x14ac:dyDescent="0.25">
      <c r="CB527" s="132" t="s">
        <v>132</v>
      </c>
      <c r="CC527" s="131">
        <f>227*227</f>
        <v>51529</v>
      </c>
      <c r="CD527" s="131" t="s">
        <v>9</v>
      </c>
      <c r="CE527" s="39">
        <f>0.0001</f>
        <v>1E-4</v>
      </c>
      <c r="CF527" s="39">
        <f t="shared" si="89"/>
        <v>5.1528999999999998</v>
      </c>
      <c r="CG527" s="39" t="s">
        <v>17</v>
      </c>
      <c r="CH527" s="39">
        <v>0.1</v>
      </c>
      <c r="CI527" s="39" t="s">
        <v>23</v>
      </c>
      <c r="CJ527" s="39">
        <f>CF527*CH527</f>
        <v>0.51529000000000003</v>
      </c>
      <c r="CK527" s="4">
        <f>CJ521+CJ522+CJ523+CJ524+CJ525+CJ526+CJ527+CJ528+CJ529+CJ530+CJ532+CJ531</f>
        <v>24.965437300647071</v>
      </c>
      <c r="CL527" s="4" t="s">
        <v>18</v>
      </c>
    </row>
    <row r="528" spans="80:90" x14ac:dyDescent="0.25">
      <c r="CB528" s="108" t="s">
        <v>165</v>
      </c>
      <c r="CC528" s="71">
        <f>0.515*0.515*0.3</f>
        <v>7.9567499999999999E-2</v>
      </c>
      <c r="CD528" s="127" t="s">
        <v>26</v>
      </c>
      <c r="CE528" s="71">
        <v>9.9999999999999995E-7</v>
      </c>
      <c r="CF528" s="71">
        <f t="shared" si="89"/>
        <v>7.9567500000000001E-8</v>
      </c>
      <c r="CG528" s="71" t="s">
        <v>15</v>
      </c>
      <c r="CH528" s="71">
        <v>12</v>
      </c>
      <c r="CI528" s="71" t="s">
        <v>13</v>
      </c>
      <c r="CJ528" s="71">
        <f>CF528*CH528</f>
        <v>9.5481000000000001E-7</v>
      </c>
    </row>
    <row r="529" spans="67:88" x14ac:dyDescent="0.25">
      <c r="CB529" s="134" t="s">
        <v>166</v>
      </c>
      <c r="CC529" s="135"/>
      <c r="CD529" s="135"/>
      <c r="CE529" s="135"/>
      <c r="CF529" s="136">
        <v>1.23</v>
      </c>
      <c r="CG529" s="136" t="s">
        <v>17</v>
      </c>
      <c r="CH529" s="136">
        <v>0.1</v>
      </c>
      <c r="CI529" s="136" t="s">
        <v>22</v>
      </c>
      <c r="CJ529" s="136">
        <f>CF529*CH529</f>
        <v>0.123</v>
      </c>
    </row>
    <row r="530" spans="67:88" x14ac:dyDescent="0.25">
      <c r="CB530" s="137" t="s">
        <v>167</v>
      </c>
      <c r="CC530" s="71">
        <f>6*4</f>
        <v>24</v>
      </c>
      <c r="CD530" s="138" t="s">
        <v>5</v>
      </c>
      <c r="CE530" s="71"/>
      <c r="CF530" s="71"/>
      <c r="CG530" s="71"/>
      <c r="CH530" s="71">
        <f>1/1000</f>
        <v>1E-3</v>
      </c>
      <c r="CI530" s="139" t="s">
        <v>18</v>
      </c>
      <c r="CJ530" s="139">
        <f>CC530*CH530</f>
        <v>2.4E-2</v>
      </c>
    </row>
    <row r="531" spans="67:88" x14ac:dyDescent="0.25">
      <c r="CB531" s="137" t="s">
        <v>182</v>
      </c>
      <c r="CC531" s="14">
        <f>(190*100*3)*2</f>
        <v>114000</v>
      </c>
      <c r="CD531" s="68" t="s">
        <v>26</v>
      </c>
      <c r="CE531" s="23">
        <v>9.9999999999999995E-7</v>
      </c>
      <c r="CF531" s="23">
        <f>CC531*CE531</f>
        <v>0.11399999999999999</v>
      </c>
      <c r="CG531" s="23" t="s">
        <v>15</v>
      </c>
      <c r="CH531" s="23">
        <v>80</v>
      </c>
      <c r="CI531" s="133" t="s">
        <v>13</v>
      </c>
      <c r="CJ531" s="133">
        <f>CH531*CF531*2</f>
        <v>18.239999999999998</v>
      </c>
    </row>
    <row r="532" spans="67:88" x14ac:dyDescent="0.25">
      <c r="CB532" s="160" t="s">
        <v>12</v>
      </c>
      <c r="CC532" s="68">
        <v>580</v>
      </c>
      <c r="CD532" s="68" t="s">
        <v>14</v>
      </c>
      <c r="CE532" s="23">
        <f>1/1000000</f>
        <v>9.9999999999999995E-7</v>
      </c>
      <c r="CF532" s="23">
        <f t="shared" ref="CF532" si="91">CC532*CE532</f>
        <v>5.8E-4</v>
      </c>
      <c r="CG532" s="23" t="s">
        <v>15</v>
      </c>
      <c r="CH532" s="23">
        <v>1116.6400000000001</v>
      </c>
      <c r="CI532" s="23" t="s">
        <v>13</v>
      </c>
      <c r="CJ532" s="23">
        <f t="shared" ref="CJ532" si="92">CH532*CF532</f>
        <v>0.64765120000000009</v>
      </c>
    </row>
    <row r="537" spans="67:88" x14ac:dyDescent="0.25">
      <c r="BS537" s="140">
        <f>(BV543-BO547)</f>
        <v>3.2480000000000002</v>
      </c>
    </row>
    <row r="538" spans="67:88" x14ac:dyDescent="0.25">
      <c r="BO538" s="18" t="s">
        <v>36</v>
      </c>
    </row>
    <row r="539" spans="67:88" x14ac:dyDescent="0.25">
      <c r="BO539" s="19">
        <v>1E-4</v>
      </c>
    </row>
    <row r="540" spans="67:88" x14ac:dyDescent="0.25">
      <c r="BO540" s="18">
        <f>BO541+BO541*BO539</f>
        <v>4.9005706477207722</v>
      </c>
    </row>
    <row r="541" spans="67:88" x14ac:dyDescent="0.25">
      <c r="BO541" s="130">
        <f>BZ556</f>
        <v>4.9000806396568066</v>
      </c>
      <c r="BV541" s="41" t="s">
        <v>58</v>
      </c>
      <c r="BW541" s="41"/>
    </row>
    <row r="542" spans="67:88" x14ac:dyDescent="0.25">
      <c r="BO542" s="13" t="s">
        <v>34</v>
      </c>
      <c r="BV542" s="25" t="s">
        <v>156</v>
      </c>
      <c r="BW542" s="4"/>
    </row>
    <row r="543" spans="67:88" x14ac:dyDescent="0.25">
      <c r="BO543" s="29" t="s">
        <v>142</v>
      </c>
      <c r="BV543" s="129">
        <f>BZ556</f>
        <v>4.9000806396568066</v>
      </c>
      <c r="BW543" s="4" t="s">
        <v>18</v>
      </c>
    </row>
    <row r="544" spans="67:88" x14ac:dyDescent="0.25">
      <c r="BO544" s="14" t="s">
        <v>35</v>
      </c>
      <c r="BR544" s="404" t="s">
        <v>51</v>
      </c>
      <c r="BS544" s="405"/>
      <c r="BV544" s="12">
        <f>6/1000</f>
        <v>6.0000000000000001E-3</v>
      </c>
      <c r="BW544" s="4" t="s">
        <v>158</v>
      </c>
    </row>
    <row r="545" spans="67:87" x14ac:dyDescent="0.25">
      <c r="BO545" s="130">
        <f>BO541</f>
        <v>4.9000806396568066</v>
      </c>
      <c r="BR545" s="406" t="s">
        <v>159</v>
      </c>
      <c r="BS545" s="407"/>
    </row>
    <row r="546" spans="67:87" x14ac:dyDescent="0.25">
      <c r="BO546" s="15" t="s">
        <v>36</v>
      </c>
      <c r="BR546" s="43">
        <f>IF(CK594-BO541&lt;0,0,CK594-BO541)</f>
        <v>0</v>
      </c>
      <c r="BS546" s="44" t="s">
        <v>18</v>
      </c>
    </row>
    <row r="547" spans="67:87" x14ac:dyDescent="0.25">
      <c r="BO547" s="17">
        <f>BO545-CK594</f>
        <v>1.6520806396568064</v>
      </c>
      <c r="BR547" s="43">
        <f>BR546</f>
        <v>0</v>
      </c>
      <c r="BS547" s="44" t="s">
        <v>18</v>
      </c>
    </row>
    <row r="548" spans="67:87" x14ac:dyDescent="0.25">
      <c r="BO548" s="14" t="s">
        <v>168</v>
      </c>
    </row>
    <row r="552" spans="67:87" x14ac:dyDescent="0.25">
      <c r="BV552" s="10"/>
      <c r="BW552" s="10"/>
      <c r="BX552" s="10"/>
      <c r="BY552" s="10"/>
      <c r="BZ552" s="10"/>
    </row>
    <row r="553" spans="67:87" x14ac:dyDescent="0.25">
      <c r="BV553" s="10"/>
      <c r="BW553" s="10"/>
      <c r="BX553" s="10"/>
      <c r="BY553" s="10"/>
      <c r="BZ553" s="10" t="s">
        <v>141</v>
      </c>
    </row>
    <row r="554" spans="67:87" x14ac:dyDescent="0.25">
      <c r="BQ554" s="226"/>
      <c r="BV554" s="10"/>
      <c r="BW554" s="10"/>
      <c r="BX554" s="10"/>
      <c r="BY554" s="10"/>
      <c r="BZ554" s="49" t="s">
        <v>36</v>
      </c>
    </row>
    <row r="555" spans="67:87" x14ac:dyDescent="0.25">
      <c r="BV555" s="10"/>
      <c r="BW555" s="10"/>
      <c r="BX555" s="10"/>
      <c r="BY555" s="10"/>
      <c r="BZ555" s="45" t="s">
        <v>54</v>
      </c>
    </row>
    <row r="556" spans="67:87" x14ac:dyDescent="0.25">
      <c r="BV556" s="10"/>
      <c r="BW556" s="10"/>
      <c r="BX556" s="10"/>
      <c r="BY556" s="10"/>
      <c r="BZ556" s="121">
        <f>BZ557-BZ561</f>
        <v>4.9000806396568066</v>
      </c>
    </row>
    <row r="557" spans="67:87" x14ac:dyDescent="0.25">
      <c r="BV557" s="10"/>
      <c r="BW557" s="10"/>
      <c r="BX557" s="10"/>
      <c r="BY557" s="10"/>
      <c r="BZ557" s="113">
        <f>BW563</f>
        <v>102.90169343279281</v>
      </c>
    </row>
    <row r="558" spans="67:87" x14ac:dyDescent="0.25">
      <c r="BV558" s="421" t="s">
        <v>139</v>
      </c>
      <c r="BW558" s="421"/>
      <c r="BX558" s="10"/>
      <c r="BY558" s="10"/>
      <c r="BZ558" s="47" t="s">
        <v>34</v>
      </c>
    </row>
    <row r="559" spans="67:87" x14ac:dyDescent="0.25">
      <c r="BV559" s="421"/>
      <c r="BW559" s="421"/>
      <c r="BX559" s="10"/>
      <c r="BY559" s="10"/>
      <c r="BZ559" s="118" t="s">
        <v>138</v>
      </c>
      <c r="CH559" s="409" t="s">
        <v>51</v>
      </c>
      <c r="CI559" s="409"/>
    </row>
    <row r="560" spans="67:87" x14ac:dyDescent="0.25">
      <c r="BV560" s="115" t="s">
        <v>1</v>
      </c>
      <c r="BW560" s="115" t="s">
        <v>1</v>
      </c>
      <c r="BX560" s="9"/>
      <c r="BY560" s="10"/>
      <c r="BZ560" s="48" t="s">
        <v>35</v>
      </c>
      <c r="CH560" s="142" t="str">
        <f>CI567</f>
        <v>unidad resortada</v>
      </c>
      <c r="CI560" s="143">
        <f>CL559</f>
        <v>0</v>
      </c>
    </row>
    <row r="561" spans="74:93" x14ac:dyDescent="0.25">
      <c r="BV561" s="162">
        <f>BW561</f>
        <v>102.90169343279281</v>
      </c>
      <c r="BW561" s="67">
        <f>BW563</f>
        <v>102.90169343279281</v>
      </c>
      <c r="BX561" s="55"/>
      <c r="BY561" s="10"/>
      <c r="BZ561" s="10">
        <f>CI576</f>
        <v>98.001612793136005</v>
      </c>
      <c r="CH561" s="115">
        <f>CI570</f>
        <v>116</v>
      </c>
      <c r="CI561" s="141" t="str">
        <f>CI569</f>
        <v>en unidades</v>
      </c>
    </row>
    <row r="562" spans="74:93" x14ac:dyDescent="0.25">
      <c r="BV562" s="423" t="s">
        <v>206</v>
      </c>
      <c r="BW562" s="10"/>
      <c r="BX562" s="10"/>
      <c r="BY562" s="10"/>
      <c r="BZ562" s="50" t="s">
        <v>36</v>
      </c>
      <c r="CH562" s="115">
        <f>CJ570</f>
        <v>2152.0320000000002</v>
      </c>
      <c r="CI562" s="141" t="str">
        <f>CJ569</f>
        <v>en kg</v>
      </c>
    </row>
    <row r="563" spans="74:93" x14ac:dyDescent="0.25">
      <c r="BV563" s="423"/>
      <c r="BW563" s="10">
        <f>BZ561+BZ561*0.05</f>
        <v>102.90169343279281</v>
      </c>
      <c r="BX563" s="10"/>
      <c r="BY563" s="10"/>
      <c r="BZ563" s="53" t="s">
        <v>63</v>
      </c>
    </row>
    <row r="564" spans="74:93" x14ac:dyDescent="0.25">
      <c r="BV564" s="53"/>
      <c r="BW564" s="48"/>
      <c r="BX564" s="10"/>
      <c r="BY564" s="10"/>
      <c r="BZ564" s="28"/>
    </row>
    <row r="565" spans="74:93" x14ac:dyDescent="0.25">
      <c r="BV565" s="53"/>
      <c r="BW565" s="10"/>
      <c r="BX565" s="10"/>
      <c r="BY565" s="10"/>
      <c r="BZ565" s="16"/>
    </row>
    <row r="566" spans="74:93" x14ac:dyDescent="0.25">
      <c r="BV566" s="10"/>
      <c r="BW566" s="10"/>
      <c r="BX566" s="10"/>
      <c r="BY566" s="10"/>
      <c r="BZ566" s="10"/>
    </row>
    <row r="567" spans="74:93" x14ac:dyDescent="0.25">
      <c r="BV567" s="10"/>
      <c r="BW567" s="10"/>
      <c r="BX567" s="10"/>
      <c r="BY567" s="48"/>
      <c r="BZ567" s="52">
        <f>BW563-CI576</f>
        <v>4.9000806396568066</v>
      </c>
      <c r="CI567" s="410" t="s">
        <v>174</v>
      </c>
      <c r="CJ567" s="410"/>
    </row>
    <row r="568" spans="74:93" x14ac:dyDescent="0.25">
      <c r="CI568" s="410"/>
      <c r="CJ568" s="410"/>
      <c r="CO568" s="14" t="s">
        <v>247</v>
      </c>
    </row>
    <row r="569" spans="74:93" x14ac:dyDescent="0.25">
      <c r="CI569" s="6" t="s">
        <v>4</v>
      </c>
      <c r="CJ569" s="6" t="s">
        <v>1</v>
      </c>
      <c r="CO569" s="14">
        <f>CK562+CH562+CJ582+CJ586+CK590+BR546</f>
        <v>2272.5556846546815</v>
      </c>
    </row>
    <row r="570" spans="74:93" x14ac:dyDescent="0.25">
      <c r="CI570" s="6">
        <f>CN579*CC607</f>
        <v>116</v>
      </c>
      <c r="CJ570" s="4">
        <f>CN579*CJ607</f>
        <v>2152.0320000000002</v>
      </c>
    </row>
    <row r="573" spans="74:93" x14ac:dyDescent="0.25">
      <c r="CI573" s="424" t="s">
        <v>141</v>
      </c>
      <c r="CJ573" s="425"/>
    </row>
    <row r="574" spans="74:93" x14ac:dyDescent="0.25">
      <c r="CI574" s="426"/>
      <c r="CJ574" s="427"/>
    </row>
    <row r="575" spans="74:93" x14ac:dyDescent="0.25">
      <c r="CI575" s="6" t="s">
        <v>1</v>
      </c>
      <c r="CJ575" s="6" t="s">
        <v>1</v>
      </c>
    </row>
    <row r="576" spans="74:93" x14ac:dyDescent="0.25">
      <c r="CI576" s="6">
        <f>CJ576</f>
        <v>98.001612793136005</v>
      </c>
      <c r="CJ576" s="4">
        <f>CN579*(CJ601+CJ602+CJ604+CJ605+CJ606)</f>
        <v>98.001612793136005</v>
      </c>
    </row>
    <row r="577" spans="80:94" x14ac:dyDescent="0.25">
      <c r="CL577">
        <f>CJ576+CJ582+CJ586+CK590+CK594+CJ570</f>
        <v>2373.8052974478173</v>
      </c>
      <c r="CN577" s="430" t="s">
        <v>52</v>
      </c>
      <c r="CO577" s="431"/>
    </row>
    <row r="578" spans="80:94" x14ac:dyDescent="0.25">
      <c r="CL578" s="13" t="s">
        <v>34</v>
      </c>
      <c r="CN578" s="417" t="s">
        <v>202</v>
      </c>
      <c r="CO578" s="418"/>
      <c r="CP578" s="127" t="s">
        <v>200</v>
      </c>
    </row>
    <row r="579" spans="80:94" x14ac:dyDescent="0.25">
      <c r="CL579" s="109" t="s">
        <v>179</v>
      </c>
      <c r="CN579" s="223">
        <v>116</v>
      </c>
      <c r="CO579" s="4" t="s">
        <v>27</v>
      </c>
    </row>
    <row r="580" spans="80:94" x14ac:dyDescent="0.25">
      <c r="CC580" s="409" t="s">
        <v>51</v>
      </c>
      <c r="CD580" s="409"/>
      <c r="CI580" s="428" t="s">
        <v>134</v>
      </c>
      <c r="CJ580" s="429"/>
      <c r="CL580" s="14" t="s">
        <v>35</v>
      </c>
      <c r="CN580" s="4">
        <f>CN579*CK605</f>
        <v>2373.8052974478169</v>
      </c>
      <c r="CO580" s="4" t="s">
        <v>28</v>
      </c>
    </row>
    <row r="581" spans="80:94" x14ac:dyDescent="0.25">
      <c r="CB581" s="161" t="s">
        <v>185</v>
      </c>
      <c r="CC581" s="142" t="str">
        <f>CI580</f>
        <v xml:space="preserve">Lámina de espuma </v>
      </c>
      <c r="CD581" s="143">
        <f>CG580</f>
        <v>0</v>
      </c>
      <c r="CI581" s="6" t="s">
        <v>50</v>
      </c>
      <c r="CJ581" s="6" t="s">
        <v>1</v>
      </c>
      <c r="CL581">
        <f>CN580</f>
        <v>2373.8052974478169</v>
      </c>
    </row>
    <row r="582" spans="80:94" x14ac:dyDescent="0.25">
      <c r="CC582" s="115">
        <f>CI582</f>
        <v>6.6119999999999992</v>
      </c>
      <c r="CD582" s="141" t="str">
        <f>CI581</f>
        <v>en m^3</v>
      </c>
      <c r="CI582" s="6">
        <f>CN579*CF599</f>
        <v>6.6119999999999992</v>
      </c>
      <c r="CJ582" s="4">
        <f>CN579*(CJ599)</f>
        <v>119.01599999999998</v>
      </c>
      <c r="CL582" s="15" t="s">
        <v>36</v>
      </c>
    </row>
    <row r="583" spans="80:94" x14ac:dyDescent="0.25">
      <c r="CC583" s="115">
        <f>CJ582</f>
        <v>119.01599999999998</v>
      </c>
      <c r="CD583" s="141" t="str">
        <f>CJ581</f>
        <v>en kg</v>
      </c>
      <c r="CL583" s="1">
        <f>CL577-CL581</f>
        <v>0</v>
      </c>
    </row>
    <row r="584" spans="80:94" x14ac:dyDescent="0.25">
      <c r="CI584" s="428" t="s">
        <v>98</v>
      </c>
      <c r="CJ584" s="429"/>
      <c r="CL584" s="28" t="s">
        <v>45</v>
      </c>
    </row>
    <row r="585" spans="80:94" x14ac:dyDescent="0.25">
      <c r="CI585" s="6" t="s">
        <v>30</v>
      </c>
      <c r="CJ585" s="6" t="s">
        <v>1</v>
      </c>
    </row>
    <row r="586" spans="80:94" x14ac:dyDescent="0.25">
      <c r="CI586" s="6">
        <f>CN579*CF603</f>
        <v>116</v>
      </c>
      <c r="CJ586" s="4">
        <f>CN579*(CJ603)</f>
        <v>0.98723404255319147</v>
      </c>
    </row>
    <row r="588" spans="80:94" x14ac:dyDescent="0.25">
      <c r="CF588" s="409" t="s">
        <v>51</v>
      </c>
      <c r="CG588" s="409"/>
      <c r="CH588" s="144"/>
      <c r="CJ588" s="428" t="s">
        <v>137</v>
      </c>
      <c r="CK588" s="429"/>
    </row>
    <row r="589" spans="80:94" x14ac:dyDescent="0.25">
      <c r="CF589" s="142" t="s">
        <v>98</v>
      </c>
      <c r="CG589" s="143" t="str">
        <f>CJ588</f>
        <v>Hilo</v>
      </c>
      <c r="CH589" s="72"/>
      <c r="CJ589" s="6" t="s">
        <v>30</v>
      </c>
      <c r="CK589" s="6" t="s">
        <v>1</v>
      </c>
      <c r="CO589" t="s">
        <v>91</v>
      </c>
    </row>
    <row r="590" spans="80:94" x14ac:dyDescent="0.25">
      <c r="CF590" s="115">
        <f>CJ586</f>
        <v>0.98723404255319147</v>
      </c>
      <c r="CG590" s="141">
        <f>CK590</f>
        <v>0.52045061212800003</v>
      </c>
      <c r="CH590" s="4" t="s">
        <v>18</v>
      </c>
      <c r="CJ590" s="6">
        <f>CF600*CN579</f>
        <v>6708.0480000000007</v>
      </c>
      <c r="CK590" s="4">
        <f>CN579*(CJ600)</f>
        <v>0.52045061212800003</v>
      </c>
    </row>
    <row r="591" spans="80:94" x14ac:dyDescent="0.25">
      <c r="CF591" s="115">
        <f>CI586</f>
        <v>116</v>
      </c>
      <c r="CG591" s="141">
        <f>CJ590</f>
        <v>6708.0480000000007</v>
      </c>
      <c r="CH591" s="4" t="s">
        <v>16</v>
      </c>
    </row>
    <row r="592" spans="80:94" x14ac:dyDescent="0.25">
      <c r="CJ592" s="428" t="s">
        <v>161</v>
      </c>
      <c r="CK592" s="429"/>
    </row>
    <row r="593" spans="80:90" x14ac:dyDescent="0.25">
      <c r="CJ593" s="6" t="s">
        <v>4</v>
      </c>
      <c r="CK593" s="6" t="s">
        <v>1</v>
      </c>
    </row>
    <row r="594" spans="80:90" x14ac:dyDescent="0.25">
      <c r="CJ594" s="6">
        <f>CN579*4</f>
        <v>464</v>
      </c>
      <c r="CK594" s="4">
        <f>CJ608*CN579</f>
        <v>3.2480000000000002</v>
      </c>
    </row>
    <row r="597" spans="80:90" x14ac:dyDescent="0.25">
      <c r="CC597" s="415" t="s">
        <v>188</v>
      </c>
      <c r="CD597" s="415"/>
      <c r="CE597" s="4" t="s">
        <v>19</v>
      </c>
      <c r="CF597" s="6" t="s">
        <v>20</v>
      </c>
      <c r="CG597" s="6" t="s">
        <v>2</v>
      </c>
      <c r="CH597" s="6" t="s">
        <v>21</v>
      </c>
      <c r="CI597" s="6" t="s">
        <v>2</v>
      </c>
      <c r="CJ597" s="11" t="s">
        <v>24</v>
      </c>
    </row>
    <row r="598" spans="80:90" x14ac:dyDescent="0.25">
      <c r="CB598" s="153"/>
      <c r="CC598" s="68"/>
      <c r="CD598" s="68"/>
      <c r="CE598" s="23"/>
      <c r="CF598" s="23"/>
      <c r="CG598" s="23"/>
      <c r="CH598" s="23"/>
      <c r="CI598" s="23"/>
      <c r="CJ598" s="39"/>
    </row>
    <row r="599" spans="80:90" x14ac:dyDescent="0.25">
      <c r="CB599" s="149" t="s">
        <v>128</v>
      </c>
      <c r="CC599" s="150">
        <f>100*190*3</f>
        <v>57000</v>
      </c>
      <c r="CD599" s="68" t="s">
        <v>26</v>
      </c>
      <c r="CE599" s="23">
        <v>9.9999999999999995E-7</v>
      </c>
      <c r="CF599" s="23">
        <f t="shared" ref="CF599:CF606" si="93">CC599*CE599</f>
        <v>5.6999999999999995E-2</v>
      </c>
      <c r="CG599" s="23" t="s">
        <v>15</v>
      </c>
      <c r="CH599" s="23">
        <v>18</v>
      </c>
      <c r="CI599" s="23" t="s">
        <v>13</v>
      </c>
      <c r="CJ599" s="23">
        <f>CF599*CH599</f>
        <v>1.0259999999999998</v>
      </c>
    </row>
    <row r="600" spans="80:90" x14ac:dyDescent="0.25">
      <c r="CB600" s="149" t="s">
        <v>130</v>
      </c>
      <c r="CC600" s="150">
        <f>5782.8</f>
        <v>5782.8</v>
      </c>
      <c r="CD600" s="68" t="s">
        <v>10</v>
      </c>
      <c r="CE600" s="23">
        <f>1/100</f>
        <v>0.01</v>
      </c>
      <c r="CF600" s="23">
        <f t="shared" si="93"/>
        <v>57.828000000000003</v>
      </c>
      <c r="CG600" s="23" t="s">
        <v>16</v>
      </c>
      <c r="CH600" s="23">
        <v>7.7585999999999999E-5</v>
      </c>
      <c r="CI600" s="23" t="s">
        <v>22</v>
      </c>
      <c r="CJ600" s="23">
        <f t="shared" ref="CJ600:CJ602" si="94">CF600*CH600</f>
        <v>4.4866432080000003E-3</v>
      </c>
    </row>
    <row r="601" spans="80:90" x14ac:dyDescent="0.25">
      <c r="CB601" s="149" t="s">
        <v>164</v>
      </c>
      <c r="CC601" s="150">
        <f>230*230*0.3</f>
        <v>15870</v>
      </c>
      <c r="CD601" s="68" t="s">
        <v>26</v>
      </c>
      <c r="CE601" s="23">
        <v>9.9999999999999995E-7</v>
      </c>
      <c r="CF601" s="23">
        <f t="shared" si="93"/>
        <v>1.5869999999999999E-2</v>
      </c>
      <c r="CG601" s="23" t="s">
        <v>15</v>
      </c>
      <c r="CH601" s="23">
        <v>12</v>
      </c>
      <c r="CI601" s="23" t="s">
        <v>13</v>
      </c>
      <c r="CJ601" s="23">
        <f t="shared" si="94"/>
        <v>0.19044</v>
      </c>
    </row>
    <row r="602" spans="80:90" x14ac:dyDescent="0.25">
      <c r="CB602" s="149" t="s">
        <v>127</v>
      </c>
      <c r="CC602" s="150">
        <v>59400</v>
      </c>
      <c r="CD602" s="68" t="s">
        <v>9</v>
      </c>
      <c r="CE602" s="23">
        <f>0.0001</f>
        <v>1E-4</v>
      </c>
      <c r="CF602" s="23">
        <f t="shared" si="93"/>
        <v>5.94</v>
      </c>
      <c r="CG602" s="23" t="s">
        <v>17</v>
      </c>
      <c r="CH602" s="23">
        <f>20/1000</f>
        <v>0.02</v>
      </c>
      <c r="CI602" s="23" t="s">
        <v>23</v>
      </c>
      <c r="CJ602" s="23">
        <f t="shared" si="94"/>
        <v>0.11880000000000002</v>
      </c>
    </row>
    <row r="603" spans="80:90" x14ac:dyDescent="0.25">
      <c r="CB603" s="149" t="s">
        <v>93</v>
      </c>
      <c r="CC603" s="150">
        <v>100</v>
      </c>
      <c r="CD603" s="68" t="s">
        <v>10</v>
      </c>
      <c r="CE603" s="23">
        <f>1/100</f>
        <v>0.01</v>
      </c>
      <c r="CF603" s="23">
        <f t="shared" si="93"/>
        <v>1</v>
      </c>
      <c r="CG603" s="23" t="s">
        <v>16</v>
      </c>
      <c r="CH603" s="23">
        <f>1/117.5</f>
        <v>8.5106382978723406E-3</v>
      </c>
      <c r="CI603" s="23" t="s">
        <v>22</v>
      </c>
      <c r="CJ603" s="23">
        <f>CF603*CH603</f>
        <v>8.5106382978723406E-3</v>
      </c>
    </row>
    <row r="604" spans="80:90" x14ac:dyDescent="0.25">
      <c r="CB604" s="137" t="s">
        <v>130</v>
      </c>
      <c r="CC604" s="150">
        <f>26177.96</f>
        <v>26177.96</v>
      </c>
      <c r="CD604" s="68" t="s">
        <v>10</v>
      </c>
      <c r="CE604" s="23">
        <f>1/100</f>
        <v>0.01</v>
      </c>
      <c r="CF604" s="23">
        <f t="shared" si="93"/>
        <v>261.77960000000002</v>
      </c>
      <c r="CG604" s="23" t="s">
        <v>16</v>
      </c>
      <c r="CH604" s="23">
        <v>7.7585999999999999E-5</v>
      </c>
      <c r="CI604" s="23" t="s">
        <v>22</v>
      </c>
      <c r="CJ604" s="23">
        <f>CF604*CH604</f>
        <v>2.0310432045599999E-2</v>
      </c>
      <c r="CK604" s="408" t="s">
        <v>203</v>
      </c>
      <c r="CL604" s="408"/>
    </row>
    <row r="605" spans="80:90" x14ac:dyDescent="0.25">
      <c r="CB605" s="137" t="s">
        <v>132</v>
      </c>
      <c r="CC605" s="151">
        <f>227*227</f>
        <v>51529</v>
      </c>
      <c r="CD605" s="131" t="s">
        <v>9</v>
      </c>
      <c r="CE605" s="39">
        <f>0.0001</f>
        <v>1E-4</v>
      </c>
      <c r="CF605" s="39">
        <f t="shared" si="93"/>
        <v>5.1528999999999998</v>
      </c>
      <c r="CG605" s="39" t="s">
        <v>17</v>
      </c>
      <c r="CH605" s="39">
        <v>0.1</v>
      </c>
      <c r="CI605" s="39" t="s">
        <v>23</v>
      </c>
      <c r="CJ605" s="39">
        <f>CF605*CH605</f>
        <v>0.51529000000000003</v>
      </c>
      <c r="CK605" s="4">
        <f>CJ599+CJ600+CJ601+CJ602+CJ603+CJ604+CJ605+CJ606+CJ607+CJ608</f>
        <v>20.463838771101869</v>
      </c>
      <c r="CL605" s="4" t="s">
        <v>18</v>
      </c>
    </row>
    <row r="606" spans="80:90" x14ac:dyDescent="0.25">
      <c r="CB606" s="149" t="s">
        <v>165</v>
      </c>
      <c r="CC606" s="152">
        <f>0.542*0.542*0.3</f>
        <v>8.8129200000000005E-2</v>
      </c>
      <c r="CD606" s="127" t="s">
        <v>26</v>
      </c>
      <c r="CE606" s="71">
        <v>9.9999999999999995E-7</v>
      </c>
      <c r="CF606" s="71">
        <f t="shared" si="93"/>
        <v>8.8129200000000005E-8</v>
      </c>
      <c r="CG606" s="71" t="s">
        <v>15</v>
      </c>
      <c r="CH606" s="71">
        <v>12</v>
      </c>
      <c r="CI606" s="71" t="s">
        <v>13</v>
      </c>
      <c r="CJ606" s="71">
        <f>CF606*CH606</f>
        <v>1.0575504000000001E-6</v>
      </c>
    </row>
    <row r="607" spans="80:90" x14ac:dyDescent="0.25">
      <c r="CB607" s="137" t="s">
        <v>174</v>
      </c>
      <c r="CC607" s="155">
        <v>1</v>
      </c>
      <c r="CD607" s="156" t="s">
        <v>2</v>
      </c>
      <c r="CE607" s="67"/>
      <c r="CF607" s="67"/>
      <c r="CG607" s="139" t="s">
        <v>18</v>
      </c>
      <c r="CH607" s="67"/>
      <c r="CI607" s="139" t="s">
        <v>18</v>
      </c>
      <c r="CJ607" s="71">
        <f>18.552</f>
        <v>18.552</v>
      </c>
    </row>
    <row r="608" spans="80:90" x14ac:dyDescent="0.25">
      <c r="CB608" s="137" t="s">
        <v>175</v>
      </c>
      <c r="CC608" s="152">
        <f>7*4</f>
        <v>28</v>
      </c>
      <c r="CD608" s="138" t="s">
        <v>5</v>
      </c>
      <c r="CE608" s="71"/>
      <c r="CF608" s="71"/>
      <c r="CG608" s="71"/>
      <c r="CH608" s="71">
        <f>1/1000</f>
        <v>1E-3</v>
      </c>
      <c r="CI608" s="139" t="s">
        <v>18</v>
      </c>
      <c r="CJ608" s="139">
        <f>CC608*CH608</f>
        <v>2.8000000000000001E-2</v>
      </c>
    </row>
    <row r="656" spans="70:70" x14ac:dyDescent="0.25">
      <c r="BR656" s="140">
        <f>(BU665-BN669)</f>
        <v>4.056</v>
      </c>
    </row>
    <row r="660" spans="66:74" x14ac:dyDescent="0.25">
      <c r="BN660" s="18" t="s">
        <v>36</v>
      </c>
    </row>
    <row r="661" spans="66:74" x14ac:dyDescent="0.25">
      <c r="BN661" s="19">
        <v>1E-4</v>
      </c>
    </row>
    <row r="662" spans="66:74" x14ac:dyDescent="0.25">
      <c r="BN662" s="18">
        <f>BN663+BN663*BN661</f>
        <v>7.6979910248511061</v>
      </c>
    </row>
    <row r="663" spans="66:74" x14ac:dyDescent="0.25">
      <c r="BN663" s="130">
        <f>BN622+BY678</f>
        <v>7.697221302720834</v>
      </c>
      <c r="BU663" s="41" t="s">
        <v>58</v>
      </c>
      <c r="BV663" s="41"/>
    </row>
    <row r="664" spans="66:74" x14ac:dyDescent="0.25">
      <c r="BN664" s="13" t="s">
        <v>34</v>
      </c>
      <c r="BU664" s="25" t="s">
        <v>156</v>
      </c>
      <c r="BV664" s="4"/>
    </row>
    <row r="665" spans="66:74" x14ac:dyDescent="0.25">
      <c r="BN665" s="29" t="s">
        <v>238</v>
      </c>
      <c r="BU665" s="129">
        <f>BY678</f>
        <v>7.697221302720834</v>
      </c>
      <c r="BV665" s="4" t="s">
        <v>18</v>
      </c>
    </row>
    <row r="666" spans="66:74" x14ac:dyDescent="0.25">
      <c r="BN666" s="14" t="s">
        <v>35</v>
      </c>
      <c r="BQ666" s="404" t="s">
        <v>51</v>
      </c>
      <c r="BR666" s="405"/>
      <c r="BU666" s="12">
        <f>6/1000</f>
        <v>6.0000000000000001E-3</v>
      </c>
      <c r="BV666" s="4" t="s">
        <v>158</v>
      </c>
    </row>
    <row r="667" spans="66:74" x14ac:dyDescent="0.25">
      <c r="BN667" s="130">
        <f>BN663</f>
        <v>7.697221302720834</v>
      </c>
      <c r="BQ667" s="406" t="s">
        <v>159</v>
      </c>
      <c r="BR667" s="407"/>
    </row>
    <row r="668" spans="66:74" x14ac:dyDescent="0.25">
      <c r="BN668" s="15" t="s">
        <v>36</v>
      </c>
      <c r="BQ668" s="43">
        <f>IF(CJ716-BN663&lt;0,0,CJ716-BN663)</f>
        <v>0</v>
      </c>
      <c r="BR668" s="44" t="s">
        <v>18</v>
      </c>
    </row>
    <row r="669" spans="66:74" x14ac:dyDescent="0.25">
      <c r="BN669" s="210">
        <f>BN667-CJ716</f>
        <v>3.641221302720834</v>
      </c>
      <c r="BO669" s="209"/>
      <c r="BQ669" s="43">
        <f>BQ668</f>
        <v>0</v>
      </c>
      <c r="BR669" s="44" t="s">
        <v>18</v>
      </c>
    </row>
    <row r="670" spans="66:74" x14ac:dyDescent="0.25">
      <c r="BN670" s="209" t="s">
        <v>168</v>
      </c>
      <c r="BO670" s="209"/>
    </row>
    <row r="674" spans="73:90" x14ac:dyDescent="0.25">
      <c r="BU674" s="10"/>
      <c r="BV674" s="10"/>
      <c r="BW674" s="10"/>
      <c r="BX674" s="10"/>
      <c r="BY674" s="10"/>
    </row>
    <row r="675" spans="73:90" x14ac:dyDescent="0.25">
      <c r="BU675" s="10"/>
      <c r="BV675" s="10"/>
      <c r="BW675" s="10"/>
      <c r="BX675" s="10"/>
      <c r="BY675" s="48" t="s">
        <v>141</v>
      </c>
    </row>
    <row r="676" spans="73:90" x14ac:dyDescent="0.25">
      <c r="BU676" s="10"/>
      <c r="BV676" s="10"/>
      <c r="BW676" s="10"/>
      <c r="BX676" s="10"/>
      <c r="BY676" s="49" t="s">
        <v>36</v>
      </c>
    </row>
    <row r="677" spans="73:90" x14ac:dyDescent="0.25">
      <c r="BU677" s="10"/>
      <c r="BV677" s="10"/>
      <c r="BW677" s="10"/>
      <c r="BX677" s="10"/>
      <c r="BY677" s="45" t="s">
        <v>54</v>
      </c>
    </row>
    <row r="678" spans="73:90" x14ac:dyDescent="0.25">
      <c r="BU678" s="10"/>
      <c r="BV678" s="10"/>
      <c r="BW678" s="10"/>
      <c r="BX678" s="10"/>
      <c r="BY678" s="121">
        <f>BY679-BY683</f>
        <v>7.697221302720834</v>
      </c>
    </row>
    <row r="679" spans="73:90" x14ac:dyDescent="0.25">
      <c r="BU679" s="10"/>
      <c r="BV679" s="10"/>
      <c r="BW679" s="10"/>
      <c r="BX679" s="10"/>
      <c r="BY679" s="113">
        <f>BV685</f>
        <v>161.64164735713723</v>
      </c>
    </row>
    <row r="680" spans="73:90" x14ac:dyDescent="0.25">
      <c r="BU680" s="421" t="s">
        <v>139</v>
      </c>
      <c r="BV680" s="421"/>
      <c r="BW680" s="10"/>
      <c r="BX680" s="10"/>
      <c r="BY680" s="47" t="s">
        <v>34</v>
      </c>
      <c r="CJ680" s="419" t="s">
        <v>51</v>
      </c>
      <c r="CK680" s="420"/>
    </row>
    <row r="681" spans="73:90" x14ac:dyDescent="0.25">
      <c r="BU681" s="421"/>
      <c r="BV681" s="421"/>
      <c r="BW681" s="10"/>
      <c r="BX681" s="10"/>
      <c r="BY681" s="118" t="s">
        <v>138</v>
      </c>
      <c r="CJ681" s="142" t="str">
        <f>CK688</f>
        <v>cassata</v>
      </c>
      <c r="CK681" s="143">
        <f>CN680</f>
        <v>0</v>
      </c>
    </row>
    <row r="682" spans="73:90" x14ac:dyDescent="0.25">
      <c r="BU682" s="120" t="s">
        <v>1</v>
      </c>
      <c r="BV682" s="120" t="s">
        <v>1</v>
      </c>
      <c r="BW682" s="116"/>
      <c r="BX682" s="10"/>
      <c r="BY682" s="48" t="s">
        <v>35</v>
      </c>
      <c r="CJ682" s="120">
        <f>CK691</f>
        <v>25.687999999999999</v>
      </c>
      <c r="CK682" s="141" t="str">
        <f>CK690</f>
        <v>en m^3</v>
      </c>
    </row>
    <row r="683" spans="73:90" x14ac:dyDescent="0.25">
      <c r="BU683" s="120">
        <f>BV683</f>
        <v>161.64164735713723</v>
      </c>
      <c r="BV683" s="67">
        <f>BV685</f>
        <v>161.64164735713723</v>
      </c>
      <c r="BW683" s="55"/>
      <c r="BX683" s="10"/>
      <c r="BY683" s="10">
        <f>CH698</f>
        <v>153.9444260544164</v>
      </c>
      <c r="CJ683" s="120">
        <f>CL691</f>
        <v>4110.08</v>
      </c>
      <c r="CK683" s="141" t="str">
        <f>CL690</f>
        <v>en kg</v>
      </c>
    </row>
    <row r="684" spans="73:90" x14ac:dyDescent="0.25">
      <c r="BU684" s="422" t="s">
        <v>251</v>
      </c>
      <c r="BV684" s="10"/>
      <c r="BW684" s="10"/>
      <c r="BX684" s="10"/>
      <c r="BY684" s="50" t="s">
        <v>36</v>
      </c>
    </row>
    <row r="685" spans="73:90" x14ac:dyDescent="0.25">
      <c r="BU685" s="423"/>
      <c r="BV685" s="10">
        <f>BY683+BY683*0.05</f>
        <v>161.64164735713723</v>
      </c>
      <c r="BW685" s="10"/>
      <c r="BX685" s="10"/>
      <c r="BY685" s="117" t="s">
        <v>63</v>
      </c>
    </row>
    <row r="686" spans="73:90" x14ac:dyDescent="0.25">
      <c r="BU686" s="10"/>
      <c r="BV686" s="48"/>
      <c r="BW686" s="10"/>
      <c r="BX686" s="10"/>
      <c r="BY686" s="28"/>
    </row>
    <row r="687" spans="73:90" x14ac:dyDescent="0.25">
      <c r="BU687" s="10"/>
      <c r="BV687" s="10"/>
      <c r="BW687" s="10"/>
      <c r="BX687" s="10"/>
      <c r="BY687" s="16"/>
    </row>
    <row r="688" spans="73:90" x14ac:dyDescent="0.25">
      <c r="BU688" s="10"/>
      <c r="BV688" s="10"/>
      <c r="BW688" s="10"/>
      <c r="BX688" s="10"/>
      <c r="BY688" s="10"/>
      <c r="CK688" s="424" t="s">
        <v>182</v>
      </c>
      <c r="CL688" s="425"/>
    </row>
    <row r="689" spans="73:93" x14ac:dyDescent="0.25">
      <c r="BU689" s="10"/>
      <c r="BV689" s="10"/>
      <c r="BW689" s="10"/>
      <c r="BX689" s="48"/>
      <c r="BY689" s="52">
        <f>BV685-CB684</f>
        <v>161.64164735713723</v>
      </c>
      <c r="CK689" s="426"/>
      <c r="CL689" s="427"/>
    </row>
    <row r="690" spans="73:93" x14ac:dyDescent="0.25">
      <c r="CK690" s="101" t="s">
        <v>50</v>
      </c>
      <c r="CL690" s="101" t="s">
        <v>1</v>
      </c>
    </row>
    <row r="691" spans="73:93" x14ac:dyDescent="0.25">
      <c r="CK691" s="101">
        <f>CE730*CM701</f>
        <v>25.687999999999999</v>
      </c>
      <c r="CL691" s="4">
        <f>CM701*CI730</f>
        <v>4110.08</v>
      </c>
      <c r="CN691" s="14" t="s">
        <v>247</v>
      </c>
    </row>
    <row r="692" spans="73:93" x14ac:dyDescent="0.25">
      <c r="CN692" s="14">
        <f>CJ683+CI708+CJ712</f>
        <v>4112.2554249549394</v>
      </c>
    </row>
    <row r="695" spans="73:93" x14ac:dyDescent="0.25">
      <c r="CH695" s="410" t="s">
        <v>141</v>
      </c>
      <c r="CI695" s="410"/>
    </row>
    <row r="696" spans="73:93" x14ac:dyDescent="0.25">
      <c r="CH696" s="410"/>
      <c r="CI696" s="410"/>
    </row>
    <row r="697" spans="73:93" x14ac:dyDescent="0.25">
      <c r="CH697" s="101" t="s">
        <v>1</v>
      </c>
      <c r="CI697" s="101" t="s">
        <v>1</v>
      </c>
    </row>
    <row r="698" spans="73:93" x14ac:dyDescent="0.25">
      <c r="CH698" s="101">
        <f>CI698</f>
        <v>153.9444260544164</v>
      </c>
      <c r="CI698" s="4">
        <f>CM701*(CI723+CI724+CI726+CI727+CI728+CI729)</f>
        <v>153.9444260544164</v>
      </c>
    </row>
    <row r="699" spans="73:93" x14ac:dyDescent="0.25">
      <c r="CK699">
        <f>CI698+CI704+CI708+CJ712+CJ716</f>
        <v>506.96385100935515</v>
      </c>
      <c r="CM699" s="416" t="s">
        <v>52</v>
      </c>
      <c r="CN699" s="416"/>
    </row>
    <row r="700" spans="73:93" x14ac:dyDescent="0.25">
      <c r="CK700" s="13" t="s">
        <v>34</v>
      </c>
      <c r="CM700" s="417" t="s">
        <v>248</v>
      </c>
      <c r="CN700" s="418"/>
      <c r="CO700" s="127" t="s">
        <v>249</v>
      </c>
    </row>
    <row r="701" spans="73:93" x14ac:dyDescent="0.25">
      <c r="CK701" s="109" t="s">
        <v>160</v>
      </c>
      <c r="CM701" s="223">
        <v>169</v>
      </c>
      <c r="CN701" s="4" t="s">
        <v>27</v>
      </c>
    </row>
    <row r="702" spans="73:93" x14ac:dyDescent="0.25">
      <c r="CH702" s="410" t="s">
        <v>134</v>
      </c>
      <c r="CI702" s="410"/>
      <c r="CK702" s="14" t="s">
        <v>35</v>
      </c>
      <c r="CM702" s="4">
        <f>CM701*CJ727</f>
        <v>4617.0438510093554</v>
      </c>
      <c r="CN702" s="4" t="s">
        <v>28</v>
      </c>
    </row>
    <row r="703" spans="73:93" x14ac:dyDescent="0.25">
      <c r="CD703" s="1"/>
      <c r="CH703" s="101" t="s">
        <v>50</v>
      </c>
      <c r="CI703" s="101" t="s">
        <v>1</v>
      </c>
      <c r="CK703">
        <f>CM702</f>
        <v>4617.0438510093554</v>
      </c>
    </row>
    <row r="704" spans="73:93" x14ac:dyDescent="0.25">
      <c r="CD704" s="18" t="s">
        <v>36</v>
      </c>
      <c r="CH704" s="101">
        <f>CM701*CE721</f>
        <v>19.265999999999998</v>
      </c>
      <c r="CI704" s="4">
        <f>CM701*(CI721)</f>
        <v>346.78799999999995</v>
      </c>
      <c r="CK704" s="15" t="s">
        <v>36</v>
      </c>
    </row>
    <row r="705" spans="76:92" x14ac:dyDescent="0.25">
      <c r="CD705" s="19">
        <v>1.0000000000000001E-5</v>
      </c>
      <c r="CK705" s="1">
        <f>CK699-CK703</f>
        <v>-4110.08</v>
      </c>
    </row>
    <row r="706" spans="76:92" x14ac:dyDescent="0.25">
      <c r="BX706" s="473" t="s">
        <v>87</v>
      </c>
      <c r="BY706" s="473"/>
      <c r="CD706" s="18">
        <f>CD707-CD711</f>
        <v>0</v>
      </c>
      <c r="CH706" s="410" t="s">
        <v>98</v>
      </c>
      <c r="CI706" s="410"/>
      <c r="CK706" s="28" t="s">
        <v>45</v>
      </c>
    </row>
    <row r="707" spans="76:92" x14ac:dyDescent="0.25">
      <c r="BX707" s="447" t="str">
        <f>CA712</f>
        <v>Bloque de espuma</v>
      </c>
      <c r="BY707" s="448"/>
      <c r="CD707" s="1">
        <f>CB716</f>
        <v>346.78799999999995</v>
      </c>
      <c r="CH707" s="101" t="s">
        <v>30</v>
      </c>
      <c r="CI707" s="101" t="s">
        <v>1</v>
      </c>
    </row>
    <row r="708" spans="76:92" x14ac:dyDescent="0.25">
      <c r="BX708" s="12"/>
      <c r="BY708" s="4" t="s">
        <v>18</v>
      </c>
      <c r="CD708" s="13" t="s">
        <v>34</v>
      </c>
      <c r="CH708" s="101">
        <f>CM701*CE725</f>
        <v>169</v>
      </c>
      <c r="CI708" s="4">
        <f>CM701*(CI725)</f>
        <v>1.4382978723404256</v>
      </c>
    </row>
    <row r="709" spans="76:92" x14ac:dyDescent="0.25">
      <c r="BX709" s="12"/>
      <c r="BY709" s="4" t="s">
        <v>16</v>
      </c>
      <c r="CD709" s="109" t="s">
        <v>142</v>
      </c>
    </row>
    <row r="710" spans="76:92" x14ac:dyDescent="0.25">
      <c r="CD710" s="14" t="s">
        <v>35</v>
      </c>
      <c r="CE710" s="409" t="s">
        <v>51</v>
      </c>
      <c r="CF710" s="409"/>
      <c r="CG710" s="144"/>
      <c r="CI710" s="410" t="s">
        <v>137</v>
      </c>
      <c r="CJ710" s="410"/>
    </row>
    <row r="711" spans="76:92" x14ac:dyDescent="0.25">
      <c r="CD711">
        <f>CI704</f>
        <v>346.78799999999995</v>
      </c>
      <c r="CE711" s="142" t="s">
        <v>98</v>
      </c>
      <c r="CF711" s="143" t="str">
        <f>CI710</f>
        <v>Hilo</v>
      </c>
      <c r="CG711" s="103"/>
      <c r="CI711" s="101" t="s">
        <v>30</v>
      </c>
      <c r="CJ711" s="101" t="s">
        <v>1</v>
      </c>
      <c r="CM711" s="140"/>
      <c r="CN711" t="s">
        <v>91</v>
      </c>
    </row>
    <row r="712" spans="76:92" x14ac:dyDescent="0.25">
      <c r="CA712" s="474" t="s">
        <v>143</v>
      </c>
      <c r="CB712" s="474"/>
      <c r="CD712" s="15" t="s">
        <v>36</v>
      </c>
      <c r="CE712" s="120">
        <f>CI708</f>
        <v>1.4382978723404256</v>
      </c>
      <c r="CF712" s="141">
        <f>CJ712</f>
        <v>0.73712708259839999</v>
      </c>
      <c r="CG712" s="4" t="s">
        <v>18</v>
      </c>
      <c r="CI712" s="101">
        <f>CE722*CM701</f>
        <v>9500.7744000000002</v>
      </c>
      <c r="CJ712" s="4">
        <f>CM701*(CI722)</f>
        <v>0.73712708259839999</v>
      </c>
    </row>
    <row r="713" spans="76:92" x14ac:dyDescent="0.25">
      <c r="CA713" s="474"/>
      <c r="CB713" s="474"/>
      <c r="CD713" s="28" t="s">
        <v>45</v>
      </c>
      <c r="CE713" s="120">
        <f>CH708</f>
        <v>169</v>
      </c>
      <c r="CF713" s="141">
        <f>CI712</f>
        <v>9500.7744000000002</v>
      </c>
      <c r="CG713" s="4" t="s">
        <v>16</v>
      </c>
    </row>
    <row r="714" spans="76:92" x14ac:dyDescent="0.25">
      <c r="CA714" s="101" t="s">
        <v>50</v>
      </c>
      <c r="CB714" s="101" t="s">
        <v>1</v>
      </c>
      <c r="CC714" s="101" t="s">
        <v>42</v>
      </c>
      <c r="CD714" s="28"/>
      <c r="CI714" s="410" t="s">
        <v>161</v>
      </c>
      <c r="CJ714" s="410"/>
    </row>
    <row r="715" spans="76:92" x14ac:dyDescent="0.25">
      <c r="CA715" s="27"/>
      <c r="CB715" s="4"/>
      <c r="CC715" s="101"/>
      <c r="CD715" s="16"/>
      <c r="CI715" s="101" t="s">
        <v>4</v>
      </c>
      <c r="CJ715" s="101" t="s">
        <v>1</v>
      </c>
    </row>
    <row r="716" spans="76:92" x14ac:dyDescent="0.25">
      <c r="BZ716" s="14" t="s">
        <v>252</v>
      </c>
      <c r="CA716" s="14">
        <f>CH704</f>
        <v>19.265999999999998</v>
      </c>
      <c r="CB716" s="14">
        <f>CI704</f>
        <v>346.78799999999995</v>
      </c>
      <c r="CI716" s="101">
        <f>CM701*4</f>
        <v>676</v>
      </c>
      <c r="CJ716" s="4">
        <f>CI731*CM701</f>
        <v>4.056</v>
      </c>
    </row>
    <row r="717" spans="76:92" x14ac:dyDescent="0.25">
      <c r="CD717" s="22">
        <f>CB716-CI704</f>
        <v>0</v>
      </c>
    </row>
    <row r="719" spans="76:92" x14ac:dyDescent="0.25">
      <c r="CB719" s="415" t="str">
        <f>CM700</f>
        <v>C. Cassata 100 x190</v>
      </c>
      <c r="CC719" s="415"/>
      <c r="CD719" s="4" t="s">
        <v>19</v>
      </c>
      <c r="CE719" s="101" t="s">
        <v>20</v>
      </c>
      <c r="CF719" s="101" t="s">
        <v>2</v>
      </c>
      <c r="CG719" s="101" t="s">
        <v>21</v>
      </c>
      <c r="CH719" s="101" t="s">
        <v>2</v>
      </c>
      <c r="CI719" s="11" t="s">
        <v>24</v>
      </c>
    </row>
    <row r="720" spans="76:92" x14ac:dyDescent="0.25">
      <c r="CA720" s="101"/>
      <c r="CB720" s="104"/>
      <c r="CC720" s="104"/>
      <c r="CD720" s="23"/>
      <c r="CE720" s="23"/>
      <c r="CF720" s="23"/>
      <c r="CG720" s="23"/>
      <c r="CH720" s="23"/>
      <c r="CI720" s="39"/>
    </row>
    <row r="721" spans="79:89" x14ac:dyDescent="0.25">
      <c r="CA721" s="27" t="s">
        <v>128</v>
      </c>
      <c r="CB721" s="104">
        <f>(100*190*3)*2</f>
        <v>114000</v>
      </c>
      <c r="CC721" s="104" t="s">
        <v>26</v>
      </c>
      <c r="CD721" s="23">
        <v>9.9999999999999995E-7</v>
      </c>
      <c r="CE721" s="23">
        <f t="shared" ref="CE721:CE728" si="95">CB721*CD721</f>
        <v>0.11399999999999999</v>
      </c>
      <c r="CF721" s="23" t="s">
        <v>15</v>
      </c>
      <c r="CG721" s="23">
        <v>18</v>
      </c>
      <c r="CH721" s="23" t="s">
        <v>13</v>
      </c>
      <c r="CI721" s="23">
        <f>CE721*CG721</f>
        <v>2.0519999999999996</v>
      </c>
    </row>
    <row r="722" spans="79:89" x14ac:dyDescent="0.25">
      <c r="CA722" s="27" t="s">
        <v>130</v>
      </c>
      <c r="CB722" s="104">
        <f>5621.76</f>
        <v>5621.76</v>
      </c>
      <c r="CC722" s="104" t="s">
        <v>10</v>
      </c>
      <c r="CD722" s="23">
        <f>1/100</f>
        <v>0.01</v>
      </c>
      <c r="CE722" s="23">
        <f t="shared" si="95"/>
        <v>56.217600000000004</v>
      </c>
      <c r="CF722" s="23" t="s">
        <v>16</v>
      </c>
      <c r="CG722" s="23">
        <v>7.7585999999999999E-5</v>
      </c>
      <c r="CH722" s="23" t="s">
        <v>22</v>
      </c>
      <c r="CI722" s="23">
        <f t="shared" ref="CI722:CI724" si="96">CE722*CG722</f>
        <v>4.3616987136000001E-3</v>
      </c>
    </row>
    <row r="723" spans="79:89" x14ac:dyDescent="0.25">
      <c r="CA723" s="27" t="s">
        <v>164</v>
      </c>
      <c r="CB723" s="104">
        <f>210*210*0.3</f>
        <v>13230</v>
      </c>
      <c r="CC723" s="104" t="s">
        <v>26</v>
      </c>
      <c r="CD723" s="23">
        <v>9.9999999999999995E-7</v>
      </c>
      <c r="CE723" s="23">
        <f t="shared" si="95"/>
        <v>1.3229999999999999E-2</v>
      </c>
      <c r="CF723" s="23" t="s">
        <v>15</v>
      </c>
      <c r="CG723" s="23">
        <v>12</v>
      </c>
      <c r="CH723" s="23" t="s">
        <v>13</v>
      </c>
      <c r="CI723" s="23">
        <f t="shared" si="96"/>
        <v>0.15875999999999998</v>
      </c>
    </row>
    <row r="724" spans="79:89" x14ac:dyDescent="0.25">
      <c r="CA724" s="27" t="s">
        <v>127</v>
      </c>
      <c r="CB724" s="104">
        <f>56000</f>
        <v>56000</v>
      </c>
      <c r="CC724" s="104" t="s">
        <v>9</v>
      </c>
      <c r="CD724" s="23">
        <f>0.0001</f>
        <v>1E-4</v>
      </c>
      <c r="CE724" s="23">
        <f t="shared" si="95"/>
        <v>5.6000000000000005</v>
      </c>
      <c r="CF724" s="23" t="s">
        <v>17</v>
      </c>
      <c r="CG724" s="23">
        <f>20/1000</f>
        <v>0.02</v>
      </c>
      <c r="CH724" s="23" t="s">
        <v>23</v>
      </c>
      <c r="CI724" s="23">
        <f t="shared" si="96"/>
        <v>0.11200000000000002</v>
      </c>
    </row>
    <row r="725" spans="79:89" x14ac:dyDescent="0.25">
      <c r="CA725" s="27" t="s">
        <v>93</v>
      </c>
      <c r="CB725" s="104">
        <v>100</v>
      </c>
      <c r="CC725" s="104" t="s">
        <v>10</v>
      </c>
      <c r="CD725" s="23">
        <f>1/100</f>
        <v>0.01</v>
      </c>
      <c r="CE725" s="23">
        <f t="shared" si="95"/>
        <v>1</v>
      </c>
      <c r="CF725" s="23" t="s">
        <v>16</v>
      </c>
      <c r="CG725" s="23">
        <f>1/117.5</f>
        <v>8.5106382978723406E-3</v>
      </c>
      <c r="CH725" s="23" t="s">
        <v>22</v>
      </c>
      <c r="CI725" s="23">
        <f>CE725*CG725</f>
        <v>8.5106382978723406E-3</v>
      </c>
    </row>
    <row r="726" spans="79:89" x14ac:dyDescent="0.25">
      <c r="CA726" s="132" t="s">
        <v>130</v>
      </c>
      <c r="CB726" s="104">
        <f>2400.96</f>
        <v>2400.96</v>
      </c>
      <c r="CC726" s="104" t="s">
        <v>10</v>
      </c>
      <c r="CD726" s="23">
        <f>1/100</f>
        <v>0.01</v>
      </c>
      <c r="CE726" s="23">
        <f t="shared" si="95"/>
        <v>24.009600000000002</v>
      </c>
      <c r="CF726" s="23" t="s">
        <v>16</v>
      </c>
      <c r="CG726" s="23">
        <v>7.7585999999999999E-5</v>
      </c>
      <c r="CH726" s="23" t="s">
        <v>22</v>
      </c>
      <c r="CI726" s="23">
        <f>CE726*CG726</f>
        <v>1.8628088256000001E-3</v>
      </c>
      <c r="CJ726" s="408" t="s">
        <v>250</v>
      </c>
      <c r="CK726" s="408"/>
    </row>
    <row r="727" spans="79:89" x14ac:dyDescent="0.25">
      <c r="CA727" s="132" t="s">
        <v>132</v>
      </c>
      <c r="CB727" s="131">
        <f>227*227</f>
        <v>51529</v>
      </c>
      <c r="CC727" s="131" t="s">
        <v>9</v>
      </c>
      <c r="CD727" s="39">
        <f>0.0001</f>
        <v>1E-4</v>
      </c>
      <c r="CE727" s="39">
        <f t="shared" si="95"/>
        <v>5.1528999999999998</v>
      </c>
      <c r="CF727" s="39" t="s">
        <v>17</v>
      </c>
      <c r="CG727" s="39">
        <v>0.1</v>
      </c>
      <c r="CH727" s="39" t="s">
        <v>23</v>
      </c>
      <c r="CI727" s="39">
        <f>CE727*CG727</f>
        <v>0.51529000000000003</v>
      </c>
      <c r="CJ727" s="4">
        <f>CI721+CI722+CI723+CI724+CI725+CI726+CI727+CI728+CI729+CI730+CI731</f>
        <v>27.319786100647072</v>
      </c>
      <c r="CK727" s="4" t="s">
        <v>18</v>
      </c>
    </row>
    <row r="728" spans="79:89" x14ac:dyDescent="0.25">
      <c r="CA728" s="108" t="s">
        <v>165</v>
      </c>
      <c r="CB728" s="71">
        <f>0.515*0.515*0.3</f>
        <v>7.9567499999999999E-2</v>
      </c>
      <c r="CC728" s="127" t="s">
        <v>26</v>
      </c>
      <c r="CD728" s="71">
        <v>9.9999999999999995E-7</v>
      </c>
      <c r="CE728" s="71">
        <f t="shared" si="95"/>
        <v>7.9567500000000001E-8</v>
      </c>
      <c r="CF728" s="71" t="s">
        <v>15</v>
      </c>
      <c r="CG728" s="71">
        <v>12</v>
      </c>
      <c r="CH728" s="71" t="s">
        <v>13</v>
      </c>
      <c r="CI728" s="71">
        <f>CE728*CG728</f>
        <v>9.5481000000000001E-7</v>
      </c>
    </row>
    <row r="729" spans="79:89" x14ac:dyDescent="0.25">
      <c r="CA729" s="134" t="s">
        <v>166</v>
      </c>
      <c r="CB729" s="135"/>
      <c r="CC729" s="135"/>
      <c r="CD729" s="135"/>
      <c r="CE729" s="136">
        <v>1.23</v>
      </c>
      <c r="CF729" s="136" t="s">
        <v>17</v>
      </c>
      <c r="CG729" s="136">
        <v>0.1</v>
      </c>
      <c r="CH729" s="136" t="s">
        <v>22</v>
      </c>
      <c r="CI729" s="136">
        <f>CE729*CG729</f>
        <v>0.123</v>
      </c>
    </row>
    <row r="730" spans="79:89" x14ac:dyDescent="0.25">
      <c r="CA730" s="137" t="s">
        <v>182</v>
      </c>
      <c r="CB730" s="14">
        <f>190*100*8</f>
        <v>152000</v>
      </c>
      <c r="CC730" s="104" t="s">
        <v>26</v>
      </c>
      <c r="CD730" s="23">
        <v>9.9999999999999995E-7</v>
      </c>
      <c r="CE730" s="23">
        <f>CB730*CD730</f>
        <v>0.152</v>
      </c>
      <c r="CF730" s="23" t="s">
        <v>15</v>
      </c>
      <c r="CG730" s="23">
        <v>80</v>
      </c>
      <c r="CH730" s="133" t="s">
        <v>13</v>
      </c>
      <c r="CI730" s="133">
        <f>CG730*CE730*2</f>
        <v>24.32</v>
      </c>
    </row>
    <row r="731" spans="79:89" x14ac:dyDescent="0.25">
      <c r="CA731" s="137" t="s">
        <v>167</v>
      </c>
      <c r="CB731" s="71">
        <f>6*4</f>
        <v>24</v>
      </c>
      <c r="CC731" s="138" t="s">
        <v>5</v>
      </c>
      <c r="CD731" s="71"/>
      <c r="CE731" s="71"/>
      <c r="CF731" s="71"/>
      <c r="CG731" s="71">
        <f>1/1000</f>
        <v>1E-3</v>
      </c>
      <c r="CH731" s="139" t="s">
        <v>18</v>
      </c>
      <c r="CI731" s="139">
        <f>CB731*CG731</f>
        <v>2.4E-2</v>
      </c>
    </row>
    <row r="765" spans="75:96" x14ac:dyDescent="0.25">
      <c r="BW765" s="224"/>
      <c r="BX765" s="224"/>
      <c r="BY765" s="224"/>
      <c r="BZ765" s="224"/>
      <c r="CA765" s="224"/>
      <c r="CB765" s="224"/>
      <c r="CC765" s="224"/>
      <c r="CD765" s="224"/>
      <c r="CE765" s="224"/>
      <c r="CF765" s="224"/>
      <c r="CG765" s="224"/>
      <c r="CH765" s="224"/>
      <c r="CI765" s="224"/>
      <c r="CJ765" s="224"/>
      <c r="CK765" s="224"/>
      <c r="CL765" s="224"/>
      <c r="CM765" s="224"/>
      <c r="CN765" s="224"/>
      <c r="CO765" s="224"/>
      <c r="CP765" s="224"/>
      <c r="CQ765" s="224"/>
      <c r="CR765" s="224"/>
    </row>
    <row r="766" spans="75:96" x14ac:dyDescent="0.25">
      <c r="BW766" s="224"/>
      <c r="BX766" s="224"/>
      <c r="BY766" s="224"/>
      <c r="BZ766" s="224"/>
      <c r="CA766" s="224"/>
      <c r="CB766" s="224"/>
      <c r="CC766" s="224"/>
      <c r="CD766" s="224"/>
      <c r="CE766" s="224"/>
      <c r="CF766" s="224"/>
      <c r="CG766" s="224"/>
      <c r="CH766" s="224"/>
      <c r="CI766" s="224"/>
      <c r="CJ766" s="224"/>
      <c r="CK766" s="224"/>
      <c r="CL766" s="224"/>
      <c r="CM766" s="224"/>
      <c r="CN766" s="225" t="s">
        <v>247</v>
      </c>
      <c r="CO766" s="224"/>
      <c r="CP766" s="224"/>
      <c r="CQ766" s="224"/>
      <c r="CR766" s="224"/>
    </row>
    <row r="767" spans="75:96" x14ac:dyDescent="0.25">
      <c r="BW767" s="224"/>
      <c r="BX767" s="224"/>
      <c r="BY767" s="224"/>
      <c r="BZ767" s="224"/>
      <c r="CA767" s="224"/>
      <c r="CB767" s="224"/>
      <c r="CC767" s="224"/>
      <c r="CD767" s="224"/>
      <c r="CE767" s="224"/>
      <c r="CF767" s="224"/>
      <c r="CG767" s="224"/>
      <c r="CH767" s="224"/>
      <c r="CI767" s="224"/>
      <c r="CJ767" s="224"/>
      <c r="CK767" s="224"/>
      <c r="CL767" s="224"/>
      <c r="CM767" s="224"/>
      <c r="CN767" s="225">
        <f>CJ791+CJ787</f>
        <v>8075.7006915000002</v>
      </c>
      <c r="CO767" s="224"/>
      <c r="CP767" s="224"/>
      <c r="CQ767" s="224"/>
      <c r="CR767" s="224"/>
    </row>
    <row r="768" spans="75:96" x14ac:dyDescent="0.25">
      <c r="BW768" s="224"/>
      <c r="BX768" s="224"/>
      <c r="BY768" s="224"/>
      <c r="BZ768" s="224"/>
      <c r="CA768" s="224"/>
      <c r="CB768" s="224"/>
      <c r="CC768" s="224"/>
      <c r="CD768" s="224"/>
      <c r="CE768" s="224"/>
      <c r="CF768" s="224"/>
      <c r="CG768" s="224"/>
      <c r="CH768" s="224"/>
      <c r="CI768" s="224"/>
      <c r="CJ768" s="224"/>
      <c r="CK768" s="224"/>
      <c r="CL768" s="224"/>
      <c r="CM768" s="224"/>
      <c r="CN768" s="224"/>
      <c r="CO768" s="224"/>
      <c r="CP768" s="224"/>
      <c r="CQ768" s="224"/>
      <c r="CR768" s="224"/>
    </row>
    <row r="769" spans="75:96" x14ac:dyDescent="0.25">
      <c r="BW769" s="224"/>
      <c r="BX769" s="224"/>
      <c r="BY769" s="224"/>
      <c r="BZ769" s="224"/>
      <c r="CA769" s="224"/>
      <c r="CB769" s="224"/>
      <c r="CC769" s="224"/>
      <c r="CD769" s="224"/>
      <c r="CE769" s="224"/>
      <c r="CF769" s="224"/>
      <c r="CG769" s="224"/>
      <c r="CH769" s="224"/>
      <c r="CI769" s="224"/>
      <c r="CJ769" s="224"/>
      <c r="CK769" s="224"/>
      <c r="CL769" s="224"/>
      <c r="CM769" s="224"/>
      <c r="CN769" s="224"/>
      <c r="CO769" s="224"/>
      <c r="CP769" s="224"/>
      <c r="CQ769" s="224"/>
      <c r="CR769" s="224"/>
    </row>
    <row r="770" spans="75:96" x14ac:dyDescent="0.25">
      <c r="BW770" s="224"/>
      <c r="BX770" s="224"/>
      <c r="BY770" s="224"/>
      <c r="BZ770" s="224"/>
      <c r="CA770" s="224"/>
      <c r="CB770" s="224"/>
      <c r="CC770" s="224"/>
      <c r="CD770" s="224"/>
      <c r="CE770" s="224"/>
      <c r="CF770" s="224"/>
      <c r="CG770" s="224"/>
      <c r="CH770" s="224"/>
      <c r="CI770" s="224"/>
      <c r="CJ770" s="224"/>
      <c r="CK770" s="224"/>
      <c r="CL770" s="224"/>
      <c r="CM770" s="224"/>
      <c r="CN770" s="224"/>
      <c r="CO770" s="224"/>
      <c r="CP770" s="224"/>
      <c r="CQ770" s="224"/>
      <c r="CR770" s="224"/>
    </row>
    <row r="771" spans="75:96" x14ac:dyDescent="0.25">
      <c r="BW771" s="224"/>
      <c r="BX771" s="224"/>
      <c r="BY771" s="224"/>
      <c r="BZ771" s="224"/>
      <c r="CA771" s="224"/>
      <c r="CB771" s="224"/>
      <c r="CC771" s="224"/>
      <c r="CD771" s="224"/>
      <c r="CE771" s="224"/>
      <c r="CF771" s="224"/>
      <c r="CG771" s="224"/>
      <c r="CH771" s="224"/>
      <c r="CI771" s="224"/>
      <c r="CJ771" s="224"/>
      <c r="CK771" s="224"/>
      <c r="CL771" s="224"/>
      <c r="CM771" s="224"/>
      <c r="CN771" s="224"/>
      <c r="CO771" s="224"/>
      <c r="CP771" s="224"/>
      <c r="CQ771" s="224"/>
      <c r="CR771" s="224"/>
    </row>
    <row r="772" spans="75:96" x14ac:dyDescent="0.25">
      <c r="BW772" s="224"/>
      <c r="BX772" s="224"/>
      <c r="BY772" s="224"/>
      <c r="BZ772" s="224"/>
      <c r="CA772" s="224"/>
      <c r="CB772" s="224"/>
      <c r="CC772" s="224"/>
      <c r="CD772" s="224"/>
      <c r="CE772" s="224"/>
      <c r="CF772" s="224"/>
      <c r="CG772" s="224"/>
      <c r="CH772" s="224"/>
      <c r="CI772" s="224"/>
      <c r="CJ772" s="224"/>
      <c r="CK772" s="224"/>
      <c r="CL772" s="224"/>
      <c r="CM772" s="224"/>
      <c r="CN772" s="224"/>
      <c r="CO772" s="224"/>
      <c r="CP772" s="224"/>
      <c r="CQ772" s="224"/>
      <c r="CR772" s="224"/>
    </row>
    <row r="773" spans="75:96" x14ac:dyDescent="0.25">
      <c r="BW773" s="224"/>
      <c r="BX773" s="224"/>
      <c r="BY773" s="224"/>
      <c r="BZ773" s="224"/>
      <c r="CA773" s="224"/>
      <c r="CB773" s="224"/>
      <c r="CC773" s="224"/>
      <c r="CD773" s="224"/>
      <c r="CE773" s="224"/>
      <c r="CF773" s="224"/>
      <c r="CG773" s="224"/>
      <c r="CH773" s="224"/>
      <c r="CI773" s="224"/>
      <c r="CJ773" s="224"/>
      <c r="CK773" s="224"/>
      <c r="CL773" s="224"/>
      <c r="CM773" s="224"/>
      <c r="CN773" s="224"/>
      <c r="CO773" s="224"/>
      <c r="CP773" s="224"/>
      <c r="CQ773" s="224"/>
      <c r="CR773" s="224"/>
    </row>
    <row r="774" spans="75:96" x14ac:dyDescent="0.25">
      <c r="BW774" s="224"/>
      <c r="BX774" s="224"/>
      <c r="BY774" s="224"/>
      <c r="BZ774" s="224"/>
      <c r="CA774" s="224"/>
      <c r="CB774" s="224"/>
      <c r="CC774" s="224"/>
      <c r="CD774" s="224"/>
      <c r="CE774" s="224"/>
      <c r="CF774" s="224"/>
      <c r="CG774" s="224"/>
      <c r="CH774" s="224"/>
      <c r="CI774" s="224"/>
      <c r="CJ774" s="224"/>
      <c r="CK774" s="224"/>
      <c r="CL774" s="224"/>
      <c r="CM774" s="387" t="s">
        <v>52</v>
      </c>
      <c r="CN774" s="388"/>
      <c r="CO774" s="224"/>
      <c r="CP774" s="224"/>
      <c r="CQ774" s="224"/>
      <c r="CR774" s="224"/>
    </row>
    <row r="775" spans="75:96" x14ac:dyDescent="0.25">
      <c r="BW775" s="224"/>
      <c r="BX775" s="224"/>
      <c r="BY775" s="224"/>
      <c r="BZ775" s="224"/>
      <c r="CA775" s="224"/>
      <c r="CB775" s="224"/>
      <c r="CC775" s="224"/>
      <c r="CD775" s="224"/>
      <c r="CE775" s="224"/>
      <c r="CF775" s="224"/>
      <c r="CG775" s="224"/>
      <c r="CH775" s="224"/>
      <c r="CI775" s="224"/>
      <c r="CJ775" s="224"/>
      <c r="CK775" s="291" t="s">
        <v>34</v>
      </c>
      <c r="CL775" s="224"/>
      <c r="CM775" s="389" t="s">
        <v>263</v>
      </c>
      <c r="CN775" s="390"/>
      <c r="CO775" s="138" t="s">
        <v>267</v>
      </c>
      <c r="CP775" s="224"/>
      <c r="CQ775" s="224"/>
      <c r="CR775" s="224"/>
    </row>
    <row r="776" spans="75:96" x14ac:dyDescent="0.25">
      <c r="BW776" s="224"/>
      <c r="BX776" s="224"/>
      <c r="BY776" s="224"/>
      <c r="BZ776" s="224"/>
      <c r="CA776" s="224"/>
      <c r="CB776" s="224"/>
      <c r="CC776" s="224"/>
      <c r="CD776" s="224"/>
      <c r="CE776" s="224"/>
      <c r="CF776" s="224"/>
      <c r="CG776" s="224"/>
      <c r="CH776" s="224"/>
      <c r="CI776" s="224"/>
      <c r="CJ776" s="224"/>
      <c r="CK776" s="292" t="s">
        <v>256</v>
      </c>
      <c r="CL776" s="224"/>
      <c r="CM776" s="293">
        <v>447</v>
      </c>
      <c r="CN776" s="289" t="s">
        <v>27</v>
      </c>
      <c r="CO776" s="224"/>
      <c r="CP776" s="224"/>
      <c r="CQ776" s="224"/>
      <c r="CR776" s="224"/>
    </row>
    <row r="777" spans="75:96" x14ac:dyDescent="0.25">
      <c r="BW777" s="224"/>
      <c r="BX777" s="224"/>
      <c r="BY777" s="224"/>
      <c r="BZ777" s="224"/>
      <c r="CA777" s="224"/>
      <c r="CB777" s="224"/>
      <c r="CC777" s="224"/>
      <c r="CD777" s="224"/>
      <c r="CE777" s="224"/>
      <c r="CF777" s="224"/>
      <c r="CG777" s="224"/>
      <c r="CH777" s="396" t="s">
        <v>257</v>
      </c>
      <c r="CI777" s="397"/>
      <c r="CJ777" s="224"/>
      <c r="CK777" s="225" t="s">
        <v>35</v>
      </c>
      <c r="CL777" s="224"/>
      <c r="CM777" s="289">
        <f>CM776*CJ802</f>
        <v>8710.6889999999985</v>
      </c>
      <c r="CN777" s="289" t="s">
        <v>28</v>
      </c>
      <c r="CO777" s="224"/>
      <c r="CP777" s="224"/>
      <c r="CQ777" s="224"/>
      <c r="CR777" s="224"/>
    </row>
    <row r="778" spans="75:96" x14ac:dyDescent="0.25">
      <c r="BW778" s="224"/>
      <c r="BX778" s="224"/>
      <c r="BY778" s="224"/>
      <c r="BZ778" s="224"/>
      <c r="CA778" s="224"/>
      <c r="CB778" s="224"/>
      <c r="CC778" s="224"/>
      <c r="CD778" s="294"/>
      <c r="CE778" s="224"/>
      <c r="CF778" s="224"/>
      <c r="CG778" s="224"/>
      <c r="CH778" s="11" t="str">
        <f>CF802</f>
        <v>m^2</v>
      </c>
      <c r="CI778" s="11" t="s">
        <v>1</v>
      </c>
      <c r="CJ778" s="224"/>
      <c r="CK778" s="224">
        <f>CM777</f>
        <v>8710.6889999999985</v>
      </c>
      <c r="CL778" s="224"/>
      <c r="CM778" s="224"/>
      <c r="CN778" s="224"/>
      <c r="CO778" s="224"/>
      <c r="CP778" s="224"/>
      <c r="CQ778" s="224"/>
      <c r="CR778" s="224"/>
    </row>
    <row r="779" spans="75:96" x14ac:dyDescent="0.25">
      <c r="BW779" s="224"/>
      <c r="BX779" s="224"/>
      <c r="BY779" s="224"/>
      <c r="BZ779" s="224"/>
      <c r="CA779" s="224"/>
      <c r="CB779" s="224"/>
      <c r="CC779" s="224"/>
      <c r="CD779" s="294" t="s">
        <v>36</v>
      </c>
      <c r="CE779" s="224"/>
      <c r="CF779" s="224"/>
      <c r="CG779" s="224"/>
      <c r="CH779" s="11">
        <f>CE802*CM776</f>
        <v>1830.4650000000004</v>
      </c>
      <c r="CI779" s="289">
        <f>CI802*CM776</f>
        <v>634.98830850000002</v>
      </c>
      <c r="CJ779" s="224"/>
      <c r="CK779" s="295" t="s">
        <v>36</v>
      </c>
      <c r="CL779" s="224"/>
      <c r="CM779" s="224"/>
      <c r="CN779" s="224"/>
      <c r="CO779" s="224"/>
      <c r="CP779" s="224"/>
      <c r="CQ779" s="224"/>
      <c r="CR779" s="224"/>
    </row>
    <row r="780" spans="75:96" x14ac:dyDescent="0.25">
      <c r="BW780" s="224"/>
      <c r="BX780" s="224"/>
      <c r="BY780" s="224"/>
      <c r="BZ780" s="224"/>
      <c r="CA780" s="224"/>
      <c r="CB780" s="224"/>
      <c r="CC780" s="224"/>
      <c r="CD780" s="296">
        <v>1.0000000000000001E-5</v>
      </c>
      <c r="CE780" s="224"/>
      <c r="CF780" s="224"/>
      <c r="CG780" s="224"/>
      <c r="CH780" s="224"/>
      <c r="CI780" s="224"/>
      <c r="CJ780" s="224"/>
      <c r="CK780" s="294">
        <f>CK774-CK778</f>
        <v>-8710.6889999999985</v>
      </c>
      <c r="CL780" s="224"/>
      <c r="CM780" s="224"/>
      <c r="CN780" s="224"/>
      <c r="CO780" s="224"/>
      <c r="CP780" s="224"/>
      <c r="CQ780" s="224"/>
      <c r="CR780" s="224"/>
    </row>
    <row r="781" spans="75:96" x14ac:dyDescent="0.25">
      <c r="BW781" s="224"/>
      <c r="BX781" s="398" t="s">
        <v>51</v>
      </c>
      <c r="BY781" s="399"/>
      <c r="BZ781" s="313"/>
      <c r="CA781" s="224"/>
      <c r="CB781" s="224"/>
      <c r="CC781" s="224"/>
      <c r="CD781" s="294">
        <f>CD782-CD786</f>
        <v>0</v>
      </c>
      <c r="CE781" s="224"/>
      <c r="CF781" s="224"/>
      <c r="CG781" s="224"/>
      <c r="CH781" s="224"/>
      <c r="CI781" s="224"/>
      <c r="CJ781" s="224"/>
      <c r="CK781" s="297" t="s">
        <v>45</v>
      </c>
      <c r="CL781" s="224"/>
      <c r="CM781" s="224"/>
      <c r="CN781" s="224"/>
      <c r="CO781" s="224"/>
      <c r="CP781" s="224"/>
      <c r="CQ781" s="224"/>
      <c r="CR781" s="224"/>
    </row>
    <row r="782" spans="75:96" x14ac:dyDescent="0.25">
      <c r="BW782" s="224"/>
      <c r="BX782" s="298" t="str">
        <f>CA787</f>
        <v>rollo tela dacrón</v>
      </c>
      <c r="BY782" s="299"/>
      <c r="BZ782" s="300"/>
      <c r="CA782" s="224"/>
      <c r="CB782" s="224"/>
      <c r="CC782" s="224"/>
      <c r="CD782" s="294">
        <f>CI779</f>
        <v>634.98830850000002</v>
      </c>
      <c r="CE782" s="224"/>
      <c r="CF782" s="224"/>
      <c r="CG782" s="224"/>
      <c r="CH782" s="224"/>
      <c r="CI782" s="224"/>
      <c r="CJ782" s="224"/>
      <c r="CK782" s="224"/>
      <c r="CL782" s="224"/>
      <c r="CM782" s="224"/>
      <c r="CN782" s="224"/>
      <c r="CO782" s="224"/>
      <c r="CP782" s="224"/>
      <c r="CQ782" s="224"/>
      <c r="CR782" s="224"/>
    </row>
    <row r="783" spans="75:96" x14ac:dyDescent="0.25">
      <c r="BW783" s="224"/>
      <c r="BX783" s="301"/>
      <c r="BY783" s="302">
        <f>CB790</f>
        <v>634.98830850000002</v>
      </c>
      <c r="BZ783" s="289" t="s">
        <v>18</v>
      </c>
      <c r="CA783" s="224"/>
      <c r="CB783" s="224"/>
      <c r="CC783" s="224"/>
      <c r="CD783" s="291" t="s">
        <v>34</v>
      </c>
      <c r="CE783" s="224"/>
      <c r="CF783" s="224"/>
      <c r="CG783" s="224"/>
      <c r="CH783" s="224"/>
      <c r="CI783" s="224"/>
      <c r="CJ783" s="224"/>
      <c r="CK783" s="224"/>
      <c r="CL783" s="224"/>
      <c r="CM783" s="224"/>
      <c r="CN783" s="224"/>
      <c r="CO783" s="224"/>
      <c r="CP783" s="224"/>
      <c r="CQ783" s="224"/>
      <c r="CR783" s="224"/>
    </row>
    <row r="784" spans="75:96" x14ac:dyDescent="0.25">
      <c r="BW784" s="224"/>
      <c r="BX784" s="301"/>
      <c r="BY784" s="302">
        <f>CA790</f>
        <v>1830.4650000000004</v>
      </c>
      <c r="BZ784" s="289" t="s">
        <v>17</v>
      </c>
      <c r="CA784" s="224"/>
      <c r="CB784" s="224"/>
      <c r="CC784" s="224"/>
      <c r="CD784" s="292" t="s">
        <v>264</v>
      </c>
      <c r="CE784" s="224"/>
      <c r="CF784" s="224"/>
      <c r="CG784" s="224"/>
      <c r="CH784" s="224"/>
      <c r="CI784" s="224"/>
      <c r="CJ784" s="224"/>
      <c r="CK784" s="224"/>
      <c r="CL784" s="224"/>
      <c r="CM784" s="224"/>
      <c r="CN784" s="224"/>
      <c r="CO784" s="224"/>
      <c r="CP784" s="224"/>
      <c r="CQ784" s="224"/>
      <c r="CR784" s="224"/>
    </row>
    <row r="785" spans="75:96" x14ac:dyDescent="0.25">
      <c r="BW785" s="224"/>
      <c r="BX785" s="224"/>
      <c r="BY785" s="224"/>
      <c r="BZ785" s="224"/>
      <c r="CA785" s="224"/>
      <c r="CB785" s="224"/>
      <c r="CC785" s="224"/>
      <c r="CD785" s="225" t="s">
        <v>35</v>
      </c>
      <c r="CE785" s="398" t="s">
        <v>51</v>
      </c>
      <c r="CF785" s="399"/>
      <c r="CG785" s="313"/>
      <c r="CH785" s="224"/>
      <c r="CI785" s="396" t="s">
        <v>137</v>
      </c>
      <c r="CJ785" s="397"/>
      <c r="CK785" s="224"/>
      <c r="CL785" s="224"/>
      <c r="CM785" s="224"/>
      <c r="CN785" s="224"/>
      <c r="CO785" s="224"/>
      <c r="CP785" s="224"/>
      <c r="CQ785" s="224"/>
      <c r="CR785" s="224"/>
    </row>
    <row r="786" spans="75:96" x14ac:dyDescent="0.25">
      <c r="BW786" s="224"/>
      <c r="BX786" s="224"/>
      <c r="BY786" s="224"/>
      <c r="BZ786" s="224"/>
      <c r="CA786" s="224"/>
      <c r="CB786" s="224"/>
      <c r="CC786" s="224"/>
      <c r="CD786" s="224">
        <f>CI779</f>
        <v>634.98830850000002</v>
      </c>
      <c r="CE786" s="298" t="str">
        <f>CI785</f>
        <v>Hilo</v>
      </c>
      <c r="CF786" s="299"/>
      <c r="CG786" s="300"/>
      <c r="CH786" s="224"/>
      <c r="CI786" s="11" t="s">
        <v>30</v>
      </c>
      <c r="CJ786" s="11" t="s">
        <v>1</v>
      </c>
      <c r="CK786" s="224"/>
      <c r="CL786" s="224"/>
      <c r="CM786" s="303"/>
      <c r="CN786" s="224" t="s">
        <v>91</v>
      </c>
      <c r="CO786" s="224"/>
      <c r="CP786" s="224"/>
      <c r="CQ786" s="224"/>
      <c r="CR786" s="224"/>
    </row>
    <row r="787" spans="75:96" x14ac:dyDescent="0.25">
      <c r="BW787" s="224"/>
      <c r="BX787" s="224"/>
      <c r="BY787" s="224"/>
      <c r="BZ787" s="224"/>
      <c r="CA787" s="400" t="s">
        <v>259</v>
      </c>
      <c r="CB787" s="401"/>
      <c r="CC787" s="224"/>
      <c r="CD787" s="295" t="s">
        <v>36</v>
      </c>
      <c r="CE787" s="301"/>
      <c r="CF787" s="302">
        <f>CJ787</f>
        <v>2.5386449544</v>
      </c>
      <c r="CG787" s="289" t="s">
        <v>18</v>
      </c>
      <c r="CH787" s="224"/>
      <c r="CI787" s="11">
        <f>CE801*CM776</f>
        <v>32720.400000000001</v>
      </c>
      <c r="CJ787" s="289">
        <f>CI801*CM776</f>
        <v>2.5386449544</v>
      </c>
      <c r="CK787" s="224"/>
      <c r="CL787" s="224"/>
      <c r="CM787" s="224"/>
      <c r="CN787" s="224"/>
      <c r="CO787" s="224"/>
      <c r="CP787" s="224"/>
      <c r="CQ787" s="224"/>
      <c r="CR787" s="224"/>
    </row>
    <row r="788" spans="75:96" x14ac:dyDescent="0.25">
      <c r="BW788" s="224"/>
      <c r="BX788" s="224"/>
      <c r="BY788" s="224"/>
      <c r="BZ788" s="224"/>
      <c r="CA788" s="402"/>
      <c r="CB788" s="403"/>
      <c r="CC788" s="224"/>
      <c r="CD788" s="297" t="s">
        <v>45</v>
      </c>
      <c r="CE788" s="301"/>
      <c r="CF788" s="302">
        <f>CI787</f>
        <v>32720.400000000001</v>
      </c>
      <c r="CG788" s="289" t="s">
        <v>16</v>
      </c>
      <c r="CH788" s="224"/>
      <c r="CI788" s="224"/>
      <c r="CJ788" s="224"/>
      <c r="CK788" s="224"/>
      <c r="CL788" s="224"/>
      <c r="CM788" s="224"/>
      <c r="CN788" s="224"/>
      <c r="CO788" s="224"/>
      <c r="CP788" s="224"/>
      <c r="CQ788" s="224"/>
      <c r="CR788" s="224"/>
    </row>
    <row r="789" spans="75:96" x14ac:dyDescent="0.25">
      <c r="BW789" s="224"/>
      <c r="BX789" s="224"/>
      <c r="BY789" s="224"/>
      <c r="BZ789" s="224"/>
      <c r="CA789" s="11" t="str">
        <f>CH778</f>
        <v>m^2</v>
      </c>
      <c r="CB789" s="11" t="s">
        <v>1</v>
      </c>
      <c r="CC789" s="11" t="s">
        <v>42</v>
      </c>
      <c r="CD789" s="297"/>
      <c r="CE789" s="224"/>
      <c r="CF789" s="224"/>
      <c r="CG789" s="224"/>
      <c r="CH789" s="224"/>
      <c r="CI789" s="396" t="s">
        <v>258</v>
      </c>
      <c r="CJ789" s="397"/>
      <c r="CK789" s="224"/>
      <c r="CL789" s="224"/>
      <c r="CM789" s="224"/>
      <c r="CN789" s="224"/>
      <c r="CO789" s="224"/>
      <c r="CP789" s="224"/>
      <c r="CQ789" s="224"/>
      <c r="CR789" s="224"/>
    </row>
    <row r="790" spans="75:96" x14ac:dyDescent="0.25">
      <c r="BW790" s="224"/>
      <c r="BX790" s="224"/>
      <c r="BY790" s="224"/>
      <c r="BZ790" s="224"/>
      <c r="CA790" s="11">
        <f>CH779</f>
        <v>1830.4650000000004</v>
      </c>
      <c r="CB790" s="289">
        <f>CD782</f>
        <v>634.98830850000002</v>
      </c>
      <c r="CC790" s="11"/>
      <c r="CD790" s="304"/>
      <c r="CE790" s="398" t="s">
        <v>51</v>
      </c>
      <c r="CF790" s="399"/>
      <c r="CG790" s="313"/>
      <c r="CH790" s="224"/>
      <c r="CI790" s="11"/>
      <c r="CJ790" s="11" t="s">
        <v>1</v>
      </c>
      <c r="CK790" s="224"/>
      <c r="CL790" s="224"/>
      <c r="CM790" s="224"/>
      <c r="CN790" s="224"/>
      <c r="CO790" s="224"/>
      <c r="CP790" s="224"/>
      <c r="CQ790" s="224"/>
      <c r="CR790" s="224"/>
    </row>
    <row r="791" spans="75:96" x14ac:dyDescent="0.25">
      <c r="BW791" s="224"/>
      <c r="BX791" s="224"/>
      <c r="BY791" s="224"/>
      <c r="BZ791" s="225"/>
      <c r="CA791" s="225"/>
      <c r="CB791" s="225"/>
      <c r="CC791" s="224"/>
      <c r="CD791" s="224"/>
      <c r="CE791" s="298" t="str">
        <f>CI789</f>
        <v>Algodón industrial</v>
      </c>
      <c r="CF791" s="299"/>
      <c r="CG791" s="300"/>
      <c r="CH791" s="224"/>
      <c r="CI791" s="11"/>
      <c r="CJ791" s="289">
        <f>CI800*CM776</f>
        <v>8073.1620465455999</v>
      </c>
      <c r="CK791" s="224"/>
      <c r="CL791" s="224"/>
      <c r="CM791" s="224"/>
      <c r="CN791" s="224"/>
      <c r="CO791" s="224"/>
      <c r="CP791" s="224"/>
      <c r="CQ791" s="224"/>
      <c r="CR791" s="224"/>
    </row>
    <row r="792" spans="75:96" x14ac:dyDescent="0.25">
      <c r="BW792" s="224"/>
      <c r="BX792" s="224"/>
      <c r="BY792" s="224"/>
      <c r="BZ792" s="224"/>
      <c r="CA792" s="224"/>
      <c r="CB792" s="224"/>
      <c r="CC792" s="224"/>
      <c r="CD792" s="305">
        <f>CB790-CI779</f>
        <v>0</v>
      </c>
      <c r="CE792" s="301"/>
      <c r="CF792" s="302">
        <f>CJ791</f>
        <v>8073.1620465455999</v>
      </c>
      <c r="CG792" s="289" t="s">
        <v>18</v>
      </c>
      <c r="CH792" s="224"/>
      <c r="CI792" s="224"/>
      <c r="CJ792" s="224"/>
      <c r="CK792" s="224"/>
      <c r="CL792" s="224"/>
      <c r="CM792" s="224"/>
      <c r="CN792" s="224"/>
      <c r="CO792" s="224"/>
      <c r="CP792" s="224"/>
      <c r="CQ792" s="224"/>
      <c r="CR792" s="224"/>
    </row>
    <row r="793" spans="75:96" x14ac:dyDescent="0.25">
      <c r="BW793" s="224"/>
      <c r="BX793" s="224"/>
      <c r="BY793" s="224"/>
      <c r="BZ793" s="224"/>
      <c r="CA793" s="224"/>
      <c r="CB793" s="224"/>
      <c r="CC793" s="224"/>
      <c r="CD793" s="224"/>
      <c r="CE793" s="301"/>
      <c r="CF793" s="302">
        <f>CF792</f>
        <v>8073.1620465455999</v>
      </c>
      <c r="CG793" s="289" t="s">
        <v>18</v>
      </c>
      <c r="CH793" s="224"/>
      <c r="CI793" s="224"/>
      <c r="CJ793" s="224"/>
      <c r="CK793" s="224"/>
      <c r="CL793" s="224"/>
      <c r="CM793" s="224"/>
      <c r="CN793" s="224"/>
      <c r="CO793" s="224"/>
      <c r="CP793" s="224"/>
      <c r="CQ793" s="224"/>
      <c r="CR793" s="224"/>
    </row>
    <row r="794" spans="75:96" x14ac:dyDescent="0.25">
      <c r="BW794" s="224"/>
      <c r="BX794" s="224"/>
      <c r="BY794" s="224"/>
      <c r="BZ794" s="224"/>
      <c r="CA794" s="224"/>
      <c r="CB794" s="391" t="str">
        <f>CM775</f>
        <v>C. en algodón</v>
      </c>
      <c r="CC794" s="392"/>
      <c r="CD794" s="289" t="s">
        <v>19</v>
      </c>
      <c r="CE794" s="11" t="s">
        <v>20</v>
      </c>
      <c r="CF794" s="11" t="s">
        <v>2</v>
      </c>
      <c r="CG794" s="11" t="s">
        <v>21</v>
      </c>
      <c r="CH794" s="11" t="s">
        <v>2</v>
      </c>
      <c r="CI794" s="11" t="s">
        <v>24</v>
      </c>
      <c r="CJ794" s="224"/>
      <c r="CK794" s="224"/>
      <c r="CL794" s="224"/>
      <c r="CM794" s="224"/>
      <c r="CN794" s="224"/>
      <c r="CO794" s="224"/>
      <c r="CP794" s="224"/>
      <c r="CQ794" s="224"/>
      <c r="CR794" s="224"/>
    </row>
    <row r="795" spans="75:96" x14ac:dyDescent="0.25">
      <c r="BW795" s="224"/>
      <c r="BX795" s="224"/>
      <c r="BY795" s="224"/>
      <c r="BZ795" s="224"/>
      <c r="CA795" s="11"/>
      <c r="CB795" s="306"/>
      <c r="CC795" s="306"/>
      <c r="CD795" s="307"/>
      <c r="CE795" s="307"/>
      <c r="CF795" s="307"/>
      <c r="CG795" s="307"/>
      <c r="CH795" s="307"/>
      <c r="CI795" s="308"/>
      <c r="CJ795" s="224"/>
      <c r="CK795" s="224"/>
      <c r="CL795" s="224"/>
      <c r="CM795" s="224"/>
      <c r="CN795" s="224"/>
      <c r="CO795" s="224"/>
      <c r="CP795" s="224"/>
      <c r="CQ795" s="224"/>
      <c r="CR795" s="224"/>
    </row>
    <row r="796" spans="75:96" x14ac:dyDescent="0.25">
      <c r="BW796" s="224"/>
      <c r="BX796" s="224"/>
      <c r="BY796" s="224"/>
      <c r="BZ796" s="224"/>
      <c r="CA796" s="132"/>
      <c r="CB796" s="306"/>
      <c r="CC796" s="306"/>
      <c r="CD796" s="307"/>
      <c r="CE796" s="307"/>
      <c r="CF796" s="307"/>
      <c r="CG796" s="307"/>
      <c r="CH796" s="307"/>
      <c r="CI796" s="307"/>
      <c r="CJ796" s="224"/>
      <c r="CK796" s="224"/>
      <c r="CL796" s="224"/>
      <c r="CM796" s="224"/>
      <c r="CN796" s="224"/>
      <c r="CO796" s="224"/>
      <c r="CP796" s="224"/>
      <c r="CQ796" s="224"/>
      <c r="CR796" s="224"/>
    </row>
    <row r="797" spans="75:96" x14ac:dyDescent="0.25">
      <c r="BW797" s="224"/>
      <c r="BX797" s="224"/>
      <c r="BY797" s="224"/>
      <c r="BZ797" s="224"/>
      <c r="CA797" s="132"/>
      <c r="CB797" s="306"/>
      <c r="CC797" s="306"/>
      <c r="CD797" s="307"/>
      <c r="CE797" s="307"/>
      <c r="CF797" s="307"/>
      <c r="CG797" s="307"/>
      <c r="CH797" s="307"/>
      <c r="CI797" s="307"/>
      <c r="CJ797" s="224"/>
      <c r="CK797" s="224"/>
      <c r="CL797" s="224"/>
      <c r="CM797" s="224"/>
      <c r="CN797" s="224"/>
      <c r="CO797" s="224"/>
      <c r="CP797" s="224"/>
      <c r="CQ797" s="224"/>
      <c r="CR797" s="224"/>
    </row>
    <row r="798" spans="75:96" x14ac:dyDescent="0.25">
      <c r="BW798" s="224"/>
      <c r="BX798" s="224"/>
      <c r="BY798" s="224"/>
      <c r="BZ798" s="224"/>
      <c r="CA798" s="132"/>
      <c r="CB798" s="306"/>
      <c r="CC798" s="306"/>
      <c r="CD798" s="307"/>
      <c r="CE798" s="307"/>
      <c r="CF798" s="307"/>
      <c r="CG798" s="307"/>
      <c r="CH798" s="307"/>
      <c r="CI798" s="307"/>
      <c r="CJ798" s="224"/>
      <c r="CK798" s="224"/>
      <c r="CL798" s="224"/>
      <c r="CM798" s="224"/>
      <c r="CN798" s="224"/>
      <c r="CO798" s="224"/>
      <c r="CP798" s="224"/>
      <c r="CQ798" s="224"/>
      <c r="CR798" s="224"/>
    </row>
    <row r="799" spans="75:96" x14ac:dyDescent="0.25">
      <c r="BW799" s="224"/>
      <c r="BX799" s="224"/>
      <c r="BY799" s="224"/>
      <c r="BZ799" s="224"/>
      <c r="CA799" s="132"/>
      <c r="CB799" s="306"/>
      <c r="CC799" s="306"/>
      <c r="CD799" s="307"/>
      <c r="CE799" s="307"/>
      <c r="CF799" s="307"/>
      <c r="CG799" s="307"/>
      <c r="CH799" s="307"/>
      <c r="CI799" s="307"/>
      <c r="CJ799" s="224"/>
      <c r="CK799" s="224"/>
      <c r="CL799" s="224"/>
      <c r="CM799" s="224"/>
      <c r="CN799" s="224"/>
      <c r="CO799" s="224"/>
      <c r="CP799" s="224"/>
      <c r="CQ799" s="224"/>
      <c r="CR799" s="224"/>
    </row>
    <row r="800" spans="75:96" x14ac:dyDescent="0.25">
      <c r="BW800" s="224"/>
      <c r="BX800" s="224"/>
      <c r="BY800" s="224"/>
      <c r="BZ800" s="224"/>
      <c r="CA800" s="132" t="s">
        <v>255</v>
      </c>
      <c r="CB800" s="306"/>
      <c r="CC800" s="306"/>
      <c r="CD800" s="307"/>
      <c r="CE800" s="307"/>
      <c r="CF800" s="307"/>
      <c r="CG800" s="307"/>
      <c r="CH800" s="307"/>
      <c r="CI800" s="307">
        <f>19.487-(CI801+CI802)</f>
        <v>18.060765204799999</v>
      </c>
      <c r="CJ800" s="224"/>
      <c r="CK800" s="224"/>
      <c r="CL800" s="224"/>
      <c r="CM800" s="224"/>
      <c r="CN800" s="224"/>
      <c r="CO800" s="224"/>
      <c r="CP800" s="224"/>
      <c r="CQ800" s="224"/>
      <c r="CR800" s="224"/>
    </row>
    <row r="801" spans="75:96" x14ac:dyDescent="0.25">
      <c r="BW801" s="224"/>
      <c r="BX801" s="224"/>
      <c r="BY801" s="224"/>
      <c r="BZ801" s="224"/>
      <c r="CA801" s="132" t="s">
        <v>130</v>
      </c>
      <c r="CB801" s="306">
        <f>7320</f>
        <v>7320</v>
      </c>
      <c r="CC801" s="306" t="s">
        <v>10</v>
      </c>
      <c r="CD801" s="307">
        <f>1/100</f>
        <v>0.01</v>
      </c>
      <c r="CE801" s="307">
        <f t="shared" ref="CE801:CE802" si="97">CB801*CD801</f>
        <v>73.2</v>
      </c>
      <c r="CF801" s="307" t="s">
        <v>16</v>
      </c>
      <c r="CG801" s="307">
        <v>7.7585999999999999E-5</v>
      </c>
      <c r="CH801" s="307" t="s">
        <v>22</v>
      </c>
      <c r="CI801" s="307">
        <f>CE801*CG801</f>
        <v>5.6792952000000001E-3</v>
      </c>
      <c r="CJ801" s="393" t="s">
        <v>250</v>
      </c>
      <c r="CK801" s="394"/>
      <c r="CL801" s="224"/>
      <c r="CM801" s="224"/>
      <c r="CN801" s="224"/>
      <c r="CO801" s="224"/>
      <c r="CP801" s="224"/>
      <c r="CQ801" s="224"/>
      <c r="CR801" s="224"/>
    </row>
    <row r="802" spans="75:96" x14ac:dyDescent="0.25">
      <c r="BW802" s="224"/>
      <c r="BX802" s="224"/>
      <c r="BY802" s="224"/>
      <c r="BZ802" s="224"/>
      <c r="CA802" s="132" t="s">
        <v>257</v>
      </c>
      <c r="CB802" s="309">
        <f>105*195*2</f>
        <v>40950</v>
      </c>
      <c r="CC802" s="309" t="s">
        <v>9</v>
      </c>
      <c r="CD802" s="308">
        <f>0.0001</f>
        <v>1E-4</v>
      </c>
      <c r="CE802" s="308">
        <f t="shared" si="97"/>
        <v>4.0950000000000006</v>
      </c>
      <c r="CF802" s="308" t="s">
        <v>17</v>
      </c>
      <c r="CG802" s="308">
        <v>0.34689999999999999</v>
      </c>
      <c r="CH802" s="308" t="s">
        <v>23</v>
      </c>
      <c r="CI802" s="308">
        <f>CE802*CG802</f>
        <v>1.4205555000000001</v>
      </c>
      <c r="CJ802" s="289">
        <f>CI796+CI797+CI798+CI799+CI800+CI801+CI802+CI803+CI804+CI805+CI806</f>
        <v>19.486999999999998</v>
      </c>
      <c r="CK802" s="289" t="s">
        <v>18</v>
      </c>
      <c r="CL802" s="224"/>
      <c r="CM802" s="224"/>
      <c r="CN802" s="224"/>
      <c r="CO802" s="224"/>
      <c r="CP802" s="224"/>
      <c r="CQ802" s="224"/>
      <c r="CR802" s="224"/>
    </row>
    <row r="803" spans="75:96" x14ac:dyDescent="0.25">
      <c r="BW803" s="224"/>
      <c r="BX803" s="224"/>
      <c r="BY803" s="224"/>
      <c r="BZ803" s="224"/>
      <c r="CA803" s="310"/>
      <c r="CB803" s="139"/>
      <c r="CC803" s="138"/>
      <c r="CD803" s="139"/>
      <c r="CE803" s="139"/>
      <c r="CF803" s="139"/>
      <c r="CG803" s="139"/>
      <c r="CH803" s="139"/>
      <c r="CI803" s="139"/>
      <c r="CJ803" s="224"/>
      <c r="CK803" s="224"/>
      <c r="CL803" s="224"/>
      <c r="CM803" s="224"/>
      <c r="CN803" s="224"/>
      <c r="CO803" s="224"/>
      <c r="CP803" s="224"/>
      <c r="CQ803" s="224"/>
      <c r="CR803" s="224"/>
    </row>
    <row r="804" spans="75:96" x14ac:dyDescent="0.25">
      <c r="BW804" s="224"/>
      <c r="BX804" s="224"/>
      <c r="BY804" s="224"/>
      <c r="BZ804" s="224"/>
      <c r="CA804" s="134"/>
      <c r="CB804" s="311"/>
      <c r="CC804" s="311"/>
      <c r="CD804" s="311"/>
      <c r="CE804" s="312"/>
      <c r="CF804" s="312"/>
      <c r="CG804" s="312"/>
      <c r="CH804" s="312"/>
      <c r="CI804" s="312"/>
      <c r="CJ804" s="224"/>
      <c r="CK804" s="224"/>
      <c r="CL804" s="224"/>
      <c r="CM804" s="224"/>
      <c r="CN804" s="224"/>
      <c r="CO804" s="224"/>
      <c r="CP804" s="224"/>
      <c r="CQ804" s="224"/>
      <c r="CR804" s="224"/>
    </row>
    <row r="805" spans="75:96" x14ac:dyDescent="0.25">
      <c r="BW805" s="224"/>
      <c r="BX805" s="224"/>
      <c r="BY805" s="224"/>
      <c r="BZ805" s="224"/>
      <c r="CA805" s="137"/>
      <c r="CB805" s="225"/>
      <c r="CC805" s="306"/>
      <c r="CD805" s="307"/>
      <c r="CE805" s="307"/>
      <c r="CF805" s="307"/>
      <c r="CG805" s="307"/>
      <c r="CH805" s="133"/>
      <c r="CI805" s="133"/>
      <c r="CJ805" s="224"/>
      <c r="CK805" s="224"/>
      <c r="CL805" s="224">
        <v>4</v>
      </c>
      <c r="CM805" s="224"/>
      <c r="CN805" s="224"/>
      <c r="CO805" s="224"/>
      <c r="CP805" s="224"/>
      <c r="CQ805" s="224"/>
      <c r="CR805" s="224"/>
    </row>
    <row r="806" spans="75:96" x14ac:dyDescent="0.25">
      <c r="BW806" s="224"/>
      <c r="BX806" s="224"/>
      <c r="BY806" s="224"/>
      <c r="BZ806" s="224"/>
      <c r="CA806" s="137"/>
      <c r="CB806" s="139"/>
      <c r="CC806" s="138"/>
      <c r="CD806" s="139"/>
      <c r="CE806" s="139"/>
      <c r="CF806" s="139"/>
      <c r="CG806" s="139"/>
      <c r="CH806" s="139"/>
      <c r="CI806" s="139"/>
      <c r="CJ806" s="224"/>
      <c r="CK806" s="224"/>
      <c r="CL806" s="224"/>
      <c r="CM806" s="224"/>
      <c r="CN806" s="224"/>
      <c r="CO806" s="224"/>
      <c r="CP806" s="224"/>
      <c r="CQ806" s="224"/>
      <c r="CR806" s="224"/>
    </row>
    <row r="807" spans="75:96" x14ac:dyDescent="0.25">
      <c r="BW807" s="224"/>
      <c r="BX807" s="224"/>
      <c r="BY807" s="224"/>
      <c r="BZ807" s="224"/>
      <c r="CA807" s="224"/>
      <c r="CB807" s="224"/>
      <c r="CC807" s="224"/>
      <c r="CD807" s="224"/>
      <c r="CE807" s="224"/>
      <c r="CF807" s="224"/>
      <c r="CG807" s="224"/>
      <c r="CH807" s="224"/>
      <c r="CI807" s="224"/>
      <c r="CJ807" s="224"/>
      <c r="CK807" s="224"/>
      <c r="CL807" s="224"/>
      <c r="CM807" s="224"/>
      <c r="CN807" s="224"/>
      <c r="CO807" s="224"/>
      <c r="CP807" s="224"/>
      <c r="CQ807" s="224"/>
      <c r="CR807" s="224"/>
    </row>
    <row r="808" spans="75:96" x14ac:dyDescent="0.25">
      <c r="BW808" s="224"/>
    </row>
    <row r="809" spans="75:96" x14ac:dyDescent="0.25">
      <c r="BX809" s="224"/>
      <c r="BY809" s="224"/>
      <c r="BZ809" s="224"/>
      <c r="CA809" s="224"/>
      <c r="CB809" s="224"/>
      <c r="CC809" s="224"/>
      <c r="CD809" s="224"/>
      <c r="CE809" s="224"/>
      <c r="CF809" s="224"/>
      <c r="CG809" s="224"/>
      <c r="CH809" s="224"/>
      <c r="CI809" s="224"/>
      <c r="CJ809" s="224"/>
      <c r="CK809" s="224"/>
      <c r="CL809" s="224"/>
      <c r="CM809" s="224"/>
      <c r="CN809" s="224"/>
      <c r="CO809" s="224"/>
      <c r="CP809" s="224"/>
      <c r="CQ809" s="224"/>
      <c r="CR809" s="224"/>
    </row>
    <row r="810" spans="75:96" x14ac:dyDescent="0.25">
      <c r="BX810" s="224"/>
      <c r="BY810" s="224"/>
      <c r="BZ810" s="224"/>
      <c r="CA810" s="224"/>
      <c r="CB810" s="224"/>
      <c r="CC810" s="224"/>
      <c r="CD810" s="224"/>
      <c r="CE810" s="224"/>
      <c r="CF810" s="224"/>
      <c r="CG810" s="224"/>
      <c r="CH810" s="224"/>
      <c r="CI810" s="224"/>
      <c r="CJ810" s="224"/>
      <c r="CK810" s="224"/>
      <c r="CL810" s="224"/>
      <c r="CM810" s="224"/>
      <c r="CN810" s="225" t="s">
        <v>247</v>
      </c>
      <c r="CO810" s="224"/>
      <c r="CP810" s="224"/>
      <c r="CQ810" s="224"/>
      <c r="CR810" s="224"/>
    </row>
    <row r="811" spans="75:96" x14ac:dyDescent="0.25">
      <c r="CL811" s="224"/>
      <c r="CM811" s="224"/>
      <c r="CN811" s="225">
        <f>CJ835+CJ831</f>
        <v>0</v>
      </c>
      <c r="CO811" s="224"/>
      <c r="CP811" s="224"/>
      <c r="CQ811" s="224"/>
      <c r="CR811" s="224"/>
    </row>
    <row r="812" spans="75:96" x14ac:dyDescent="0.25">
      <c r="CL812" s="224"/>
      <c r="CM812" s="224"/>
      <c r="CN812" s="224"/>
      <c r="CO812" s="224"/>
      <c r="CP812" s="224"/>
      <c r="CQ812" s="224"/>
      <c r="CR812" s="224"/>
    </row>
    <row r="813" spans="75:96" x14ac:dyDescent="0.25">
      <c r="CL813" s="224"/>
      <c r="CM813" s="224"/>
      <c r="CN813" s="224"/>
      <c r="CO813" s="224"/>
      <c r="CP813" s="224"/>
      <c r="CQ813" s="224"/>
      <c r="CR813" s="224"/>
    </row>
    <row r="814" spans="75:96" x14ac:dyDescent="0.25">
      <c r="CL814" s="224"/>
      <c r="CM814" s="224"/>
      <c r="CN814" s="224"/>
      <c r="CO814" s="224"/>
      <c r="CP814" s="224"/>
      <c r="CQ814" s="224"/>
      <c r="CR814" s="224"/>
    </row>
    <row r="815" spans="75:96" x14ac:dyDescent="0.25">
      <c r="CL815" s="224"/>
      <c r="CM815" s="224"/>
      <c r="CN815" s="224"/>
      <c r="CO815" s="224"/>
      <c r="CP815" s="224"/>
      <c r="CQ815" s="224"/>
      <c r="CR815" s="224"/>
    </row>
    <row r="816" spans="75:96" x14ac:dyDescent="0.25">
      <c r="CL816" s="224"/>
      <c r="CM816" s="224"/>
      <c r="CN816" s="224"/>
      <c r="CO816" s="224"/>
      <c r="CP816" s="224"/>
      <c r="CQ816" s="224"/>
      <c r="CR816" s="224"/>
    </row>
    <row r="817" spans="90:96" x14ac:dyDescent="0.25">
      <c r="CL817" s="224"/>
      <c r="CM817" s="224"/>
      <c r="CN817" s="224"/>
      <c r="CO817" s="224"/>
      <c r="CP817" s="224"/>
      <c r="CQ817" s="224"/>
      <c r="CR817" s="224"/>
    </row>
    <row r="818" spans="90:96" x14ac:dyDescent="0.25">
      <c r="CL818" s="224"/>
      <c r="CM818" s="387" t="s">
        <v>52</v>
      </c>
      <c r="CN818" s="388"/>
      <c r="CO818" s="224"/>
      <c r="CP818" s="224"/>
      <c r="CQ818" s="224"/>
      <c r="CR818" s="224"/>
    </row>
    <row r="819" spans="90:96" x14ac:dyDescent="0.25">
      <c r="CL819" s="224"/>
      <c r="CM819" s="389" t="s">
        <v>270</v>
      </c>
      <c r="CN819" s="390"/>
      <c r="CO819" s="138" t="s">
        <v>269</v>
      </c>
      <c r="CP819" s="224"/>
      <c r="CQ819" s="224"/>
      <c r="CR819" s="224"/>
    </row>
    <row r="820" spans="90:96" x14ac:dyDescent="0.25">
      <c r="CL820" s="224"/>
      <c r="CM820" s="293">
        <v>162</v>
      </c>
      <c r="CN820" s="289" t="s">
        <v>27</v>
      </c>
      <c r="CO820" s="224"/>
      <c r="CP820" s="224"/>
      <c r="CQ820" s="224"/>
      <c r="CR820" s="224"/>
    </row>
    <row r="821" spans="90:96" x14ac:dyDescent="0.25">
      <c r="CL821" s="224"/>
      <c r="CM821" s="289">
        <f>CM820*CJ846</f>
        <v>6101.2132200000005</v>
      </c>
      <c r="CN821" s="289" t="s">
        <v>28</v>
      </c>
      <c r="CO821" s="224"/>
      <c r="CP821" s="224"/>
      <c r="CQ821" s="224"/>
      <c r="CR821" s="224"/>
    </row>
    <row r="822" spans="90:96" x14ac:dyDescent="0.25">
      <c r="CL822" s="224"/>
      <c r="CM822" s="224"/>
      <c r="CN822" s="224"/>
      <c r="CO822" s="224"/>
      <c r="CP822" s="224"/>
      <c r="CQ822" s="224"/>
      <c r="CR822" s="224"/>
    </row>
    <row r="823" spans="90:96" x14ac:dyDescent="0.25">
      <c r="CL823" s="224"/>
      <c r="CM823" s="224"/>
      <c r="CN823" s="224"/>
      <c r="CO823" s="224"/>
      <c r="CP823" s="224"/>
      <c r="CQ823" s="224"/>
      <c r="CR823" s="224"/>
    </row>
    <row r="824" spans="90:96" x14ac:dyDescent="0.25">
      <c r="CL824" s="224"/>
      <c r="CM824" s="224"/>
      <c r="CN824" s="224"/>
      <c r="CO824" s="224"/>
      <c r="CP824" s="224"/>
      <c r="CQ824" s="224"/>
      <c r="CR824" s="224"/>
    </row>
    <row r="825" spans="90:96" x14ac:dyDescent="0.25">
      <c r="CL825" s="224"/>
      <c r="CM825" s="224"/>
      <c r="CN825" s="224"/>
      <c r="CO825" s="224"/>
      <c r="CP825" s="224"/>
      <c r="CQ825" s="224"/>
      <c r="CR825" s="224"/>
    </row>
    <row r="826" spans="90:96" x14ac:dyDescent="0.25">
      <c r="CL826" s="224"/>
      <c r="CM826" s="224"/>
      <c r="CN826" s="224"/>
      <c r="CO826" s="224"/>
      <c r="CP826" s="224"/>
      <c r="CQ826" s="224"/>
      <c r="CR826" s="224"/>
    </row>
    <row r="827" spans="90:96" x14ac:dyDescent="0.25">
      <c r="CL827" s="224"/>
      <c r="CM827" s="224"/>
      <c r="CN827" s="224"/>
      <c r="CO827" s="224"/>
      <c r="CP827" s="224"/>
      <c r="CQ827" s="224"/>
      <c r="CR827" s="224"/>
    </row>
    <row r="828" spans="90:96" x14ac:dyDescent="0.25">
      <c r="CL828" s="224"/>
      <c r="CM828" s="224"/>
      <c r="CN828" s="224"/>
      <c r="CO828" s="224"/>
      <c r="CP828" s="224"/>
      <c r="CQ828" s="224"/>
      <c r="CR828" s="224"/>
    </row>
    <row r="829" spans="90:96" x14ac:dyDescent="0.25">
      <c r="CL829" s="224"/>
      <c r="CM829" s="224"/>
      <c r="CN829" s="224"/>
      <c r="CO829" s="224"/>
      <c r="CP829" s="224"/>
      <c r="CQ829" s="224"/>
      <c r="CR829" s="224"/>
    </row>
    <row r="830" spans="90:96" x14ac:dyDescent="0.25">
      <c r="CL830" s="224"/>
      <c r="CM830" s="303"/>
      <c r="CN830" s="224" t="s">
        <v>91</v>
      </c>
      <c r="CO830" s="224"/>
      <c r="CP830" s="224"/>
      <c r="CQ830" s="224"/>
      <c r="CR830" s="224"/>
    </row>
    <row r="831" spans="90:96" x14ac:dyDescent="0.25">
      <c r="CL831" s="224"/>
      <c r="CM831" s="224"/>
      <c r="CN831" s="224"/>
      <c r="CO831" s="224"/>
      <c r="CP831" s="224"/>
      <c r="CQ831" s="224"/>
      <c r="CR831" s="224"/>
    </row>
    <row r="832" spans="90:96" x14ac:dyDescent="0.25">
      <c r="CL832" s="224">
        <f>CK835-CM835</f>
        <v>0.57900501000040094</v>
      </c>
      <c r="CM832" s="224"/>
      <c r="CN832" s="224"/>
      <c r="CO832" s="224"/>
      <c r="CP832" s="224"/>
      <c r="CQ832" s="224"/>
      <c r="CR832" s="224"/>
    </row>
    <row r="833" spans="76:96" x14ac:dyDescent="0.25">
      <c r="BX833" s="224"/>
      <c r="BY833" s="224"/>
      <c r="CK833" s="224"/>
      <c r="CL833" s="224">
        <f>CK834-CM834</f>
        <v>57.900501000000077</v>
      </c>
      <c r="CM833" s="224"/>
      <c r="CN833" s="224"/>
      <c r="CO833" s="224"/>
      <c r="CP833" s="224"/>
      <c r="CQ833" s="224"/>
      <c r="CR833" s="224"/>
    </row>
    <row r="834" spans="76:96" x14ac:dyDescent="0.25">
      <c r="BX834" s="224"/>
      <c r="BY834" s="224"/>
      <c r="CK834" s="224">
        <f>SUM(CI839:CI845)*CM820+SUM(CI839:CI845)*0.01*CM820</f>
        <v>5847.9506010000005</v>
      </c>
      <c r="CL834" s="224" t="s">
        <v>142</v>
      </c>
      <c r="CM834" s="224">
        <f>SUM(CI839:CI845)*CM820</f>
        <v>5790.0501000000004</v>
      </c>
      <c r="CN834" s="224"/>
      <c r="CO834" s="224"/>
      <c r="CP834" s="224"/>
      <c r="CQ834" s="224"/>
      <c r="CR834" s="224"/>
    </row>
    <row r="835" spans="76:96" x14ac:dyDescent="0.25">
      <c r="BX835" s="224"/>
      <c r="BY835" s="224"/>
      <c r="CK835" s="224">
        <f>CM834</f>
        <v>5790.0501000000004</v>
      </c>
      <c r="CL835" s="224" t="s">
        <v>291</v>
      </c>
      <c r="CM835" s="224">
        <f>CK835-CK835*0.0001</f>
        <v>5789.47109499</v>
      </c>
      <c r="CN835" s="224"/>
      <c r="CO835" s="224"/>
      <c r="CP835" s="224"/>
      <c r="CQ835" s="224"/>
      <c r="CR835" s="224"/>
    </row>
    <row r="836" spans="76:96" x14ac:dyDescent="0.25">
      <c r="BX836" s="224"/>
      <c r="BY836" s="224"/>
      <c r="CK836" s="224">
        <f>CM835+CI850*CM820</f>
        <v>5875.6162149900001</v>
      </c>
      <c r="CL836" s="224" t="s">
        <v>292</v>
      </c>
      <c r="CM836" s="224">
        <f>CK836</f>
        <v>5875.6162149900001</v>
      </c>
      <c r="CN836" s="224"/>
      <c r="CO836" s="224"/>
      <c r="CP836" s="224"/>
      <c r="CQ836" s="224"/>
      <c r="CR836" s="224"/>
    </row>
    <row r="837" spans="76:96" x14ac:dyDescent="0.25">
      <c r="BX837" s="224"/>
      <c r="BY837" s="224"/>
      <c r="BZ837" s="224"/>
      <c r="CA837" s="224"/>
      <c r="CB837" s="224"/>
      <c r="CC837" s="224"/>
      <c r="CD837" s="224"/>
      <c r="CE837" s="301"/>
      <c r="CF837" s="302">
        <f>CF836</f>
        <v>0</v>
      </c>
      <c r="CG837" s="289" t="s">
        <v>18</v>
      </c>
      <c r="CK837" s="224">
        <f>CM836+CI846*CM820</f>
        <v>6100.6342149900001</v>
      </c>
      <c r="CL837" s="224" t="s">
        <v>293</v>
      </c>
      <c r="CM837" s="224">
        <f>CK837</f>
        <v>6100.6342149900001</v>
      </c>
      <c r="CN837" s="224"/>
      <c r="CO837" s="224"/>
      <c r="CP837" s="224"/>
      <c r="CQ837" s="224"/>
      <c r="CR837" s="224"/>
    </row>
    <row r="838" spans="76:96" x14ac:dyDescent="0.25">
      <c r="BX838" s="224"/>
      <c r="BY838" s="224"/>
      <c r="BZ838" s="224"/>
      <c r="CA838" s="224"/>
      <c r="CB838" s="391" t="str">
        <f>CM819</f>
        <v>Base cama 100 x190</v>
      </c>
      <c r="CC838" s="392"/>
      <c r="CD838" s="289" t="s">
        <v>19</v>
      </c>
      <c r="CE838" s="11" t="s">
        <v>20</v>
      </c>
      <c r="CF838" s="11" t="s">
        <v>2</v>
      </c>
      <c r="CG838" s="11" t="s">
        <v>21</v>
      </c>
      <c r="CH838" s="11" t="s">
        <v>2</v>
      </c>
      <c r="CI838" s="11" t="s">
        <v>24</v>
      </c>
      <c r="CJ838" s="224"/>
      <c r="CK838" s="224"/>
      <c r="CL838" s="224"/>
      <c r="CM838" s="224"/>
      <c r="CN838" s="224"/>
      <c r="CO838" s="224"/>
      <c r="CP838" s="224"/>
      <c r="CQ838" s="224"/>
      <c r="CR838" s="224"/>
    </row>
    <row r="839" spans="76:96" x14ac:dyDescent="0.25">
      <c r="BX839" s="224"/>
      <c r="BY839" s="224"/>
      <c r="BZ839" s="224"/>
      <c r="CA839" s="11" t="s">
        <v>271</v>
      </c>
      <c r="CB839" s="306">
        <f>(5.5*5.5*42.5)*2</f>
        <v>2571.25</v>
      </c>
      <c r="CC839" s="306" t="s">
        <v>26</v>
      </c>
      <c r="CD839" s="23">
        <v>9.9999999999999995E-7</v>
      </c>
      <c r="CE839" s="307">
        <f>CB839*CD839</f>
        <v>2.5712499999999998E-3</v>
      </c>
      <c r="CF839" s="307" t="s">
        <v>284</v>
      </c>
      <c r="CG839" s="307">
        <v>580</v>
      </c>
      <c r="CH839" s="307" t="s">
        <v>22</v>
      </c>
      <c r="CI839" s="308">
        <f>CE839*CG839</f>
        <v>1.4913249999999998</v>
      </c>
      <c r="CJ839" s="224"/>
      <c r="CK839" s="224"/>
      <c r="CL839" s="224"/>
      <c r="CM839" s="224"/>
      <c r="CN839" s="224"/>
      <c r="CO839" s="224"/>
      <c r="CP839" s="224"/>
      <c r="CQ839" s="224"/>
      <c r="CR839" s="224"/>
    </row>
    <row r="840" spans="76:96" x14ac:dyDescent="0.25">
      <c r="BX840" s="224"/>
      <c r="BY840" s="224"/>
      <c r="BZ840" s="224"/>
      <c r="CA840" s="132" t="s">
        <v>272</v>
      </c>
      <c r="CB840" s="306">
        <f>(5.5*5.5*72)*2</f>
        <v>4356</v>
      </c>
      <c r="CC840" s="306" t="s">
        <v>278</v>
      </c>
      <c r="CD840" s="23">
        <v>9.9999999999999995E-7</v>
      </c>
      <c r="CE840" s="307">
        <f t="shared" ref="CE840:CE845" si="98">CB840*CD840</f>
        <v>4.3559999999999996E-3</v>
      </c>
      <c r="CF840" s="307" t="s">
        <v>284</v>
      </c>
      <c r="CG840" s="307">
        <v>580</v>
      </c>
      <c r="CH840" s="307" t="s">
        <v>22</v>
      </c>
      <c r="CI840" s="308">
        <f t="shared" ref="CI840:CI845" si="99">CE840*CG840</f>
        <v>2.5264799999999998</v>
      </c>
      <c r="CJ840" s="224"/>
      <c r="CK840" s="224"/>
      <c r="CL840" s="224"/>
      <c r="CM840" s="224"/>
      <c r="CN840" s="224"/>
      <c r="CO840" s="224"/>
      <c r="CP840" s="224"/>
      <c r="CQ840" s="224"/>
      <c r="CR840" s="224"/>
    </row>
    <row r="841" spans="76:96" x14ac:dyDescent="0.25">
      <c r="BX841" s="224"/>
      <c r="BY841" s="224"/>
      <c r="BZ841" s="224"/>
      <c r="CA841" s="132" t="s">
        <v>273</v>
      </c>
      <c r="CB841" s="306">
        <f>(12.75*2.75*186)*2</f>
        <v>13043.25</v>
      </c>
      <c r="CC841" s="306" t="s">
        <v>279</v>
      </c>
      <c r="CD841" s="23">
        <v>9.9999999999999995E-7</v>
      </c>
      <c r="CE841" s="307">
        <f t="shared" si="98"/>
        <v>1.3043249999999999E-2</v>
      </c>
      <c r="CF841" s="307" t="s">
        <v>284</v>
      </c>
      <c r="CG841" s="307">
        <v>580</v>
      </c>
      <c r="CH841" s="307" t="s">
        <v>22</v>
      </c>
      <c r="CI841" s="308">
        <f t="shared" si="99"/>
        <v>7.5650849999999998</v>
      </c>
      <c r="CJ841" s="224"/>
      <c r="CK841" s="224"/>
      <c r="CL841" s="224"/>
      <c r="CM841" s="224"/>
      <c r="CN841" s="224"/>
      <c r="CO841" s="224"/>
      <c r="CP841" s="224"/>
      <c r="CQ841" s="224"/>
      <c r="CR841" s="224"/>
    </row>
    <row r="842" spans="76:96" x14ac:dyDescent="0.25">
      <c r="BX842" s="224"/>
      <c r="BY842" s="224"/>
      <c r="BZ842" s="224"/>
      <c r="CA842" s="132" t="s">
        <v>274</v>
      </c>
      <c r="CB842" s="306">
        <f>30*2.5*89</f>
        <v>6675</v>
      </c>
      <c r="CC842" s="306" t="s">
        <v>280</v>
      </c>
      <c r="CD842" s="23">
        <v>9.9999999999999995E-7</v>
      </c>
      <c r="CE842" s="307">
        <f t="shared" si="98"/>
        <v>6.6749999999999995E-3</v>
      </c>
      <c r="CF842" s="307" t="s">
        <v>284</v>
      </c>
      <c r="CG842" s="307">
        <v>580</v>
      </c>
      <c r="CH842" s="307" t="s">
        <v>22</v>
      </c>
      <c r="CI842" s="308">
        <f t="shared" si="99"/>
        <v>3.8714999999999997</v>
      </c>
      <c r="CJ842" s="224"/>
      <c r="CK842" s="224"/>
      <c r="CL842" s="224"/>
      <c r="CM842" s="224"/>
      <c r="CN842" s="224"/>
      <c r="CO842" s="224"/>
      <c r="CP842" s="224"/>
      <c r="CQ842" s="224"/>
      <c r="CR842" s="224"/>
    </row>
    <row r="843" spans="76:96" x14ac:dyDescent="0.25">
      <c r="BX843" s="224"/>
      <c r="BY843" s="224"/>
      <c r="BZ843" s="224"/>
      <c r="CA843" s="132" t="s">
        <v>275</v>
      </c>
      <c r="CB843" s="306">
        <f>(2.5*89*20)*3</f>
        <v>13350</v>
      </c>
      <c r="CC843" s="306" t="s">
        <v>281</v>
      </c>
      <c r="CD843" s="23">
        <v>9.9999999999999995E-7</v>
      </c>
      <c r="CE843" s="307">
        <f t="shared" si="98"/>
        <v>1.3349999999999999E-2</v>
      </c>
      <c r="CF843" s="307" t="s">
        <v>284</v>
      </c>
      <c r="CG843" s="307">
        <v>580</v>
      </c>
      <c r="CH843" s="307" t="s">
        <v>22</v>
      </c>
      <c r="CI843" s="308">
        <f t="shared" si="99"/>
        <v>7.7429999999999994</v>
      </c>
      <c r="CJ843" s="224"/>
      <c r="CK843" s="224"/>
      <c r="CL843" s="224"/>
      <c r="CM843" s="224"/>
      <c r="CN843" s="224"/>
      <c r="CO843" s="224"/>
      <c r="CP843" s="224"/>
      <c r="CQ843" s="224"/>
      <c r="CR843" s="224"/>
    </row>
    <row r="844" spans="76:96" x14ac:dyDescent="0.25">
      <c r="BX844" s="224"/>
      <c r="BY844" s="224"/>
      <c r="BZ844" s="224"/>
      <c r="CA844" s="132" t="s">
        <v>276</v>
      </c>
      <c r="CB844" s="306">
        <f>(3*12.75*3)*4</f>
        <v>459</v>
      </c>
      <c r="CC844" s="306" t="s">
        <v>282</v>
      </c>
      <c r="CD844" s="23">
        <v>9.9999999999999995E-7</v>
      </c>
      <c r="CE844" s="307">
        <f t="shared" si="98"/>
        <v>4.5899999999999999E-4</v>
      </c>
      <c r="CF844" s="307" t="s">
        <v>284</v>
      </c>
      <c r="CG844" s="307">
        <v>580</v>
      </c>
      <c r="CH844" s="307" t="s">
        <v>22</v>
      </c>
      <c r="CI844" s="308">
        <f t="shared" si="99"/>
        <v>0.26622000000000001</v>
      </c>
      <c r="CJ844" s="224"/>
      <c r="CK844" s="224"/>
      <c r="CL844" s="224"/>
      <c r="CM844" s="224"/>
      <c r="CN844" s="224"/>
      <c r="CO844" s="224"/>
      <c r="CP844" s="224"/>
      <c r="CQ844" s="224"/>
      <c r="CR844" s="224"/>
    </row>
    <row r="845" spans="76:96" x14ac:dyDescent="0.25">
      <c r="BX845" s="224"/>
      <c r="BY845" s="224"/>
      <c r="BZ845" s="224"/>
      <c r="CA845" s="132" t="s">
        <v>277</v>
      </c>
      <c r="CB845" s="309">
        <f>(1.75*7*96)*18</f>
        <v>21168</v>
      </c>
      <c r="CC845" s="309" t="s">
        <v>283</v>
      </c>
      <c r="CD845" s="39">
        <v>9.9999999999999995E-7</v>
      </c>
      <c r="CE845" s="308">
        <f t="shared" si="98"/>
        <v>2.1167999999999999E-2</v>
      </c>
      <c r="CF845" s="308" t="s">
        <v>284</v>
      </c>
      <c r="CG845" s="308">
        <v>580</v>
      </c>
      <c r="CH845" s="308" t="s">
        <v>22</v>
      </c>
      <c r="CI845" s="308">
        <f t="shared" si="99"/>
        <v>12.27744</v>
      </c>
      <c r="CJ845" s="393" t="s">
        <v>250</v>
      </c>
      <c r="CK845" s="394"/>
      <c r="CL845" s="224"/>
      <c r="CM845" s="224"/>
      <c r="CN845" s="224"/>
      <c r="CO845" s="224"/>
      <c r="CP845" s="224"/>
      <c r="CQ845" s="224"/>
      <c r="CR845" s="224"/>
    </row>
    <row r="846" spans="76:96" x14ac:dyDescent="0.25">
      <c r="BX846" s="224"/>
      <c r="BY846" s="224"/>
      <c r="BZ846" s="224"/>
      <c r="CA846" s="310" t="s">
        <v>285</v>
      </c>
      <c r="CB846" s="138">
        <f>4</f>
        <v>4</v>
      </c>
      <c r="CC846" s="138" t="s">
        <v>2</v>
      </c>
      <c r="CD846" s="139"/>
      <c r="CE846" s="139"/>
      <c r="CF846" s="139"/>
      <c r="CG846" s="139"/>
      <c r="CH846" s="139"/>
      <c r="CI846" s="395">
        <f>1.389</f>
        <v>1.389</v>
      </c>
      <c r="CJ846" s="323">
        <f>CI839+CI840+CI841+CI842+CI843+CI844+CI845+CI846+CI850</f>
        <v>37.661810000000003</v>
      </c>
      <c r="CK846" s="289" t="s">
        <v>18</v>
      </c>
      <c r="CL846" s="224"/>
      <c r="CM846" s="224"/>
      <c r="CN846" s="224"/>
      <c r="CO846" s="224"/>
      <c r="CP846" s="224"/>
      <c r="CQ846" s="224"/>
      <c r="CR846" s="224"/>
    </row>
    <row r="847" spans="76:96" x14ac:dyDescent="0.25">
      <c r="BX847" s="224"/>
      <c r="BY847" s="224"/>
      <c r="BZ847" s="224"/>
      <c r="CA847" s="310" t="s">
        <v>286</v>
      </c>
      <c r="CB847" s="322">
        <f>8</f>
        <v>8</v>
      </c>
      <c r="CC847" s="138" t="s">
        <v>2</v>
      </c>
      <c r="CD847" s="139"/>
      <c r="CE847" s="139"/>
      <c r="CF847" s="139"/>
      <c r="CG847" s="139"/>
      <c r="CH847" s="139"/>
      <c r="CI847" s="395"/>
      <c r="CJ847" s="224"/>
      <c r="CK847" s="224"/>
      <c r="CL847" s="224"/>
      <c r="CM847" s="224"/>
      <c r="CN847" s="224"/>
      <c r="CO847" s="224"/>
      <c r="CP847" s="224"/>
      <c r="CQ847" s="224"/>
      <c r="CR847" s="224"/>
    </row>
    <row r="848" spans="76:96" x14ac:dyDescent="0.25">
      <c r="BX848" s="224"/>
      <c r="BY848" s="224"/>
      <c r="BZ848" s="224"/>
      <c r="CA848" s="134" t="s">
        <v>287</v>
      </c>
      <c r="CB848" s="322">
        <v>36</v>
      </c>
      <c r="CC848" s="322" t="s">
        <v>2</v>
      </c>
      <c r="CD848" s="325"/>
      <c r="CE848" s="139"/>
      <c r="CF848" s="139"/>
      <c r="CG848" s="139"/>
      <c r="CH848" s="139"/>
      <c r="CI848" s="395"/>
      <c r="CJ848" s="224"/>
      <c r="CK848" s="224"/>
      <c r="CL848" s="224"/>
      <c r="CM848" s="224"/>
      <c r="CN848" s="224"/>
      <c r="CO848" s="224"/>
      <c r="CP848" s="224"/>
      <c r="CQ848" s="224"/>
      <c r="CR848" s="224"/>
    </row>
    <row r="849" spans="76:96" x14ac:dyDescent="0.25">
      <c r="BX849" s="224"/>
      <c r="BY849" s="224"/>
      <c r="BZ849" s="224"/>
      <c r="CA849" s="324" t="s">
        <v>288</v>
      </c>
      <c r="CB849" s="322">
        <v>4</v>
      </c>
      <c r="CC849" s="138" t="s">
        <v>2</v>
      </c>
      <c r="CD849" s="139"/>
      <c r="CE849" s="139"/>
      <c r="CF849" s="139"/>
      <c r="CG849" s="139"/>
      <c r="CH849" s="139"/>
      <c r="CI849" s="395"/>
      <c r="CJ849" s="224"/>
      <c r="CK849" s="224"/>
      <c r="CL849" s="224">
        <v>4</v>
      </c>
      <c r="CM849" s="224"/>
      <c r="CN849" s="224"/>
      <c r="CO849" s="224"/>
      <c r="CP849" s="224"/>
      <c r="CQ849" s="224"/>
      <c r="CR849" s="224"/>
    </row>
    <row r="850" spans="76:96" x14ac:dyDescent="0.25">
      <c r="BX850" s="224"/>
      <c r="BY850" s="224"/>
      <c r="BZ850" s="224"/>
      <c r="CA850" s="324" t="s">
        <v>289</v>
      </c>
      <c r="CB850" s="322">
        <f>0.578</f>
        <v>0.57799999999999996</v>
      </c>
      <c r="CC850" s="138" t="s">
        <v>290</v>
      </c>
      <c r="CD850" s="139">
        <f>0.001</f>
        <v>1E-3</v>
      </c>
      <c r="CE850" s="139">
        <f>CB850*CD850</f>
        <v>5.7799999999999995E-4</v>
      </c>
      <c r="CF850" s="139" t="s">
        <v>15</v>
      </c>
      <c r="CG850" s="139">
        <v>920</v>
      </c>
      <c r="CH850" s="139" t="s">
        <v>13</v>
      </c>
      <c r="CI850" s="139">
        <f>CE850*CG850</f>
        <v>0.53176000000000001</v>
      </c>
      <c r="CJ850" s="224"/>
      <c r="CK850" s="224"/>
      <c r="CL850" s="224"/>
      <c r="CM850" s="224"/>
      <c r="CN850" s="224"/>
      <c r="CO850" s="224"/>
      <c r="CP850" s="224"/>
      <c r="CQ850" s="224"/>
      <c r="CR850" s="224"/>
    </row>
  </sheetData>
  <mergeCells count="217">
    <mergeCell ref="CC80:CD85"/>
    <mergeCell ref="CC91:CD91"/>
    <mergeCell ref="CC92:CD92"/>
    <mergeCell ref="BW20:BX20"/>
    <mergeCell ref="BW9:BX14"/>
    <mergeCell ref="BW21:BX21"/>
    <mergeCell ref="CB27:CC27"/>
    <mergeCell ref="CB28:CC28"/>
    <mergeCell ref="CB16:CC21"/>
    <mergeCell ref="AN327:AO332"/>
    <mergeCell ref="AB334:AC334"/>
    <mergeCell ref="AA335:AA342"/>
    <mergeCell ref="AI338:AJ339"/>
    <mergeCell ref="AN338:AO339"/>
    <mergeCell ref="BJ330:BK331"/>
    <mergeCell ref="BJ334:BJ335"/>
    <mergeCell ref="BD332:BE333"/>
    <mergeCell ref="AU327:AV327"/>
    <mergeCell ref="AU328:AV328"/>
    <mergeCell ref="BI350:BJ355"/>
    <mergeCell ref="AW357:AX357"/>
    <mergeCell ref="AV358:AV365"/>
    <mergeCell ref="BD361:BE362"/>
    <mergeCell ref="BI361:BJ362"/>
    <mergeCell ref="CN577:CO577"/>
    <mergeCell ref="CN578:CO578"/>
    <mergeCell ref="CI580:CJ580"/>
    <mergeCell ref="CC580:CD580"/>
    <mergeCell ref="BR544:BS544"/>
    <mergeCell ref="BR545:BS545"/>
    <mergeCell ref="BV558:BW559"/>
    <mergeCell ref="CH559:CI559"/>
    <mergeCell ref="BV562:BV563"/>
    <mergeCell ref="CI567:CJ568"/>
    <mergeCell ref="CI573:CJ574"/>
    <mergeCell ref="CN500:CO500"/>
    <mergeCell ref="CI502:CJ502"/>
    <mergeCell ref="CA505:CB505"/>
    <mergeCell ref="CI506:CJ506"/>
    <mergeCell ref="CF510:CG510"/>
    <mergeCell ref="CJ510:CK510"/>
    <mergeCell ref="BV484:BV485"/>
    <mergeCell ref="CI489:CJ490"/>
    <mergeCell ref="CI584:CJ584"/>
    <mergeCell ref="CF588:CG588"/>
    <mergeCell ref="CJ588:CK588"/>
    <mergeCell ref="CJ592:CK592"/>
    <mergeCell ref="CC597:CD597"/>
    <mergeCell ref="CK604:CL604"/>
    <mergeCell ref="CJ514:CK514"/>
    <mergeCell ref="CC519:CD519"/>
    <mergeCell ref="CK526:CL526"/>
    <mergeCell ref="CN499:CO499"/>
    <mergeCell ref="BR466:BS466"/>
    <mergeCell ref="BR467:BS467"/>
    <mergeCell ref="BV480:BW481"/>
    <mergeCell ref="CH481:CI481"/>
    <mergeCell ref="CK481:CL481"/>
    <mergeCell ref="CJ438:CK438"/>
    <mergeCell ref="CC443:CD443"/>
    <mergeCell ref="CK450:CL450"/>
    <mergeCell ref="CI426:CJ426"/>
    <mergeCell ref="CI430:CJ430"/>
    <mergeCell ref="CF434:CG434"/>
    <mergeCell ref="CJ434:CK434"/>
    <mergeCell ref="CA429:CB429"/>
    <mergeCell ref="CI413:CJ414"/>
    <mergeCell ref="CI419:CJ420"/>
    <mergeCell ref="CL489:CM490"/>
    <mergeCell ref="CI495:CJ496"/>
    <mergeCell ref="CN423:CO423"/>
    <mergeCell ref="CN424:CO424"/>
    <mergeCell ref="BR390:BS390"/>
    <mergeCell ref="BR391:BS391"/>
    <mergeCell ref="BV404:BW405"/>
    <mergeCell ref="CH405:CI405"/>
    <mergeCell ref="CK376:CL376"/>
    <mergeCell ref="CI339:CJ340"/>
    <mergeCell ref="CH331:CI331"/>
    <mergeCell ref="BX351:BY351"/>
    <mergeCell ref="BX352:BY352"/>
    <mergeCell ref="CA357:CB358"/>
    <mergeCell ref="CF360:CG360"/>
    <mergeCell ref="CJ360:CK360"/>
    <mergeCell ref="CJ364:CK364"/>
    <mergeCell ref="CC369:CD369"/>
    <mergeCell ref="CL413:CM414"/>
    <mergeCell ref="CK405:CL405"/>
    <mergeCell ref="BR316:BS316"/>
    <mergeCell ref="BR317:BS317"/>
    <mergeCell ref="BV330:BW331"/>
    <mergeCell ref="BV408:BV409"/>
    <mergeCell ref="CI345:CJ346"/>
    <mergeCell ref="BV334:BV335"/>
    <mergeCell ref="CN349:CO349"/>
    <mergeCell ref="CN350:CO350"/>
    <mergeCell ref="CI352:CJ352"/>
    <mergeCell ref="CI356:CJ356"/>
    <mergeCell ref="BT321:BU321"/>
    <mergeCell ref="BT322:BU322"/>
    <mergeCell ref="BU330:BU331"/>
    <mergeCell ref="CG237:CH237"/>
    <mergeCell ref="BW237:BX237"/>
    <mergeCell ref="BW238:BX238"/>
    <mergeCell ref="BZ243:CA244"/>
    <mergeCell ref="CA250:CB250"/>
    <mergeCell ref="CI257:CJ257"/>
    <mergeCell ref="CH241:CI241"/>
    <mergeCell ref="CH245:CI245"/>
    <mergeCell ref="CD241:CE241"/>
    <mergeCell ref="CG233:CH233"/>
    <mergeCell ref="BT215:BT216"/>
    <mergeCell ref="CI201:CJ201"/>
    <mergeCell ref="BW181:BX181"/>
    <mergeCell ref="BW182:BX182"/>
    <mergeCell ref="BT211:BU212"/>
    <mergeCell ref="BZ187:CA188"/>
    <mergeCell ref="CA194:CB194"/>
    <mergeCell ref="BP197:BQ197"/>
    <mergeCell ref="BP198:BQ198"/>
    <mergeCell ref="CG226:CH227"/>
    <mergeCell ref="CL53:CM53"/>
    <mergeCell ref="BT34:BU35"/>
    <mergeCell ref="BZ35:CA36"/>
    <mergeCell ref="BT38:BT39"/>
    <mergeCell ref="BW45:BX45"/>
    <mergeCell ref="BZ45:CA46"/>
    <mergeCell ref="BW46:BX46"/>
    <mergeCell ref="CG49:CH50"/>
    <mergeCell ref="BF50:BG51"/>
    <mergeCell ref="BW50:BX50"/>
    <mergeCell ref="BN51:BO52"/>
    <mergeCell ref="BW51:BX51"/>
    <mergeCell ref="CI79:CJ79"/>
    <mergeCell ref="BF54:BF55"/>
    <mergeCell ref="CL54:CM54"/>
    <mergeCell ref="BU56:BV57"/>
    <mergeCell ref="BZ56:CA57"/>
    <mergeCell ref="CG56:CH56"/>
    <mergeCell ref="BN61:BO62"/>
    <mergeCell ref="BU66:BV67"/>
    <mergeCell ref="BZ66:CA67"/>
    <mergeCell ref="CA72:CB72"/>
    <mergeCell ref="BW77:BX77"/>
    <mergeCell ref="BW78:BX78"/>
    <mergeCell ref="BT94:BU95"/>
    <mergeCell ref="BZ95:CA96"/>
    <mergeCell ref="BT98:BT99"/>
    <mergeCell ref="BW105:BX105"/>
    <mergeCell ref="BZ105:CA106"/>
    <mergeCell ref="BW106:BX106"/>
    <mergeCell ref="BY100:BZ101"/>
    <mergeCell ref="BT103:BU103"/>
    <mergeCell ref="CG109:CH110"/>
    <mergeCell ref="BW110:BX110"/>
    <mergeCell ref="CL114:CM114"/>
    <mergeCell ref="CG116:CH116"/>
    <mergeCell ref="BN122:BO122"/>
    <mergeCell ref="BM123:BM130"/>
    <mergeCell ref="BT104:BU104"/>
    <mergeCell ref="BZ115:CA120"/>
    <mergeCell ref="BU126:BV127"/>
    <mergeCell ref="BZ126:CA127"/>
    <mergeCell ref="CA133:CB133"/>
    <mergeCell ref="CL113:CM113"/>
    <mergeCell ref="BW111:BX111"/>
    <mergeCell ref="BQ666:BR666"/>
    <mergeCell ref="BQ667:BR667"/>
    <mergeCell ref="BU680:BV681"/>
    <mergeCell ref="BU684:BU685"/>
    <mergeCell ref="CH695:CI696"/>
    <mergeCell ref="CM699:CN699"/>
    <mergeCell ref="CM700:CN700"/>
    <mergeCell ref="CH702:CI702"/>
    <mergeCell ref="CI140:CJ140"/>
    <mergeCell ref="CL174:CM174"/>
    <mergeCell ref="CL175:CM175"/>
    <mergeCell ref="CG177:CH177"/>
    <mergeCell ref="BT165:BU165"/>
    <mergeCell ref="BW166:BX166"/>
    <mergeCell ref="BZ166:CA167"/>
    <mergeCell ref="BW167:BX167"/>
    <mergeCell ref="CG170:CH171"/>
    <mergeCell ref="BT155:BU156"/>
    <mergeCell ref="BZ156:CA157"/>
    <mergeCell ref="BT159:BT160"/>
    <mergeCell ref="BY161:BZ162"/>
    <mergeCell ref="BT164:BU164"/>
    <mergeCell ref="CL230:CM230"/>
    <mergeCell ref="CL231:CM231"/>
    <mergeCell ref="CM774:CN774"/>
    <mergeCell ref="CM775:CN775"/>
    <mergeCell ref="CJ680:CK680"/>
    <mergeCell ref="CK688:CL689"/>
    <mergeCell ref="BX706:BY706"/>
    <mergeCell ref="CH706:CI706"/>
    <mergeCell ref="BX707:BY707"/>
    <mergeCell ref="CE710:CF710"/>
    <mergeCell ref="CI710:CJ710"/>
    <mergeCell ref="CA712:CB713"/>
    <mergeCell ref="CI714:CJ714"/>
    <mergeCell ref="CB719:CC719"/>
    <mergeCell ref="CJ726:CK726"/>
    <mergeCell ref="CB838:CC838"/>
    <mergeCell ref="CJ845:CK845"/>
    <mergeCell ref="CI846:CI849"/>
    <mergeCell ref="CJ801:CK801"/>
    <mergeCell ref="CE790:CF790"/>
    <mergeCell ref="CM818:CN818"/>
    <mergeCell ref="CM819:CN819"/>
    <mergeCell ref="CH777:CI777"/>
    <mergeCell ref="BX781:BY781"/>
    <mergeCell ref="CE785:CF785"/>
    <mergeCell ref="CI785:CJ785"/>
    <mergeCell ref="CA787:CB788"/>
    <mergeCell ref="CI789:CJ789"/>
    <mergeCell ref="CB794:CC79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zoomScale="57" zoomScaleNormal="57" workbookViewId="0">
      <selection activeCell="A28" sqref="A28"/>
    </sheetView>
  </sheetViews>
  <sheetFormatPr baseColWidth="10" defaultRowHeight="15" x14ac:dyDescent="0.25"/>
  <sheetData>
    <row r="1" spans="1:28" x14ac:dyDescent="0.25">
      <c r="A1" t="str">
        <f>'Flujos Planta Final'!CZ62</f>
        <v>EN KG</v>
      </c>
      <c r="B1">
        <f t="array" ref="B1:AB1">TRANSPOSE(A2:A28)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f>1</f>
        <v>1</v>
      </c>
      <c r="B2">
        <f>'Flujos Planta Final'!DA63</f>
        <v>0</v>
      </c>
      <c r="C2">
        <f>'Flujos Planta Final'!DB63</f>
        <v>0</v>
      </c>
      <c r="D2">
        <f>'Flujos Planta Final'!DC63</f>
        <v>0</v>
      </c>
      <c r="E2">
        <f>'Flujos Planta Final'!DD63</f>
        <v>0</v>
      </c>
      <c r="F2">
        <f>'Flujos Planta Final'!DE63</f>
        <v>0</v>
      </c>
      <c r="G2">
        <f>'Flujos Planta Final'!DF63</f>
        <v>0</v>
      </c>
      <c r="H2">
        <f>'Flujos Planta Final'!DG63</f>
        <v>0</v>
      </c>
      <c r="I2">
        <f>'Flujos Planta Final'!DH63</f>
        <v>0</v>
      </c>
      <c r="J2">
        <f>'Flujos Planta Final'!DI63</f>
        <v>0</v>
      </c>
      <c r="K2">
        <f>'Flujos Planta Final'!DJ63</f>
        <v>0</v>
      </c>
      <c r="L2">
        <f>'Flujos Planta Final'!DK63</f>
        <v>0</v>
      </c>
      <c r="M2">
        <f>'Flujos Planta Final'!DL63</f>
        <v>0</v>
      </c>
      <c r="N2">
        <f>'Flujos Planta Final'!DM63</f>
        <v>0</v>
      </c>
      <c r="O2">
        <f>'Flujos Planta Final'!DN63</f>
        <v>0</v>
      </c>
      <c r="P2">
        <f>'Flujos Planta Final'!DO63</f>
        <v>0</v>
      </c>
      <c r="Q2">
        <f>'Flujos Planta Final'!DP63</f>
        <v>0</v>
      </c>
      <c r="R2">
        <f>'Flujos Planta Final'!DQ63</f>
        <v>0</v>
      </c>
      <c r="S2">
        <f>'Flujos Planta Final'!DR63</f>
        <v>0</v>
      </c>
      <c r="T2">
        <f>'Flujos Planta Final'!DS63</f>
        <v>0</v>
      </c>
      <c r="U2">
        <f>'Flujos Planta Final'!DT63</f>
        <v>0</v>
      </c>
      <c r="V2">
        <f>'Flujos Planta Final'!DU63</f>
        <v>0</v>
      </c>
      <c r="W2">
        <f>'Flujos Planta Final'!DV63</f>
        <v>0</v>
      </c>
      <c r="X2">
        <f>'Flujos Planta Final'!DW63</f>
        <v>0</v>
      </c>
      <c r="Y2">
        <f>'Flujos Planta Final'!DX63</f>
        <v>0</v>
      </c>
      <c r="Z2">
        <f>'Flujos Planta Final'!DY63</f>
        <v>2766.0058408396603</v>
      </c>
      <c r="AA2">
        <f>'Flujos Planta Final'!DZ63</f>
        <v>0</v>
      </c>
      <c r="AB2">
        <f>'Flujos Planta Final'!EA63</f>
        <v>0</v>
      </c>
    </row>
    <row r="3" spans="1:28" x14ac:dyDescent="0.25">
      <c r="A3">
        <v>2</v>
      </c>
      <c r="B3">
        <f>'Flujos Planta Final'!DA64</f>
        <v>99.313684884648012</v>
      </c>
      <c r="C3">
        <f>'Flujos Planta Final'!DB64</f>
        <v>0</v>
      </c>
      <c r="D3">
        <f>'Flujos Planta Final'!DC64</f>
        <v>0</v>
      </c>
      <c r="E3">
        <f>'Flujos Planta Final'!DD64</f>
        <v>0</v>
      </c>
      <c r="F3">
        <f>'Flujos Planta Final'!DE64</f>
        <v>0</v>
      </c>
      <c r="G3">
        <f>'Flujos Planta Final'!DF64</f>
        <v>0</v>
      </c>
      <c r="H3">
        <f>'Flujos Planta Final'!DG64</f>
        <v>0</v>
      </c>
      <c r="I3">
        <f>'Flujos Planta Final'!DH64</f>
        <v>0</v>
      </c>
      <c r="J3">
        <f>'Flujos Planta Final'!DI64</f>
        <v>0</v>
      </c>
      <c r="K3">
        <f>'Flujos Planta Final'!DJ64</f>
        <v>0</v>
      </c>
      <c r="L3">
        <f>'Flujos Planta Final'!DK64</f>
        <v>0</v>
      </c>
      <c r="M3">
        <f>'Flujos Planta Final'!DL64</f>
        <v>0</v>
      </c>
      <c r="N3">
        <f>'Flujos Planta Final'!DM64</f>
        <v>0</v>
      </c>
      <c r="O3">
        <f>'Flujos Planta Final'!DN64</f>
        <v>0</v>
      </c>
      <c r="P3">
        <f>'Flujos Planta Final'!DO64</f>
        <v>0</v>
      </c>
      <c r="Q3">
        <f>'Flujos Planta Final'!DP64</f>
        <v>0</v>
      </c>
      <c r="R3">
        <f>'Flujos Planta Final'!DQ64</f>
        <v>0</v>
      </c>
      <c r="S3">
        <f>'Flujos Planta Final'!DR64</f>
        <v>0</v>
      </c>
      <c r="T3">
        <f>'Flujos Planta Final'!DS64</f>
        <v>0</v>
      </c>
      <c r="U3">
        <f>'Flujos Planta Final'!DT64</f>
        <v>0</v>
      </c>
      <c r="V3">
        <f>'Flujos Planta Final'!DU64</f>
        <v>0</v>
      </c>
      <c r="W3">
        <f>'Flujos Planta Final'!DV64</f>
        <v>0</v>
      </c>
      <c r="X3">
        <f>'Flujos Planta Final'!DW64</f>
        <v>0</v>
      </c>
      <c r="Y3">
        <f>'Flujos Planta Final'!DX64</f>
        <v>0</v>
      </c>
      <c r="Z3">
        <f>'Flujos Planta Final'!DY64</f>
        <v>0</v>
      </c>
      <c r="AA3">
        <f>'Flujos Planta Final'!DZ64</f>
        <v>0</v>
      </c>
      <c r="AB3">
        <f>'Flujos Planta Final'!EA64</f>
        <v>0</v>
      </c>
    </row>
    <row r="4" spans="1:28" x14ac:dyDescent="0.25">
      <c r="A4">
        <v>3</v>
      </c>
      <c r="B4">
        <f>'Flujos Planta Final'!DA65</f>
        <v>412.64815595501244</v>
      </c>
      <c r="C4">
        <f>'Flujos Planta Final'!DB65</f>
        <v>0</v>
      </c>
      <c r="D4">
        <f>'Flujos Planta Final'!DC65</f>
        <v>0</v>
      </c>
      <c r="E4">
        <f>'Flujos Planta Final'!DD65</f>
        <v>0</v>
      </c>
      <c r="F4">
        <f>'Flujos Planta Final'!DE65</f>
        <v>0</v>
      </c>
      <c r="G4">
        <f>'Flujos Planta Final'!DF65</f>
        <v>0</v>
      </c>
      <c r="H4">
        <f>'Flujos Planta Final'!DG65</f>
        <v>0</v>
      </c>
      <c r="I4">
        <f>'Flujos Planta Final'!DH65</f>
        <v>0</v>
      </c>
      <c r="J4">
        <f>'Flujos Planta Final'!DI65</f>
        <v>0</v>
      </c>
      <c r="K4">
        <f>'Flujos Planta Final'!DJ65</f>
        <v>0</v>
      </c>
      <c r="L4">
        <f>'Flujos Planta Final'!DK65</f>
        <v>0</v>
      </c>
      <c r="M4">
        <f>'Flujos Planta Final'!DL65</f>
        <v>0</v>
      </c>
      <c r="N4">
        <f>'Flujos Planta Final'!DM65</f>
        <v>0</v>
      </c>
      <c r="O4">
        <f>'Flujos Planta Final'!DN65</f>
        <v>0</v>
      </c>
      <c r="P4">
        <f>'Flujos Planta Final'!DO65</f>
        <v>0</v>
      </c>
      <c r="Q4">
        <f>'Flujos Planta Final'!DP65</f>
        <v>0</v>
      </c>
      <c r="R4">
        <f>'Flujos Planta Final'!DQ65</f>
        <v>0</v>
      </c>
      <c r="S4">
        <f>'Flujos Planta Final'!DR65</f>
        <v>0</v>
      </c>
      <c r="T4">
        <f>'Flujos Planta Final'!DS65</f>
        <v>0</v>
      </c>
      <c r="U4">
        <f>'Flujos Planta Final'!DT65</f>
        <v>0</v>
      </c>
      <c r="V4">
        <f>'Flujos Planta Final'!DU65</f>
        <v>0</v>
      </c>
      <c r="W4">
        <f>'Flujos Planta Final'!DV65</f>
        <v>0</v>
      </c>
      <c r="X4">
        <f>'Flujos Planta Final'!DW65</f>
        <v>0</v>
      </c>
      <c r="Y4">
        <f>'Flujos Planta Final'!DX65</f>
        <v>0.84169691615856013</v>
      </c>
      <c r="Z4">
        <f>'Flujos Planta Final'!DY65</f>
        <v>0</v>
      </c>
      <c r="AA4">
        <f>'Flujos Planta Final'!DZ65</f>
        <v>0</v>
      </c>
      <c r="AB4">
        <f>'Flujos Planta Final'!EA65</f>
        <v>0</v>
      </c>
    </row>
    <row r="5" spans="1:28" x14ac:dyDescent="0.25">
      <c r="A5">
        <v>4</v>
      </c>
      <c r="B5">
        <f>'Flujos Planta Final'!DA66</f>
        <v>0</v>
      </c>
      <c r="C5">
        <f>'Flujos Planta Final'!DB66</f>
        <v>0</v>
      </c>
      <c r="D5">
        <f>'Flujos Planta Final'!DC66</f>
        <v>404.67414309728008</v>
      </c>
      <c r="E5">
        <f>'Flujos Planta Final'!DD66</f>
        <v>0</v>
      </c>
      <c r="F5">
        <f>'Flujos Planta Final'!DE66</f>
        <v>0</v>
      </c>
      <c r="G5">
        <f>'Flujos Planta Final'!DF66</f>
        <v>0</v>
      </c>
      <c r="H5">
        <f>'Flujos Planta Final'!DG66</f>
        <v>0</v>
      </c>
      <c r="I5">
        <f>'Flujos Planta Final'!DH66</f>
        <v>0</v>
      </c>
      <c r="J5">
        <f>'Flujos Planta Final'!DI66</f>
        <v>0</v>
      </c>
      <c r="K5">
        <f>'Flujos Planta Final'!DJ66</f>
        <v>0</v>
      </c>
      <c r="L5">
        <f>'Flujos Planta Final'!DK66</f>
        <v>0</v>
      </c>
      <c r="M5">
        <f>'Flujos Planta Final'!DL66</f>
        <v>0</v>
      </c>
      <c r="N5">
        <f>'Flujos Planta Final'!DM66</f>
        <v>634.98830850000002</v>
      </c>
      <c r="O5">
        <f>'Flujos Planta Final'!DN66</f>
        <v>0</v>
      </c>
      <c r="P5">
        <f>'Flujos Planta Final'!DO66</f>
        <v>0</v>
      </c>
      <c r="Q5">
        <f>'Flujos Planta Final'!DP66</f>
        <v>0</v>
      </c>
      <c r="R5">
        <f>'Flujos Planta Final'!DQ66</f>
        <v>0</v>
      </c>
      <c r="S5">
        <f>'Flujos Planta Final'!DR66</f>
        <v>0</v>
      </c>
      <c r="T5">
        <f>'Flujos Planta Final'!DS66</f>
        <v>833.12839781595403</v>
      </c>
      <c r="U5">
        <f>'Flujos Planta Final'!DT66</f>
        <v>0</v>
      </c>
      <c r="V5">
        <f>'Flujos Planta Final'!DU66</f>
        <v>0</v>
      </c>
      <c r="W5">
        <f>'Flujos Planta Final'!DV66</f>
        <v>9.255374999999999</v>
      </c>
      <c r="X5">
        <f>'Flujos Planta Final'!DW66</f>
        <v>0</v>
      </c>
      <c r="Y5">
        <f>'Flujos Planta Final'!DX66</f>
        <v>12.470400000000003</v>
      </c>
      <c r="Z5">
        <f>'Flujos Planta Final'!DY66</f>
        <v>0</v>
      </c>
      <c r="AA5">
        <f>'Flujos Planta Final'!DZ66</f>
        <v>0</v>
      </c>
      <c r="AB5">
        <f>'Flujos Planta Final'!EA66</f>
        <v>78.818982045661741</v>
      </c>
    </row>
    <row r="6" spans="1:28" x14ac:dyDescent="0.25">
      <c r="A6">
        <v>5</v>
      </c>
      <c r="B6">
        <f>'Flujos Planta Final'!DA67</f>
        <v>0</v>
      </c>
      <c r="C6">
        <f>'Flujos Planta Final'!DB67</f>
        <v>99.239910840000007</v>
      </c>
      <c r="D6">
        <f>'Flujos Planta Final'!DC67</f>
        <v>0</v>
      </c>
      <c r="E6">
        <f>'Flujos Planta Final'!DD67</f>
        <v>0</v>
      </c>
      <c r="F6">
        <f>'Flujos Planta Final'!DE67</f>
        <v>0</v>
      </c>
      <c r="G6">
        <f>'Flujos Planta Final'!DF67</f>
        <v>0</v>
      </c>
      <c r="H6">
        <f>'Flujos Planta Final'!DG67</f>
        <v>0</v>
      </c>
      <c r="I6">
        <f>'Flujos Planta Final'!DH67</f>
        <v>0</v>
      </c>
      <c r="J6">
        <f>'Flujos Planta Final'!DI67</f>
        <v>0</v>
      </c>
      <c r="K6">
        <f>'Flujos Planta Final'!DJ67</f>
        <v>0</v>
      </c>
      <c r="L6">
        <f>'Flujos Planta Final'!DK67</f>
        <v>0</v>
      </c>
      <c r="M6">
        <f>'Flujos Planta Final'!DL67</f>
        <v>0</v>
      </c>
      <c r="N6">
        <f>'Flujos Planta Final'!DM67</f>
        <v>0</v>
      </c>
      <c r="O6">
        <f>'Flujos Planta Final'!DN67</f>
        <v>0</v>
      </c>
      <c r="P6">
        <f>'Flujos Planta Final'!DO67</f>
        <v>0</v>
      </c>
      <c r="Q6">
        <f>'Flujos Planta Final'!DP67</f>
        <v>0</v>
      </c>
      <c r="R6">
        <f>'Flujos Planta Final'!DQ67</f>
        <v>0</v>
      </c>
      <c r="S6">
        <f>'Flujos Planta Final'!DR67</f>
        <v>0</v>
      </c>
      <c r="T6">
        <f>'Flujos Planta Final'!DS67</f>
        <v>0</v>
      </c>
      <c r="U6">
        <f>'Flujos Planta Final'!DT67</f>
        <v>0</v>
      </c>
      <c r="V6">
        <f>'Flujos Planta Final'!DU67</f>
        <v>0</v>
      </c>
      <c r="W6">
        <f>'Flujos Planta Final'!DV67</f>
        <v>0</v>
      </c>
      <c r="X6">
        <f>'Flujos Planta Final'!DW67</f>
        <v>0</v>
      </c>
      <c r="Y6">
        <f>'Flujos Planta Final'!DX67</f>
        <v>0</v>
      </c>
      <c r="Z6">
        <f>'Flujos Planta Final'!DY67</f>
        <v>0</v>
      </c>
      <c r="AA6">
        <f>'Flujos Planta Final'!DZ67</f>
        <v>0</v>
      </c>
      <c r="AB6">
        <f>'Flujos Planta Final'!EA67</f>
        <v>0</v>
      </c>
    </row>
    <row r="7" spans="1:28" x14ac:dyDescent="0.25">
      <c r="A7">
        <v>6</v>
      </c>
      <c r="B7">
        <f>'Flujos Planta Final'!DA68</f>
        <v>0</v>
      </c>
      <c r="C7">
        <f>'Flujos Planta Final'!DB68</f>
        <v>0</v>
      </c>
      <c r="D7">
        <f>'Flujos Planta Final'!DC68</f>
        <v>0</v>
      </c>
      <c r="E7">
        <f>'Flujos Planta Final'!DD68</f>
        <v>0</v>
      </c>
      <c r="F7">
        <f>'Flujos Planta Final'!DE68</f>
        <v>0</v>
      </c>
      <c r="G7">
        <f>'Flujos Planta Final'!DF68</f>
        <v>0</v>
      </c>
      <c r="H7">
        <f>'Flujos Planta Final'!DG68</f>
        <v>0</v>
      </c>
      <c r="I7">
        <f>'Flujos Planta Final'!DH68</f>
        <v>0</v>
      </c>
      <c r="J7">
        <f>'Flujos Planta Final'!DI68</f>
        <v>0</v>
      </c>
      <c r="K7">
        <f>'Flujos Planta Final'!DJ68</f>
        <v>0</v>
      </c>
      <c r="L7">
        <f>'Flujos Planta Final'!DK68</f>
        <v>0</v>
      </c>
      <c r="M7">
        <f>'Flujos Planta Final'!DL68</f>
        <v>0</v>
      </c>
      <c r="N7">
        <f>'Flujos Planta Final'!DM68</f>
        <v>0</v>
      </c>
      <c r="O7">
        <f>'Flujos Planta Final'!DN68</f>
        <v>0</v>
      </c>
      <c r="P7">
        <f>'Flujos Planta Final'!DO68</f>
        <v>0</v>
      </c>
      <c r="Q7">
        <f>'Flujos Planta Final'!DP68</f>
        <v>0</v>
      </c>
      <c r="R7">
        <f>'Flujos Planta Final'!DQ68</f>
        <v>0</v>
      </c>
      <c r="S7">
        <f>'Flujos Planta Final'!DR68</f>
        <v>0</v>
      </c>
      <c r="T7">
        <f>'Flujos Planta Final'!DS68</f>
        <v>0</v>
      </c>
      <c r="U7">
        <f>'Flujos Planta Final'!DT68</f>
        <v>0</v>
      </c>
      <c r="V7">
        <f>'Flujos Planta Final'!DU68</f>
        <v>4638.5555276987398</v>
      </c>
      <c r="W7">
        <f>'Flujos Planta Final'!DV68</f>
        <v>0</v>
      </c>
      <c r="X7">
        <f>'Flujos Planta Final'!DW68</f>
        <v>0</v>
      </c>
      <c r="Y7">
        <f>'Flujos Planta Final'!DX68</f>
        <v>0</v>
      </c>
      <c r="Z7">
        <f>'Flujos Planta Final'!DY68</f>
        <v>0</v>
      </c>
      <c r="AA7">
        <f>'Flujos Planta Final'!DZ68</f>
        <v>0</v>
      </c>
      <c r="AB7">
        <f>'Flujos Planta Final'!EA68</f>
        <v>0</v>
      </c>
    </row>
    <row r="8" spans="1:28" x14ac:dyDescent="0.25">
      <c r="A8">
        <v>7</v>
      </c>
      <c r="B8">
        <f>'Flujos Planta Final'!DA69</f>
        <v>0</v>
      </c>
      <c r="C8">
        <f>'Flujos Planta Final'!DB69</f>
        <v>0</v>
      </c>
      <c r="D8">
        <f>'Flujos Planta Final'!DC69</f>
        <v>0</v>
      </c>
      <c r="E8">
        <f>'Flujos Planta Final'!DD69</f>
        <v>0</v>
      </c>
      <c r="F8">
        <f>'Flujos Planta Final'!DE69</f>
        <v>0</v>
      </c>
      <c r="G8">
        <f>'Flujos Planta Final'!DF69</f>
        <v>0</v>
      </c>
      <c r="H8">
        <f>'Flujos Planta Final'!DG69</f>
        <v>0</v>
      </c>
      <c r="I8">
        <f>'Flujos Planta Final'!DH69</f>
        <v>0</v>
      </c>
      <c r="J8">
        <f>'Flujos Planta Final'!DI69</f>
        <v>0</v>
      </c>
      <c r="K8">
        <f>'Flujos Planta Final'!DJ69</f>
        <v>0</v>
      </c>
      <c r="L8">
        <f>'Flujos Planta Final'!DK69</f>
        <v>0</v>
      </c>
      <c r="M8">
        <f>'Flujos Planta Final'!DL69</f>
        <v>0</v>
      </c>
      <c r="N8">
        <f>'Flujos Planta Final'!DM69</f>
        <v>0</v>
      </c>
      <c r="O8">
        <f>'Flujos Planta Final'!DN69</f>
        <v>0</v>
      </c>
      <c r="P8">
        <f>'Flujos Planta Final'!DO69</f>
        <v>0</v>
      </c>
      <c r="Q8">
        <f>'Flujos Planta Final'!DP69</f>
        <v>0</v>
      </c>
      <c r="R8">
        <f>'Flujos Planta Final'!DQ69</f>
        <v>0</v>
      </c>
      <c r="S8">
        <f>'Flujos Planta Final'!DR69</f>
        <v>0</v>
      </c>
      <c r="T8">
        <f>'Flujos Planta Final'!DS69</f>
        <v>0</v>
      </c>
      <c r="U8">
        <f>'Flujos Planta Final'!DT69</f>
        <v>0</v>
      </c>
      <c r="V8">
        <f>'Flujos Planta Final'!DU69</f>
        <v>0</v>
      </c>
      <c r="W8">
        <f>'Flujos Planta Final'!DV69</f>
        <v>0</v>
      </c>
      <c r="X8">
        <f>'Flujos Planta Final'!DW69</f>
        <v>0</v>
      </c>
      <c r="Y8">
        <f>'Flujos Planta Final'!DX69</f>
        <v>0</v>
      </c>
      <c r="Z8">
        <f>'Flujos Planta Final'!DY69</f>
        <v>0</v>
      </c>
      <c r="AA8">
        <f>'Flujos Planta Final'!DZ69</f>
        <v>0</v>
      </c>
      <c r="AB8">
        <f>'Flujos Planta Final'!EA69</f>
        <v>0</v>
      </c>
    </row>
    <row r="9" spans="1:28" x14ac:dyDescent="0.25">
      <c r="A9">
        <v>8</v>
      </c>
      <c r="B9">
        <f>'Flujos Planta Final'!DA70</f>
        <v>2000.7</v>
      </c>
      <c r="C9">
        <f>'Flujos Planta Final'!DB70</f>
        <v>0</v>
      </c>
      <c r="D9">
        <f>'Flujos Planta Final'!DC70</f>
        <v>0</v>
      </c>
      <c r="E9">
        <f>'Flujos Planta Final'!DD70</f>
        <v>0</v>
      </c>
      <c r="F9">
        <f>'Flujos Planta Final'!DE70</f>
        <v>0</v>
      </c>
      <c r="G9">
        <f>'Flujos Planta Final'!DF70</f>
        <v>0</v>
      </c>
      <c r="H9">
        <f>'Flujos Planta Final'!DG70</f>
        <v>0</v>
      </c>
      <c r="I9">
        <f>'Flujos Planta Final'!DH70</f>
        <v>0</v>
      </c>
      <c r="J9">
        <f>'Flujos Planta Final'!DI70</f>
        <v>0</v>
      </c>
      <c r="K9">
        <f>'Flujos Planta Final'!DJ70</f>
        <v>0</v>
      </c>
      <c r="L9">
        <f>'Flujos Planta Final'!DK70</f>
        <v>0</v>
      </c>
      <c r="M9">
        <f>'Flujos Planta Final'!DL70</f>
        <v>0</v>
      </c>
      <c r="N9">
        <f>'Flujos Planta Final'!DM70</f>
        <v>0</v>
      </c>
      <c r="O9">
        <f>'Flujos Planta Final'!DN70</f>
        <v>0</v>
      </c>
      <c r="P9">
        <f>'Flujos Planta Final'!DO70</f>
        <v>0</v>
      </c>
      <c r="Q9">
        <f>'Flujos Planta Final'!DP70</f>
        <v>0</v>
      </c>
      <c r="R9">
        <f>'Flujos Planta Final'!DQ70</f>
        <v>0</v>
      </c>
      <c r="S9">
        <f>'Flujos Planta Final'!DR70</f>
        <v>0</v>
      </c>
      <c r="T9">
        <f>'Flujos Planta Final'!DS70</f>
        <v>1993.5179999999998</v>
      </c>
      <c r="U9">
        <f>'Flujos Planta Final'!DT70</f>
        <v>0</v>
      </c>
      <c r="V9">
        <f>'Flujos Planta Final'!DU70</f>
        <v>0</v>
      </c>
      <c r="W9">
        <f>'Flujos Planta Final'!DV70</f>
        <v>0</v>
      </c>
      <c r="X9">
        <f>'Flujos Planta Final'!DW70</f>
        <v>0</v>
      </c>
      <c r="Y9">
        <f>'Flujos Planta Final'!DX70</f>
        <v>0</v>
      </c>
      <c r="Z9">
        <f>'Flujos Planta Final'!DY70</f>
        <v>0</v>
      </c>
      <c r="AA9">
        <f>'Flujos Planta Final'!DZ70</f>
        <v>0</v>
      </c>
      <c r="AB9">
        <f>'Flujos Planta Final'!EA70</f>
        <v>0</v>
      </c>
    </row>
    <row r="10" spans="1:28" x14ac:dyDescent="0.25">
      <c r="A10">
        <v>9</v>
      </c>
      <c r="B10">
        <f>'Flujos Planta Final'!DA71</f>
        <v>0</v>
      </c>
      <c r="C10">
        <f>'Flujos Planta Final'!DB71</f>
        <v>0</v>
      </c>
      <c r="D10">
        <f>'Flujos Planta Final'!DC71</f>
        <v>0</v>
      </c>
      <c r="E10">
        <f>'Flujos Planta Final'!DD71</f>
        <v>0</v>
      </c>
      <c r="F10">
        <f>'Flujos Planta Final'!DE71</f>
        <v>0</v>
      </c>
      <c r="G10">
        <f>'Flujos Planta Final'!DF71</f>
        <v>0</v>
      </c>
      <c r="H10">
        <f>'Flujos Planta Final'!DG71</f>
        <v>0</v>
      </c>
      <c r="I10">
        <f>'Flujos Planta Final'!DH71</f>
        <v>3994.2179999999998</v>
      </c>
      <c r="J10">
        <f>'Flujos Planta Final'!DI71</f>
        <v>0</v>
      </c>
      <c r="K10">
        <f>'Flujos Planta Final'!DJ71</f>
        <v>0</v>
      </c>
      <c r="L10">
        <f>'Flujos Planta Final'!DK71</f>
        <v>0</v>
      </c>
      <c r="M10">
        <f>'Flujos Planta Final'!DL71</f>
        <v>320.63094624999997</v>
      </c>
      <c r="N10">
        <f>'Flujos Planta Final'!DM71</f>
        <v>0</v>
      </c>
      <c r="O10">
        <f>'Flujos Planta Final'!DN71</f>
        <v>0</v>
      </c>
      <c r="P10">
        <f>'Flujos Planta Final'!DO71</f>
        <v>0</v>
      </c>
      <c r="Q10">
        <f>'Flujos Planta Final'!DP71</f>
        <v>0</v>
      </c>
      <c r="R10">
        <f>'Flujos Planta Final'!DQ71</f>
        <v>0</v>
      </c>
      <c r="S10">
        <f>'Flujos Planta Final'!DR71</f>
        <v>0</v>
      </c>
      <c r="T10">
        <f>'Flujos Planta Final'!DS71</f>
        <v>0</v>
      </c>
      <c r="U10">
        <f>'Flujos Planta Final'!DT71</f>
        <v>0</v>
      </c>
      <c r="V10">
        <f>'Flujos Planta Final'!DU71</f>
        <v>0</v>
      </c>
      <c r="W10">
        <f>'Flujos Planta Final'!DV71</f>
        <v>0</v>
      </c>
      <c r="X10">
        <f>'Flujos Planta Final'!DW71</f>
        <v>0</v>
      </c>
      <c r="Y10">
        <f>'Flujos Planta Final'!DX71</f>
        <v>0</v>
      </c>
      <c r="Z10">
        <f>'Flujos Planta Final'!DY71</f>
        <v>0</v>
      </c>
      <c r="AA10">
        <f>'Flujos Planta Final'!DZ71</f>
        <v>0</v>
      </c>
      <c r="AB10">
        <f>'Flujos Planta Final'!EA71</f>
        <v>0</v>
      </c>
    </row>
    <row r="11" spans="1:28" x14ac:dyDescent="0.25">
      <c r="A11">
        <v>10</v>
      </c>
      <c r="B11">
        <f>'Flujos Planta Final'!DA72</f>
        <v>0</v>
      </c>
      <c r="C11">
        <f>'Flujos Planta Final'!DB72</f>
        <v>0</v>
      </c>
      <c r="D11">
        <f>'Flujos Planta Final'!DC72</f>
        <v>0</v>
      </c>
      <c r="E11">
        <f>'Flujos Planta Final'!DD72</f>
        <v>1261.1918979588959</v>
      </c>
      <c r="F11">
        <f>'Flujos Planta Final'!DE72</f>
        <v>0</v>
      </c>
      <c r="G11">
        <f>'Flujos Planta Final'!DF72</f>
        <v>0</v>
      </c>
      <c r="H11">
        <f>'Flujos Planta Final'!DG72</f>
        <v>0</v>
      </c>
      <c r="I11">
        <f>'Flujos Planta Final'!DH72</f>
        <v>0</v>
      </c>
      <c r="J11">
        <f>'Flujos Planta Final'!DI72</f>
        <v>0</v>
      </c>
      <c r="K11">
        <f>'Flujos Planta Final'!DJ72</f>
        <v>0</v>
      </c>
      <c r="L11">
        <f>'Flujos Planta Final'!DK72</f>
        <v>0</v>
      </c>
      <c r="M11">
        <f>'Flujos Planta Final'!DL72</f>
        <v>0</v>
      </c>
      <c r="N11">
        <f>'Flujos Planta Final'!DM72</f>
        <v>0</v>
      </c>
      <c r="O11">
        <f>'Flujos Planta Final'!DN72</f>
        <v>0</v>
      </c>
      <c r="P11">
        <f>'Flujos Planta Final'!DO72</f>
        <v>0</v>
      </c>
      <c r="Q11">
        <f>'Flujos Planta Final'!DP72</f>
        <v>0</v>
      </c>
      <c r="R11">
        <f>'Flujos Planta Final'!DQ72</f>
        <v>0</v>
      </c>
      <c r="S11">
        <f>'Flujos Planta Final'!DR72</f>
        <v>0</v>
      </c>
      <c r="T11">
        <f>'Flujos Planta Final'!DS72</f>
        <v>0</v>
      </c>
      <c r="U11">
        <f>'Flujos Planta Final'!DT72</f>
        <v>0</v>
      </c>
      <c r="V11">
        <f>'Flujos Planta Final'!DU72</f>
        <v>0</v>
      </c>
      <c r="W11">
        <f>'Flujos Planta Final'!DV72</f>
        <v>0</v>
      </c>
      <c r="X11">
        <f>'Flujos Planta Final'!DW72</f>
        <v>0</v>
      </c>
      <c r="Y11">
        <f>'Flujos Planta Final'!DX72</f>
        <v>0.33391831679015999</v>
      </c>
      <c r="Z11">
        <f>'Flujos Planta Final'!DY72</f>
        <v>0</v>
      </c>
      <c r="AA11">
        <f>'Flujos Planta Final'!DZ72</f>
        <v>0</v>
      </c>
      <c r="AB11">
        <f>'Flujos Planta Final'!EA72</f>
        <v>0</v>
      </c>
    </row>
    <row r="12" spans="1:28" x14ac:dyDescent="0.25">
      <c r="A12">
        <v>11</v>
      </c>
      <c r="B12">
        <f>'Flujos Planta Final'!DA73</f>
        <v>0</v>
      </c>
      <c r="C12">
        <f>'Flujos Planta Final'!DB73</f>
        <v>0</v>
      </c>
      <c r="D12">
        <f>'Flujos Planta Final'!DC73</f>
        <v>0</v>
      </c>
      <c r="E12">
        <f>'Flujos Planta Final'!DD73</f>
        <v>0</v>
      </c>
      <c r="F12">
        <f>'Flujos Planta Final'!DE73</f>
        <v>0</v>
      </c>
      <c r="G12">
        <f>'Flujos Planta Final'!DF73</f>
        <v>0</v>
      </c>
      <c r="H12">
        <f>'Flujos Planta Final'!DG73</f>
        <v>0</v>
      </c>
      <c r="I12">
        <f>'Flujos Planta Final'!DH73</f>
        <v>0</v>
      </c>
      <c r="J12">
        <f>'Flujos Planta Final'!DI73</f>
        <v>57.241101581608007</v>
      </c>
      <c r="K12">
        <f>'Flujos Planta Final'!DJ73</f>
        <v>263.38984466839196</v>
      </c>
      <c r="L12">
        <f>'Flujos Planta Final'!DK73</f>
        <v>0</v>
      </c>
      <c r="M12">
        <f>'Flujos Planta Final'!DL73</f>
        <v>0</v>
      </c>
      <c r="N12">
        <f>'Flujos Planta Final'!DM73</f>
        <v>0</v>
      </c>
      <c r="O12">
        <f>'Flujos Planta Final'!DN73</f>
        <v>0</v>
      </c>
      <c r="P12">
        <f>'Flujos Planta Final'!DO73</f>
        <v>0</v>
      </c>
      <c r="Q12">
        <f>'Flujos Planta Final'!DP73</f>
        <v>0</v>
      </c>
      <c r="R12">
        <f>'Flujos Planta Final'!DQ73</f>
        <v>0</v>
      </c>
      <c r="S12">
        <f>'Flujos Planta Final'!DR73</f>
        <v>0</v>
      </c>
      <c r="T12">
        <f>'Flujos Planta Final'!DS73</f>
        <v>0</v>
      </c>
      <c r="U12">
        <f>'Flujos Planta Final'!DT73</f>
        <v>0</v>
      </c>
      <c r="V12">
        <f>'Flujos Planta Final'!DU73</f>
        <v>0</v>
      </c>
      <c r="W12">
        <f>'Flujos Planta Final'!DV73</f>
        <v>0</v>
      </c>
      <c r="X12">
        <f>'Flujos Planta Final'!DW73</f>
        <v>0</v>
      </c>
      <c r="Y12">
        <f>'Flujos Planta Final'!DX73</f>
        <v>0</v>
      </c>
      <c r="Z12">
        <f>'Flujos Planta Final'!DY73</f>
        <v>0</v>
      </c>
      <c r="AA12">
        <f>'Flujos Planta Final'!DZ73</f>
        <v>0</v>
      </c>
      <c r="AB12">
        <f>'Flujos Planta Final'!EA73</f>
        <v>0</v>
      </c>
    </row>
    <row r="13" spans="1:28" x14ac:dyDescent="0.25">
      <c r="A13">
        <v>12</v>
      </c>
      <c r="B13">
        <f>'Flujos Planta Final'!DA74</f>
        <v>0</v>
      </c>
      <c r="C13">
        <f>'Flujos Planta Final'!DB74</f>
        <v>0</v>
      </c>
      <c r="D13">
        <f>'Flujos Planta Final'!DC74</f>
        <v>0</v>
      </c>
      <c r="E13">
        <f>'Flujos Planta Final'!DD74</f>
        <v>0</v>
      </c>
      <c r="F13">
        <f>'Flujos Planta Final'!DE74</f>
        <v>0</v>
      </c>
      <c r="G13">
        <f>'Flujos Planta Final'!DF74</f>
        <v>0</v>
      </c>
      <c r="H13">
        <f>'Flujos Planta Final'!DG74</f>
        <v>0</v>
      </c>
      <c r="I13">
        <f>'Flujos Planta Final'!DH74</f>
        <v>0</v>
      </c>
      <c r="J13">
        <f>'Flujos Planta Final'!DI74</f>
        <v>0</v>
      </c>
      <c r="K13">
        <f>'Flujos Planta Final'!DJ74</f>
        <v>0</v>
      </c>
      <c r="L13">
        <f>'Flujos Planta Final'!DK74</f>
        <v>320.63094624999997</v>
      </c>
      <c r="M13">
        <f>'Flujos Planta Final'!DL74</f>
        <v>0</v>
      </c>
      <c r="N13">
        <f>'Flujos Planta Final'!DM74</f>
        <v>0</v>
      </c>
      <c r="O13">
        <f>'Flujos Planta Final'!DN74</f>
        <v>0</v>
      </c>
      <c r="P13">
        <f>'Flujos Planta Final'!DO74</f>
        <v>0</v>
      </c>
      <c r="Q13">
        <f>'Flujos Planta Final'!DP74</f>
        <v>0</v>
      </c>
      <c r="R13">
        <f>'Flujos Planta Final'!DQ74</f>
        <v>0</v>
      </c>
      <c r="S13">
        <f>'Flujos Planta Final'!DR74</f>
        <v>0</v>
      </c>
      <c r="T13">
        <f>'Flujos Planta Final'!DS74</f>
        <v>0</v>
      </c>
      <c r="U13">
        <f>'Flujos Planta Final'!DT74</f>
        <v>0</v>
      </c>
      <c r="V13">
        <f>'Flujos Planta Final'!DU74</f>
        <v>0</v>
      </c>
      <c r="W13">
        <f>'Flujos Planta Final'!DV74</f>
        <v>0</v>
      </c>
      <c r="X13">
        <f>'Flujos Planta Final'!DW74</f>
        <v>0</v>
      </c>
      <c r="Y13">
        <f>'Flujos Planta Final'!DX74</f>
        <v>0</v>
      </c>
      <c r="Z13">
        <f>'Flujos Planta Final'!DY74</f>
        <v>0</v>
      </c>
      <c r="AA13">
        <f>'Flujos Planta Final'!DZ74</f>
        <v>0</v>
      </c>
      <c r="AB13">
        <f>'Flujos Planta Final'!EA74</f>
        <v>5.67E-2</v>
      </c>
    </row>
    <row r="14" spans="1:28" x14ac:dyDescent="0.25">
      <c r="A14">
        <v>13</v>
      </c>
      <c r="B14">
        <f>'Flujos Planta Final'!DA75</f>
        <v>0</v>
      </c>
      <c r="C14">
        <f>'Flujos Planta Final'!DB75</f>
        <v>0</v>
      </c>
      <c r="D14">
        <f>'Flujos Planta Final'!DC75</f>
        <v>0</v>
      </c>
      <c r="E14">
        <f>'Flujos Planta Final'!DD75</f>
        <v>0</v>
      </c>
      <c r="F14">
        <f>'Flujos Planta Final'!DE75</f>
        <v>0</v>
      </c>
      <c r="G14">
        <f>'Flujos Planta Final'!DF75</f>
        <v>0</v>
      </c>
      <c r="H14">
        <f>'Flujos Planta Final'!DG75</f>
        <v>0</v>
      </c>
      <c r="I14">
        <f>'Flujos Planta Final'!DH75</f>
        <v>0</v>
      </c>
      <c r="J14">
        <f>'Flujos Planta Final'!DI75</f>
        <v>0</v>
      </c>
      <c r="K14">
        <f>'Flujos Planta Final'!DJ75</f>
        <v>0</v>
      </c>
      <c r="L14">
        <f>'Flujos Planta Final'!DK75</f>
        <v>0</v>
      </c>
      <c r="M14">
        <f>'Flujos Planta Final'!DL75</f>
        <v>0</v>
      </c>
      <c r="N14">
        <f>'Flujos Planta Final'!DM75</f>
        <v>0</v>
      </c>
      <c r="O14">
        <f>'Flujos Planta Final'!DN75</f>
        <v>0</v>
      </c>
      <c r="P14">
        <f>'Flujos Planta Final'!DO75</f>
        <v>0</v>
      </c>
      <c r="Q14">
        <f>'Flujos Planta Final'!DP75</f>
        <v>0</v>
      </c>
      <c r="R14">
        <f>'Flujos Planta Final'!DQ75</f>
        <v>0</v>
      </c>
      <c r="S14">
        <f>'Flujos Planta Final'!DR75</f>
        <v>0</v>
      </c>
      <c r="T14">
        <f>'Flujos Planta Final'!DS75</f>
        <v>0</v>
      </c>
      <c r="U14">
        <f>'Flujos Planta Final'!DT75</f>
        <v>0</v>
      </c>
      <c r="V14">
        <f>'Flujos Planta Final'!DU75</f>
        <v>0</v>
      </c>
      <c r="W14">
        <f>'Flujos Planta Final'!DV75</f>
        <v>0</v>
      </c>
      <c r="X14">
        <f>'Flujos Planta Final'!DW75</f>
        <v>0</v>
      </c>
      <c r="Y14">
        <f>'Flujos Planta Final'!DX75</f>
        <v>0</v>
      </c>
      <c r="Z14">
        <f>'Flujos Planta Final'!DY75</f>
        <v>8710.6889999999985</v>
      </c>
      <c r="AA14">
        <f>'Flujos Planta Final'!DZ75</f>
        <v>0</v>
      </c>
      <c r="AB14">
        <f>'Flujos Planta Final'!EA75</f>
        <v>0</v>
      </c>
    </row>
    <row r="15" spans="1:28" x14ac:dyDescent="0.25">
      <c r="A15">
        <v>14</v>
      </c>
      <c r="B15">
        <f>'Flujos Planta Final'!DA76</f>
        <v>0</v>
      </c>
      <c r="C15">
        <f>'Flujos Planta Final'!DB76</f>
        <v>0</v>
      </c>
      <c r="D15">
        <f>'Flujos Planta Final'!DC76</f>
        <v>0</v>
      </c>
      <c r="E15">
        <f>'Flujos Planta Final'!DD76</f>
        <v>0</v>
      </c>
      <c r="F15">
        <f>'Flujos Planta Final'!DE76</f>
        <v>0</v>
      </c>
      <c r="G15">
        <f>'Flujos Planta Final'!DF76</f>
        <v>0</v>
      </c>
      <c r="H15">
        <f>'Flujos Planta Final'!DG76</f>
        <v>0</v>
      </c>
      <c r="I15">
        <f>'Flujos Planta Final'!DH76</f>
        <v>0</v>
      </c>
      <c r="J15">
        <f>'Flujos Planta Final'!DI76</f>
        <v>0</v>
      </c>
      <c r="K15">
        <f>'Flujos Planta Final'!DJ76</f>
        <v>0</v>
      </c>
      <c r="L15">
        <f>'Flujos Planta Final'!DK76</f>
        <v>0</v>
      </c>
      <c r="M15">
        <f>'Flujos Planta Final'!DL76</f>
        <v>0</v>
      </c>
      <c r="N15">
        <f>'Flujos Planta Final'!DM76</f>
        <v>0</v>
      </c>
      <c r="O15">
        <f>'Flujos Planta Final'!DN76</f>
        <v>0</v>
      </c>
      <c r="P15">
        <f>'Flujos Planta Final'!DO76</f>
        <v>5847.9506010000005</v>
      </c>
      <c r="Q15">
        <f>'Flujos Planta Final'!DP76</f>
        <v>0</v>
      </c>
      <c r="R15">
        <f>'Flujos Planta Final'!DQ76</f>
        <v>86.145120000000006</v>
      </c>
      <c r="S15">
        <f>'Flujos Planta Final'!DR76</f>
        <v>225.018</v>
      </c>
      <c r="T15">
        <f>'Flujos Planta Final'!DS76</f>
        <v>0</v>
      </c>
      <c r="U15">
        <f>'Flujos Planta Final'!DT76</f>
        <v>0</v>
      </c>
      <c r="V15">
        <f>'Flujos Planta Final'!DU76</f>
        <v>0</v>
      </c>
      <c r="W15">
        <f>'Flujos Planta Final'!DV76</f>
        <v>0</v>
      </c>
      <c r="X15">
        <f>'Flujos Planta Final'!DW76</f>
        <v>0</v>
      </c>
      <c r="Y15">
        <f>'Flujos Planta Final'!DX76</f>
        <v>0</v>
      </c>
      <c r="Z15">
        <f>'Flujos Planta Final'!DY76</f>
        <v>0</v>
      </c>
      <c r="AA15">
        <f>'Flujos Planta Final'!DZ76</f>
        <v>0</v>
      </c>
      <c r="AB15">
        <f>'Flujos Planta Final'!EA76</f>
        <v>0</v>
      </c>
    </row>
    <row r="16" spans="1:28" x14ac:dyDescent="0.25">
      <c r="A16">
        <v>15</v>
      </c>
      <c r="B16">
        <f>'Flujos Planta Final'!DA77</f>
        <v>0</v>
      </c>
      <c r="C16">
        <f>'Flujos Planta Final'!DB77</f>
        <v>0</v>
      </c>
      <c r="D16">
        <f>'Flujos Planta Final'!DC77</f>
        <v>0</v>
      </c>
      <c r="E16">
        <f>'Flujos Planta Final'!DD77</f>
        <v>0</v>
      </c>
      <c r="F16">
        <f>'Flujos Planta Final'!DE77</f>
        <v>0</v>
      </c>
      <c r="G16">
        <f>'Flujos Planta Final'!DF77</f>
        <v>0</v>
      </c>
      <c r="H16">
        <f>'Flujos Planta Final'!DG77</f>
        <v>0</v>
      </c>
      <c r="I16">
        <f>'Flujos Planta Final'!DH77</f>
        <v>0</v>
      </c>
      <c r="J16">
        <f>'Flujos Planta Final'!DI77</f>
        <v>0</v>
      </c>
      <c r="K16">
        <f>'Flujos Planta Final'!DJ77</f>
        <v>0</v>
      </c>
      <c r="L16">
        <f>'Flujos Planta Final'!DK77</f>
        <v>0</v>
      </c>
      <c r="M16">
        <f>'Flujos Planta Final'!DL77</f>
        <v>0</v>
      </c>
      <c r="N16">
        <f>'Flujos Planta Final'!DM77</f>
        <v>0</v>
      </c>
      <c r="O16">
        <f>'Flujos Planta Final'!DN77</f>
        <v>57.900501000000077</v>
      </c>
      <c r="P16">
        <f>'Flujos Planta Final'!DO77</f>
        <v>0</v>
      </c>
      <c r="Q16">
        <f>'Flujos Planta Final'!DP77</f>
        <v>5790.0501000000004</v>
      </c>
      <c r="R16">
        <f>'Flujos Planta Final'!DQ77</f>
        <v>0</v>
      </c>
      <c r="S16">
        <f>'Flujos Planta Final'!DR77</f>
        <v>0</v>
      </c>
      <c r="T16">
        <f>'Flujos Planta Final'!DS77</f>
        <v>0</v>
      </c>
      <c r="U16">
        <f>'Flujos Planta Final'!DT77</f>
        <v>0</v>
      </c>
      <c r="V16">
        <f>'Flujos Planta Final'!DU77</f>
        <v>0</v>
      </c>
      <c r="W16">
        <f>'Flujos Planta Final'!DV77</f>
        <v>0</v>
      </c>
      <c r="X16">
        <f>'Flujos Planta Final'!DW77</f>
        <v>0</v>
      </c>
      <c r="Y16">
        <f>'Flujos Planta Final'!DX77</f>
        <v>0</v>
      </c>
      <c r="Z16">
        <f>'Flujos Planta Final'!DY77</f>
        <v>0</v>
      </c>
      <c r="AA16">
        <f>'Flujos Planta Final'!DZ77</f>
        <v>0</v>
      </c>
      <c r="AB16">
        <f>'Flujos Planta Final'!EA77</f>
        <v>0</v>
      </c>
    </row>
    <row r="17" spans="1:28" x14ac:dyDescent="0.25">
      <c r="A17">
        <v>16</v>
      </c>
      <c r="B17">
        <f>'Flujos Planta Final'!DA78</f>
        <v>0</v>
      </c>
      <c r="C17">
        <f>'Flujos Planta Final'!DB78</f>
        <v>0</v>
      </c>
      <c r="D17">
        <f>'Flujos Planta Final'!DC78</f>
        <v>0</v>
      </c>
      <c r="E17">
        <f>'Flujos Planta Final'!DD78</f>
        <v>0</v>
      </c>
      <c r="F17">
        <f>'Flujos Planta Final'!DE78</f>
        <v>0</v>
      </c>
      <c r="G17">
        <f>'Flujos Planta Final'!DF78</f>
        <v>0</v>
      </c>
      <c r="H17">
        <f>'Flujos Planta Final'!DG78</f>
        <v>0</v>
      </c>
      <c r="I17">
        <f>'Flujos Planta Final'!DH78</f>
        <v>0</v>
      </c>
      <c r="J17">
        <f>'Flujos Planta Final'!DI78</f>
        <v>0</v>
      </c>
      <c r="K17">
        <f>'Flujos Planta Final'!DJ78</f>
        <v>0</v>
      </c>
      <c r="L17">
        <f>'Flujos Planta Final'!DK78</f>
        <v>0</v>
      </c>
      <c r="M17">
        <f>'Flujos Planta Final'!DL78</f>
        <v>0</v>
      </c>
      <c r="N17">
        <f>'Flujos Planta Final'!DM78</f>
        <v>0</v>
      </c>
      <c r="O17">
        <f>'Flujos Planta Final'!DN78</f>
        <v>0</v>
      </c>
      <c r="P17">
        <f>'Flujos Planta Final'!DO78</f>
        <v>0</v>
      </c>
      <c r="Q17">
        <f>'Flujos Planta Final'!DP78</f>
        <v>0</v>
      </c>
      <c r="R17">
        <f>'Flujos Planta Final'!DQ78</f>
        <v>5789.47109499</v>
      </c>
      <c r="S17">
        <f>'Flujos Planta Final'!DR78</f>
        <v>0</v>
      </c>
      <c r="T17">
        <f>'Flujos Planta Final'!DS78</f>
        <v>0</v>
      </c>
      <c r="U17">
        <f>'Flujos Planta Final'!DT78</f>
        <v>0</v>
      </c>
      <c r="V17">
        <f>'Flujos Planta Final'!DU78</f>
        <v>0</v>
      </c>
      <c r="W17">
        <f>'Flujos Planta Final'!DV78</f>
        <v>0</v>
      </c>
      <c r="X17">
        <f>'Flujos Planta Final'!DW78</f>
        <v>0</v>
      </c>
      <c r="Y17">
        <f>'Flujos Planta Final'!DX78</f>
        <v>0.57900501000040094</v>
      </c>
      <c r="Z17">
        <f>'Flujos Planta Final'!DY78</f>
        <v>0</v>
      </c>
      <c r="AA17">
        <f>'Flujos Planta Final'!DZ78</f>
        <v>0</v>
      </c>
      <c r="AB17">
        <f>'Flujos Planta Final'!EA78</f>
        <v>0</v>
      </c>
    </row>
    <row r="18" spans="1:28" x14ac:dyDescent="0.25">
      <c r="A18">
        <v>17</v>
      </c>
      <c r="B18">
        <f>'Flujos Planta Final'!DA79</f>
        <v>0</v>
      </c>
      <c r="C18">
        <f>'Flujos Planta Final'!DB79</f>
        <v>0</v>
      </c>
      <c r="D18">
        <f>'Flujos Planta Final'!DC79</f>
        <v>0</v>
      </c>
      <c r="E18">
        <f>'Flujos Planta Final'!DD79</f>
        <v>0</v>
      </c>
      <c r="F18">
        <f>'Flujos Planta Final'!DE79</f>
        <v>0</v>
      </c>
      <c r="G18">
        <f>'Flujos Planta Final'!DF79</f>
        <v>0</v>
      </c>
      <c r="H18">
        <f>'Flujos Planta Final'!DG79</f>
        <v>0</v>
      </c>
      <c r="I18">
        <f>'Flujos Planta Final'!DH79</f>
        <v>0</v>
      </c>
      <c r="J18">
        <f>'Flujos Planta Final'!DI79</f>
        <v>0</v>
      </c>
      <c r="K18">
        <f>'Flujos Planta Final'!DJ79</f>
        <v>0</v>
      </c>
      <c r="L18">
        <f>'Flujos Planta Final'!DK79</f>
        <v>0</v>
      </c>
      <c r="M18">
        <f>'Flujos Planta Final'!DL79</f>
        <v>0</v>
      </c>
      <c r="N18">
        <f>'Flujos Planta Final'!DM79</f>
        <v>0</v>
      </c>
      <c r="O18">
        <f>'Flujos Planta Final'!DN79</f>
        <v>0</v>
      </c>
      <c r="P18">
        <f>'Flujos Planta Final'!DO79</f>
        <v>0</v>
      </c>
      <c r="Q18">
        <f>'Flujos Planta Final'!DP79</f>
        <v>0</v>
      </c>
      <c r="R18">
        <f>'Flujos Planta Final'!DQ79</f>
        <v>0</v>
      </c>
      <c r="S18">
        <f>'Flujos Planta Final'!DR79</f>
        <v>5875.6162149900001</v>
      </c>
      <c r="T18">
        <f>'Flujos Planta Final'!DS79</f>
        <v>0</v>
      </c>
      <c r="U18">
        <f>'Flujos Planta Final'!DT79</f>
        <v>0</v>
      </c>
      <c r="V18">
        <f>'Flujos Planta Final'!DU79</f>
        <v>0</v>
      </c>
      <c r="W18">
        <f>'Flujos Planta Final'!DV79</f>
        <v>0</v>
      </c>
      <c r="X18">
        <f>'Flujos Planta Final'!DW79</f>
        <v>0</v>
      </c>
      <c r="Y18">
        <f>'Flujos Planta Final'!DX79</f>
        <v>0</v>
      </c>
      <c r="Z18">
        <f>'Flujos Planta Final'!DY79</f>
        <v>0</v>
      </c>
      <c r="AA18">
        <f>'Flujos Planta Final'!DZ79</f>
        <v>0</v>
      </c>
      <c r="AB18">
        <f>'Flujos Planta Final'!EA79</f>
        <v>0</v>
      </c>
    </row>
    <row r="19" spans="1:28" x14ac:dyDescent="0.25">
      <c r="A19">
        <v>18</v>
      </c>
      <c r="B19">
        <f>'Flujos Planta Final'!DA80</f>
        <v>0</v>
      </c>
      <c r="C19">
        <f>'Flujos Planta Final'!DB80</f>
        <v>0</v>
      </c>
      <c r="D19">
        <f>'Flujos Planta Final'!DC80</f>
        <v>0</v>
      </c>
      <c r="E19">
        <f>'Flujos Planta Final'!DD80</f>
        <v>0</v>
      </c>
      <c r="F19">
        <f>'Flujos Planta Final'!DE80</f>
        <v>0</v>
      </c>
      <c r="G19">
        <f>'Flujos Planta Final'!DF80</f>
        <v>0</v>
      </c>
      <c r="H19">
        <f>'Flujos Planta Final'!DG80</f>
        <v>0</v>
      </c>
      <c r="I19">
        <f>'Flujos Planta Final'!DH80</f>
        <v>0</v>
      </c>
      <c r="J19">
        <f>'Flujos Planta Final'!DI80</f>
        <v>0</v>
      </c>
      <c r="K19">
        <f>'Flujos Planta Final'!DJ80</f>
        <v>0</v>
      </c>
      <c r="L19">
        <f>'Flujos Planta Final'!DK80</f>
        <v>0</v>
      </c>
      <c r="M19">
        <f>'Flujos Planta Final'!DL80</f>
        <v>0</v>
      </c>
      <c r="N19">
        <f>'Flujos Planta Final'!DM80</f>
        <v>0</v>
      </c>
      <c r="O19">
        <f>'Flujos Planta Final'!DN80</f>
        <v>0</v>
      </c>
      <c r="P19">
        <f>'Flujos Planta Final'!DO80</f>
        <v>0</v>
      </c>
      <c r="Q19">
        <f>'Flujos Planta Final'!DP80</f>
        <v>0</v>
      </c>
      <c r="R19">
        <f>'Flujos Planta Final'!DQ80</f>
        <v>0</v>
      </c>
      <c r="S19">
        <f>'Flujos Planta Final'!DR80</f>
        <v>0</v>
      </c>
      <c r="T19">
        <f>'Flujos Planta Final'!DS80</f>
        <v>0</v>
      </c>
      <c r="U19">
        <f>'Flujos Planta Final'!DT80</f>
        <v>0</v>
      </c>
      <c r="V19">
        <f>'Flujos Planta Final'!DU80</f>
        <v>0</v>
      </c>
      <c r="W19">
        <f>'Flujos Planta Final'!DV80</f>
        <v>0</v>
      </c>
      <c r="X19">
        <f>'Flujos Planta Final'!DW80</f>
        <v>0</v>
      </c>
      <c r="Y19">
        <f>'Flujos Planta Final'!DX80</f>
        <v>0</v>
      </c>
      <c r="Z19">
        <f>'Flujos Planta Final'!DY80</f>
        <v>6100.6342149900001</v>
      </c>
      <c r="AA19">
        <f>'Flujos Planta Final'!DZ80</f>
        <v>0</v>
      </c>
      <c r="AB19">
        <f>'Flujos Planta Final'!EA80</f>
        <v>0</v>
      </c>
    </row>
    <row r="20" spans="1:28" x14ac:dyDescent="0.25">
      <c r="A20">
        <v>19</v>
      </c>
      <c r="B20">
        <f>'Flujos Planta Final'!DA81</f>
        <v>0</v>
      </c>
      <c r="C20">
        <f>'Flujos Planta Final'!DB81</f>
        <v>0</v>
      </c>
      <c r="D20">
        <f>'Flujos Planta Final'!DC81</f>
        <v>0</v>
      </c>
      <c r="E20">
        <f>'Flujos Planta Final'!DD81</f>
        <v>0</v>
      </c>
      <c r="F20">
        <f>'Flujos Planta Final'!DE81</f>
        <v>0</v>
      </c>
      <c r="G20">
        <f>'Flujos Planta Final'!DF81</f>
        <v>0</v>
      </c>
      <c r="H20">
        <f>'Flujos Planta Final'!DG81</f>
        <v>0</v>
      </c>
      <c r="I20">
        <f>'Flujos Planta Final'!DH81</f>
        <v>0</v>
      </c>
      <c r="J20">
        <f>'Flujos Planta Final'!DI81</f>
        <v>0</v>
      </c>
      <c r="K20">
        <f>'Flujos Planta Final'!DJ81</f>
        <v>0</v>
      </c>
      <c r="L20">
        <f>'Flujos Planta Final'!DK81</f>
        <v>0</v>
      </c>
      <c r="M20">
        <f>'Flujos Planta Final'!DL81</f>
        <v>0</v>
      </c>
      <c r="N20">
        <f>'Flujos Planta Final'!DM81</f>
        <v>0</v>
      </c>
      <c r="O20">
        <f>'Flujos Planta Final'!DN81</f>
        <v>0</v>
      </c>
      <c r="P20">
        <f>'Flujos Planta Final'!DO81</f>
        <v>0</v>
      </c>
      <c r="Q20">
        <f>'Flujos Planta Final'!DP81</f>
        <v>0</v>
      </c>
      <c r="R20">
        <f>'Flujos Planta Final'!DQ81</f>
        <v>0</v>
      </c>
      <c r="S20">
        <f>'Flujos Planta Final'!DR81</f>
        <v>0</v>
      </c>
      <c r="T20">
        <f>'Flujos Planta Final'!DS81</f>
        <v>0</v>
      </c>
      <c r="U20">
        <f>'Flujos Planta Final'!DT81</f>
        <v>0</v>
      </c>
      <c r="V20">
        <f>'Flujos Planta Final'!DU81</f>
        <v>0</v>
      </c>
      <c r="W20">
        <f>'Flujos Planta Final'!DV81</f>
        <v>0</v>
      </c>
      <c r="X20">
        <f>'Flujos Planta Final'!DW81</f>
        <v>0</v>
      </c>
      <c r="Y20">
        <f>'Flujos Planta Final'!DX81</f>
        <v>0</v>
      </c>
      <c r="Z20">
        <f>'Flujos Planta Final'!DY81</f>
        <v>15377.29811542937</v>
      </c>
      <c r="AA20">
        <f>'Flujos Planta Final'!DZ81</f>
        <v>0</v>
      </c>
      <c r="AB20">
        <f>'Flujos Planta Final'!EA81</f>
        <v>0</v>
      </c>
    </row>
    <row r="21" spans="1:28" x14ac:dyDescent="0.25">
      <c r="A21">
        <v>20</v>
      </c>
      <c r="B21">
        <f>'Flujos Planta Final'!DA82</f>
        <v>253.34399999999999</v>
      </c>
      <c r="C21">
        <f>'Flujos Planta Final'!DB82</f>
        <v>0</v>
      </c>
      <c r="D21">
        <f>'Flujos Planta Final'!DC82</f>
        <v>0</v>
      </c>
      <c r="E21">
        <f>'Flujos Planta Final'!DD82</f>
        <v>0</v>
      </c>
      <c r="F21">
        <f>'Flujos Planta Final'!DE82</f>
        <v>0</v>
      </c>
      <c r="G21">
        <f>'Flujos Planta Final'!DF82</f>
        <v>0</v>
      </c>
      <c r="H21">
        <f>'Flujos Planta Final'!DG82</f>
        <v>324.15161386632229</v>
      </c>
      <c r="I21">
        <f>'Flujos Planta Final'!DH82</f>
        <v>0</v>
      </c>
      <c r="J21">
        <f>'Flujos Planta Final'!DI82</f>
        <v>4404.0067739414171</v>
      </c>
      <c r="K21">
        <f>'Flujos Planta Final'!DJ82</f>
        <v>0</v>
      </c>
      <c r="L21">
        <f>'Flujos Planta Final'!DK82</f>
        <v>0</v>
      </c>
      <c r="M21">
        <f>'Flujos Planta Final'!DL82</f>
        <v>0</v>
      </c>
      <c r="N21">
        <f>'Flujos Planta Final'!DM82</f>
        <v>0</v>
      </c>
      <c r="O21">
        <f>'Flujos Planta Final'!DN82</f>
        <v>0</v>
      </c>
      <c r="P21">
        <f>'Flujos Planta Final'!DO82</f>
        <v>0</v>
      </c>
      <c r="Q21">
        <f>'Flujos Planta Final'!DP82</f>
        <v>0</v>
      </c>
      <c r="R21">
        <f>'Flujos Planta Final'!DQ82</f>
        <v>0</v>
      </c>
      <c r="S21">
        <f>'Flujos Planta Final'!DR82</f>
        <v>0</v>
      </c>
      <c r="T21">
        <f>'Flujos Planta Final'!DS82</f>
        <v>0</v>
      </c>
      <c r="U21">
        <f>'Flujos Planta Final'!DT82</f>
        <v>0</v>
      </c>
      <c r="V21">
        <f>'Flujos Planta Final'!DU82</f>
        <v>0</v>
      </c>
      <c r="W21">
        <f>'Flujos Planta Final'!DV82</f>
        <v>0</v>
      </c>
      <c r="X21">
        <f>'Flujos Planta Final'!DW82</f>
        <v>0</v>
      </c>
      <c r="Y21">
        <f>'Flujos Planta Final'!DX82</f>
        <v>0</v>
      </c>
      <c r="Z21">
        <f>'Flujos Planta Final'!DY82</f>
        <v>0</v>
      </c>
      <c r="AA21">
        <f>'Flujos Planta Final'!DZ82</f>
        <v>0</v>
      </c>
      <c r="AB21">
        <f>'Flujos Planta Final'!EA82</f>
        <v>0</v>
      </c>
    </row>
    <row r="22" spans="1:28" x14ac:dyDescent="0.25">
      <c r="A22">
        <v>21</v>
      </c>
      <c r="B22">
        <f>'Flujos Planta Final'!DA83</f>
        <v>0</v>
      </c>
      <c r="C22">
        <f>'Flujos Planta Final'!DB83</f>
        <v>0</v>
      </c>
      <c r="D22">
        <f>'Flujos Planta Final'!DC83</f>
        <v>0</v>
      </c>
      <c r="E22">
        <f>'Flujos Planta Final'!DD83</f>
        <v>0</v>
      </c>
      <c r="F22">
        <f>'Flujos Planta Final'!DE83</f>
        <v>0</v>
      </c>
      <c r="G22">
        <f>'Flujos Planta Final'!DF83</f>
        <v>0</v>
      </c>
      <c r="H22">
        <f>'Flujos Planta Final'!DG83</f>
        <v>0</v>
      </c>
      <c r="I22">
        <f>'Flujos Planta Final'!DH83</f>
        <v>0</v>
      </c>
      <c r="J22">
        <f>'Flujos Planta Final'!DI83</f>
        <v>0</v>
      </c>
      <c r="K22">
        <f>'Flujos Planta Final'!DJ83</f>
        <v>0</v>
      </c>
      <c r="L22">
        <f>'Flujos Planta Final'!DK83</f>
        <v>0</v>
      </c>
      <c r="M22">
        <f>'Flujos Planta Final'!DL83</f>
        <v>0</v>
      </c>
      <c r="N22">
        <f>'Flujos Planta Final'!DM83</f>
        <v>0</v>
      </c>
      <c r="O22">
        <f>'Flujos Planta Final'!DN83</f>
        <v>0</v>
      </c>
      <c r="P22">
        <f>'Flujos Planta Final'!DO83</f>
        <v>0</v>
      </c>
      <c r="Q22">
        <f>'Flujos Planta Final'!DP83</f>
        <v>0</v>
      </c>
      <c r="R22">
        <f>'Flujos Planta Final'!DQ83</f>
        <v>0</v>
      </c>
      <c r="S22">
        <f>'Flujos Planta Final'!DR83</f>
        <v>0</v>
      </c>
      <c r="T22">
        <f>'Flujos Planta Final'!DS83</f>
        <v>0</v>
      </c>
      <c r="U22">
        <f>'Flujos Planta Final'!DT83</f>
        <v>4981.50238780774</v>
      </c>
      <c r="V22">
        <f>'Flujos Planta Final'!DU83</f>
        <v>0</v>
      </c>
      <c r="W22">
        <f>'Flujos Planta Final'!DV83</f>
        <v>0</v>
      </c>
      <c r="X22">
        <f>'Flujos Planta Final'!DW83</f>
        <v>0</v>
      </c>
      <c r="Y22">
        <f>'Flujos Planta Final'!DX83</f>
        <v>0</v>
      </c>
      <c r="Z22">
        <f>'Flujos Planta Final'!DY83</f>
        <v>0</v>
      </c>
      <c r="AA22">
        <f>'Flujos Planta Final'!DZ83</f>
        <v>0</v>
      </c>
      <c r="AB22">
        <f>'Flujos Planta Final'!EA83</f>
        <v>0</v>
      </c>
    </row>
    <row r="23" spans="1:28" x14ac:dyDescent="0.25">
      <c r="A23">
        <v>22</v>
      </c>
      <c r="B23">
        <f>'Flujos Planta Final'!DA84</f>
        <v>0</v>
      </c>
      <c r="C23">
        <f>'Flujos Planta Final'!DB84</f>
        <v>0</v>
      </c>
      <c r="D23">
        <f>'Flujos Planta Final'!DC84</f>
        <v>0</v>
      </c>
      <c r="E23">
        <f>'Flujos Planta Final'!DD84</f>
        <v>0</v>
      </c>
      <c r="F23">
        <f>'Flujos Planta Final'!DE84</f>
        <v>12.639910839999999</v>
      </c>
      <c r="G23">
        <f>'Flujos Planta Final'!DF84</f>
        <v>0</v>
      </c>
      <c r="H23">
        <f>'Flujos Planta Final'!DG84</f>
        <v>0</v>
      </c>
      <c r="I23">
        <f>'Flujos Planta Final'!DH84</f>
        <v>0</v>
      </c>
      <c r="J23">
        <f>'Flujos Planta Final'!DI84</f>
        <v>0</v>
      </c>
      <c r="K23">
        <f>'Flujos Planta Final'!DJ84</f>
        <v>0</v>
      </c>
      <c r="L23">
        <f>'Flujos Planta Final'!DK84</f>
        <v>0</v>
      </c>
      <c r="M23">
        <f>'Flujos Planta Final'!DL84</f>
        <v>0</v>
      </c>
      <c r="N23">
        <f>'Flujos Planta Final'!DM84</f>
        <v>0</v>
      </c>
      <c r="O23">
        <f>'Flujos Planta Final'!DN84</f>
        <v>0</v>
      </c>
      <c r="P23">
        <f>'Flujos Planta Final'!DO84</f>
        <v>0</v>
      </c>
      <c r="Q23">
        <f>'Flujos Planta Final'!DP84</f>
        <v>0</v>
      </c>
      <c r="R23">
        <f>'Flujos Planta Final'!DQ84</f>
        <v>0</v>
      </c>
      <c r="S23">
        <f>'Flujos Planta Final'!DR84</f>
        <v>0</v>
      </c>
      <c r="T23">
        <f>'Flujos Planta Final'!DS84</f>
        <v>0</v>
      </c>
      <c r="U23">
        <f>'Flujos Planta Final'!DT84</f>
        <v>0</v>
      </c>
      <c r="V23">
        <f>'Flujos Planta Final'!DU84</f>
        <v>0</v>
      </c>
      <c r="W23">
        <f>'Flujos Planta Final'!DV84</f>
        <v>0</v>
      </c>
      <c r="X23">
        <f>'Flujos Planta Final'!DW84</f>
        <v>0</v>
      </c>
      <c r="Y23">
        <f>'Flujos Planta Final'!DX84</f>
        <v>0</v>
      </c>
      <c r="Z23">
        <f>'Flujos Planta Final'!DY84</f>
        <v>0</v>
      </c>
      <c r="AA23">
        <f>'Flujos Planta Final'!DZ84</f>
        <v>0</v>
      </c>
      <c r="AB23">
        <f>'Flujos Planta Final'!EA84</f>
        <v>0</v>
      </c>
    </row>
    <row r="24" spans="1:28" x14ac:dyDescent="0.25">
      <c r="A24">
        <v>23</v>
      </c>
      <c r="B24">
        <f>'Flujos Planta Final'!DA85</f>
        <v>0</v>
      </c>
      <c r="C24">
        <f>'Flujos Planta Final'!DB85</f>
        <v>0</v>
      </c>
      <c r="D24">
        <f>'Flujos Planta Final'!DC85</f>
        <v>0</v>
      </c>
      <c r="E24">
        <f>'Flujos Planta Final'!DD85</f>
        <v>0</v>
      </c>
      <c r="F24">
        <f>'Flujos Planta Final'!DE85</f>
        <v>6.3503549999999995</v>
      </c>
      <c r="G24">
        <f>'Flujos Planta Final'!DF85</f>
        <v>0</v>
      </c>
      <c r="H24">
        <f>'Flujos Planta Final'!DG85</f>
        <v>0</v>
      </c>
      <c r="I24">
        <f>'Flujos Planta Final'!DH85</f>
        <v>0</v>
      </c>
      <c r="J24">
        <f>'Flujos Planta Final'!DI85</f>
        <v>0</v>
      </c>
      <c r="K24">
        <f>'Flujos Planta Final'!DJ85</f>
        <v>0</v>
      </c>
      <c r="L24">
        <f>'Flujos Planta Final'!DK85</f>
        <v>0</v>
      </c>
      <c r="M24">
        <f>'Flujos Planta Final'!DL85</f>
        <v>0</v>
      </c>
      <c r="N24">
        <f>'Flujos Planta Final'!DM85</f>
        <v>0</v>
      </c>
      <c r="O24">
        <f>'Flujos Planta Final'!DN85</f>
        <v>0</v>
      </c>
      <c r="P24">
        <f>'Flujos Planta Final'!DO85</f>
        <v>0</v>
      </c>
      <c r="Q24">
        <f>'Flujos Planta Final'!DP85</f>
        <v>0</v>
      </c>
      <c r="R24">
        <f>'Flujos Planta Final'!DQ85</f>
        <v>0</v>
      </c>
      <c r="S24">
        <f>'Flujos Planta Final'!DR85</f>
        <v>0</v>
      </c>
      <c r="T24">
        <f>'Flujos Planta Final'!DS85</f>
        <v>23.248000000000001</v>
      </c>
      <c r="U24">
        <f>'Flujos Planta Final'!DT85</f>
        <v>0</v>
      </c>
      <c r="V24">
        <f>'Flujos Planta Final'!DU85</f>
        <v>0</v>
      </c>
      <c r="W24">
        <f>'Flujos Planta Final'!DV85</f>
        <v>0</v>
      </c>
      <c r="X24">
        <f>'Flujos Planta Final'!DW85</f>
        <v>0</v>
      </c>
      <c r="Y24">
        <f>'Flujos Planta Final'!DX85</f>
        <v>0</v>
      </c>
      <c r="Z24">
        <f>'Flujos Planta Final'!DY85</f>
        <v>0</v>
      </c>
      <c r="AA24">
        <f>'Flujos Planta Final'!DZ85</f>
        <v>0</v>
      </c>
      <c r="AB24">
        <f>'Flujos Planta Final'!EA85</f>
        <v>0</v>
      </c>
    </row>
    <row r="25" spans="1:28" x14ac:dyDescent="0.25">
      <c r="A25">
        <v>24</v>
      </c>
      <c r="B25">
        <f>'Flujos Planta Final'!DA86</f>
        <v>0</v>
      </c>
      <c r="C25">
        <f>'Flujos Planta Final'!DB86</f>
        <v>0</v>
      </c>
      <c r="D25">
        <f>'Flujos Planta Final'!DC86</f>
        <v>0</v>
      </c>
      <c r="E25">
        <f>'Flujos Planta Final'!DD86</f>
        <v>0</v>
      </c>
      <c r="F25">
        <f>'Flujos Planta Final'!DE86</f>
        <v>0</v>
      </c>
      <c r="G25">
        <f>'Flujos Planta Final'!DF86</f>
        <v>0</v>
      </c>
      <c r="H25">
        <f>'Flujos Planta Final'!DG86</f>
        <v>0</v>
      </c>
      <c r="I25">
        <f>'Flujos Planta Final'!DH86</f>
        <v>0</v>
      </c>
      <c r="J25">
        <f>'Flujos Planta Final'!DI86</f>
        <v>0</v>
      </c>
      <c r="K25">
        <f>'Flujos Planta Final'!DJ86</f>
        <v>0</v>
      </c>
      <c r="L25">
        <f>'Flujos Planta Final'!DK86</f>
        <v>0</v>
      </c>
      <c r="M25">
        <f>'Flujos Planta Final'!DL86</f>
        <v>0</v>
      </c>
      <c r="N25">
        <f>'Flujos Planta Final'!DM86</f>
        <v>0</v>
      </c>
      <c r="O25">
        <f>'Flujos Planta Final'!DN86</f>
        <v>0</v>
      </c>
      <c r="P25">
        <f>'Flujos Planta Final'!DO86</f>
        <v>0</v>
      </c>
      <c r="Q25">
        <f>'Flujos Planta Final'!DP86</f>
        <v>0</v>
      </c>
      <c r="R25">
        <f>'Flujos Planta Final'!DQ86</f>
        <v>0</v>
      </c>
      <c r="S25">
        <f>'Flujos Planta Final'!DR86</f>
        <v>0</v>
      </c>
      <c r="T25">
        <f>'Flujos Planta Final'!DS86</f>
        <v>0</v>
      </c>
      <c r="U25">
        <f>'Flujos Planta Final'!DT86</f>
        <v>0</v>
      </c>
      <c r="V25">
        <f>'Flujos Planta Final'!DU86</f>
        <v>0</v>
      </c>
      <c r="W25">
        <f>'Flujos Planta Final'!DV86</f>
        <v>0</v>
      </c>
      <c r="X25">
        <f>'Flujos Planta Final'!DW86</f>
        <v>0</v>
      </c>
      <c r="Y25">
        <f>'Flujos Planta Final'!DX86</f>
        <v>0</v>
      </c>
      <c r="Z25">
        <f>'Flujos Planta Final'!DY86</f>
        <v>0</v>
      </c>
      <c r="AA25">
        <f>'Flujos Planta Final'!DZ86</f>
        <v>0</v>
      </c>
      <c r="AB25">
        <f>'Flujos Planta Final'!EA86</f>
        <v>0</v>
      </c>
    </row>
    <row r="26" spans="1:28" x14ac:dyDescent="0.25">
      <c r="A26">
        <v>25</v>
      </c>
      <c r="B26">
        <f>'Flujos Planta Final'!DA87</f>
        <v>0</v>
      </c>
      <c r="C26">
        <f>'Flujos Planta Final'!DB87</f>
        <v>0</v>
      </c>
      <c r="D26">
        <f>'Flujos Planta Final'!DC87</f>
        <v>0</v>
      </c>
      <c r="E26">
        <f>'Flujos Planta Final'!DD87</f>
        <v>0</v>
      </c>
      <c r="F26">
        <f>'Flujos Planta Final'!DE87</f>
        <v>0</v>
      </c>
      <c r="G26">
        <f>'Flujos Planta Final'!DF87</f>
        <v>0</v>
      </c>
      <c r="H26">
        <f>'Flujos Planta Final'!DG87</f>
        <v>0</v>
      </c>
      <c r="I26">
        <f>'Flujos Planta Final'!DH87</f>
        <v>0</v>
      </c>
      <c r="J26">
        <f>'Flujos Planta Final'!DI87</f>
        <v>0</v>
      </c>
      <c r="K26">
        <f>'Flujos Planta Final'!DJ87</f>
        <v>0</v>
      </c>
      <c r="L26">
        <f>'Flujos Planta Final'!DK87</f>
        <v>0</v>
      </c>
      <c r="M26">
        <f>'Flujos Planta Final'!DL87</f>
        <v>0</v>
      </c>
      <c r="N26">
        <f>'Flujos Planta Final'!DM87</f>
        <v>0</v>
      </c>
      <c r="O26">
        <f>'Flujos Planta Final'!DN87</f>
        <v>0</v>
      </c>
      <c r="P26">
        <f>'Flujos Planta Final'!DO87</f>
        <v>0</v>
      </c>
      <c r="Q26">
        <f>'Flujos Planta Final'!DP87</f>
        <v>0</v>
      </c>
      <c r="R26">
        <f>'Flujos Planta Final'!DQ87</f>
        <v>0</v>
      </c>
      <c r="S26">
        <f>'Flujos Planta Final'!DR87</f>
        <v>0</v>
      </c>
      <c r="T26">
        <f>'Flujos Planta Final'!DS87</f>
        <v>0</v>
      </c>
      <c r="U26">
        <f>'Flujos Planta Final'!DT87</f>
        <v>0</v>
      </c>
      <c r="V26">
        <f>'Flujos Planta Final'!DU87</f>
        <v>0</v>
      </c>
      <c r="W26">
        <f>'Flujos Planta Final'!DV87</f>
        <v>0</v>
      </c>
      <c r="X26">
        <f>'Flujos Planta Final'!DW87</f>
        <v>0</v>
      </c>
      <c r="Y26">
        <f>'Flujos Planta Final'!DX87</f>
        <v>0</v>
      </c>
      <c r="Z26">
        <f>'Flujos Planta Final'!DY87</f>
        <v>0</v>
      </c>
      <c r="AA26">
        <f>'Flujos Planta Final'!DZ87</f>
        <v>0</v>
      </c>
      <c r="AB26">
        <f>'Flujos Planta Final'!EA87</f>
        <v>0</v>
      </c>
    </row>
    <row r="27" spans="1:28" x14ac:dyDescent="0.25">
      <c r="A27">
        <v>26</v>
      </c>
      <c r="B27">
        <f>'Flujos Planta Final'!DA88</f>
        <v>0</v>
      </c>
      <c r="C27">
        <f>'Flujos Planta Final'!DB88</f>
        <v>7.3774044648000012E-2</v>
      </c>
      <c r="D27">
        <f>'Flujos Planta Final'!DC88</f>
        <v>25.161857218530983</v>
      </c>
      <c r="E27">
        <f>'Flujos Planta Final'!DD88</f>
        <v>712.15070850000006</v>
      </c>
      <c r="F27">
        <f>'Flujos Planta Final'!DE88</f>
        <v>80.249645000000015</v>
      </c>
      <c r="G27">
        <f>'Flujos Planta Final'!DF88</f>
        <v>4638.5555276987398</v>
      </c>
      <c r="H27">
        <f>'Flujos Planta Final'!DG88</f>
        <v>0</v>
      </c>
      <c r="I27">
        <f>'Flujos Planta Final'!DH88</f>
        <v>0</v>
      </c>
      <c r="J27">
        <f>'Flujos Planta Final'!DI88</f>
        <v>0</v>
      </c>
      <c r="K27">
        <f>'Flujos Planta Final'!DJ88</f>
        <v>997.80205329050386</v>
      </c>
      <c r="L27">
        <f>'Flujos Planta Final'!DK88</f>
        <v>0</v>
      </c>
      <c r="M27">
        <f>'Flujos Planta Final'!DL88</f>
        <v>0</v>
      </c>
      <c r="N27">
        <f>'Flujos Planta Final'!DM88</f>
        <v>8075.7006915000002</v>
      </c>
      <c r="O27">
        <f>'Flujos Planta Final'!DN88</f>
        <v>0</v>
      </c>
      <c r="P27">
        <f>'Flujos Planta Final'!DO88</f>
        <v>0</v>
      </c>
      <c r="Q27">
        <f>'Flujos Planta Final'!DP88</f>
        <v>0</v>
      </c>
      <c r="R27">
        <f>'Flujos Planta Final'!DQ88</f>
        <v>0</v>
      </c>
      <c r="S27">
        <f>'Flujos Planta Final'!DR88</f>
        <v>0</v>
      </c>
      <c r="T27">
        <f>'Flujos Planta Final'!DS88</f>
        <v>12527.403717613415</v>
      </c>
      <c r="U27">
        <f>'Flujos Planta Final'!DT88</f>
        <v>0</v>
      </c>
      <c r="V27">
        <f>'Flujos Planta Final'!DU88</f>
        <v>0</v>
      </c>
      <c r="W27">
        <f>'Flujos Planta Final'!DV88</f>
        <v>3.3845358400000003</v>
      </c>
      <c r="X27">
        <f>'Flujos Planta Final'!DW88</f>
        <v>0</v>
      </c>
      <c r="Y27">
        <f>'Flujos Planta Final'!DX88</f>
        <v>0</v>
      </c>
      <c r="Z27">
        <f>'Flujos Planta Final'!DY88</f>
        <v>0</v>
      </c>
      <c r="AA27">
        <f>'Flujos Planta Final'!DZ88</f>
        <v>0</v>
      </c>
      <c r="AB27">
        <f>'Flujos Planta Final'!EA88</f>
        <v>0</v>
      </c>
    </row>
    <row r="28" spans="1:28" x14ac:dyDescent="0.25">
      <c r="A28">
        <v>27</v>
      </c>
      <c r="B28">
        <f>'Flujos Planta Final'!DA89</f>
        <v>0</v>
      </c>
      <c r="C28">
        <f>'Flujos Planta Final'!DB89</f>
        <v>0</v>
      </c>
      <c r="D28">
        <f>'Flujos Planta Final'!DC89</f>
        <v>0</v>
      </c>
      <c r="E28">
        <f>'Flujos Planta Final'!DD89</f>
        <v>13.200000000000001</v>
      </c>
      <c r="F28">
        <f>'Flujos Planta Final'!DE89</f>
        <v>0</v>
      </c>
      <c r="G28">
        <f>'Flujos Planta Final'!DF89</f>
        <v>0</v>
      </c>
      <c r="H28">
        <f>'Flujos Planta Final'!DG89</f>
        <v>0</v>
      </c>
      <c r="I28">
        <f>'Flujos Planta Final'!DH89</f>
        <v>0</v>
      </c>
      <c r="J28">
        <f>'Flujos Planta Final'!DI89</f>
        <v>0</v>
      </c>
      <c r="K28">
        <f>'Flujos Planta Final'!DJ89</f>
        <v>0</v>
      </c>
      <c r="L28">
        <f>'Flujos Planta Final'!DK89</f>
        <v>0</v>
      </c>
      <c r="M28">
        <f>'Flujos Planta Final'!DL89</f>
        <v>0</v>
      </c>
      <c r="N28">
        <f>'Flujos Planta Final'!DM89</f>
        <v>0</v>
      </c>
      <c r="O28">
        <f>'Flujos Planta Final'!DN89</f>
        <v>0</v>
      </c>
      <c r="P28">
        <f>'Flujos Planta Final'!DO89</f>
        <v>0</v>
      </c>
      <c r="Q28">
        <f>'Flujos Planta Final'!DP89</f>
        <v>0</v>
      </c>
      <c r="R28">
        <f>'Flujos Planta Final'!DQ89</f>
        <v>0</v>
      </c>
      <c r="S28">
        <f>'Flujos Planta Final'!DR89</f>
        <v>0</v>
      </c>
      <c r="T28">
        <f>'Flujos Planta Final'!DS89</f>
        <v>0</v>
      </c>
      <c r="U28">
        <f>'Flujos Planta Final'!DT89</f>
        <v>0</v>
      </c>
      <c r="V28">
        <f>'Flujos Planta Final'!DU89</f>
        <v>0</v>
      </c>
      <c r="W28">
        <f>'Flujos Planta Final'!DV89</f>
        <v>0</v>
      </c>
      <c r="X28">
        <f>'Flujos Planta Final'!DW89</f>
        <v>29.598355000000002</v>
      </c>
      <c r="Y28">
        <f>'Flujos Planta Final'!DX89</f>
        <v>0</v>
      </c>
      <c r="Z28">
        <f>'Flujos Planta Final'!DY89</f>
        <v>0</v>
      </c>
      <c r="AA28">
        <f>'Flujos Planta Final'!DZ89</f>
        <v>0</v>
      </c>
      <c r="AB28">
        <f>'Flujos Planta Final'!EA89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zoomScale="57" zoomScaleNormal="57" workbookViewId="0">
      <selection activeCell="J17" sqref="J17"/>
    </sheetView>
  </sheetViews>
  <sheetFormatPr baseColWidth="10" defaultRowHeight="15" x14ac:dyDescent="0.25"/>
  <cols>
    <col min="1" max="1" width="22" customWidth="1"/>
  </cols>
  <sheetData>
    <row r="1" spans="1:28" x14ac:dyDescent="0.25">
      <c r="A1" t="str">
        <f>'Flujos Planta Final'!CZ62</f>
        <v>EN KG</v>
      </c>
      <c r="B1" t="str">
        <f>'Flujos Planta Final'!DA62</f>
        <v>Enfundado</v>
      </c>
      <c r="C1" t="str">
        <f>'Flujos Planta Final'!DB62</f>
        <v>Sellado</v>
      </c>
      <c r="D1" t="str">
        <f>'Flujos Planta Final'!DC62</f>
        <v>Confección funda sin cremallera</v>
      </c>
      <c r="E1" t="str">
        <f>'Flujos Planta Final'!DD62</f>
        <v>Corte tapa de tela</v>
      </c>
      <c r="F1" t="str">
        <f>'Flujos Planta Final'!DE62</f>
        <v>Rellenado - Pesado</v>
      </c>
      <c r="G1" t="str">
        <f>'Flujos Planta Final'!DF62</f>
        <v>Pesado MP</v>
      </c>
      <c r="H1" t="str">
        <f>'Flujos Planta Final'!DG62</f>
        <v>Compresor</v>
      </c>
      <c r="I1" t="str">
        <f>'Flujos Planta Final'!DH62</f>
        <v>Corte</v>
      </c>
      <c r="J1" t="str">
        <f>'Flujos Planta Final'!DI62</f>
        <v>Curado-Almacen</v>
      </c>
      <c r="K1" t="str">
        <f>'Flujos Planta Final'!DJ62</f>
        <v>Acolchado</v>
      </c>
      <c r="L1" t="str">
        <f>'Flujos Planta Final'!DK62</f>
        <v>Corte espuma continua</v>
      </c>
      <c r="M1" t="str">
        <f>'Flujos Planta Final'!DL62</f>
        <v>Perforación cilindro</v>
      </c>
      <c r="N1" t="str">
        <f>'Flujos Planta Final'!DM62</f>
        <v>Confección clchón algodón</v>
      </c>
      <c r="O1" t="str">
        <f>'Flujos Planta Final'!DN62</f>
        <v>Almacen madera</v>
      </c>
      <c r="P1" t="str">
        <f>'Flujos Planta Final'!DO62</f>
        <v>Corte madera</v>
      </c>
      <c r="Q1" t="str">
        <f>'Flujos Planta Final'!DP62</f>
        <v>Lijado</v>
      </c>
      <c r="R1" t="str">
        <f>'Flujos Planta Final'!DQ62</f>
        <v>Barnizado</v>
      </c>
      <c r="S1" t="str">
        <f>'Flujos Planta Final'!DR62</f>
        <v>Ensamble base cama</v>
      </c>
      <c r="T1" t="str">
        <f>'Flujos Planta Final'!DS62</f>
        <v>Cerrado-confección-tapizado</v>
      </c>
      <c r="U1" t="str">
        <f>'Flujos Planta Final'!DT62</f>
        <v>Moldeo</v>
      </c>
      <c r="V1" t="str">
        <f>'Flujos Planta Final'!DU62</f>
        <v>Mezclado</v>
      </c>
      <c r="W1" t="str">
        <f>'Flujos Planta Final'!DV62</f>
        <v>Pegar tapas espuma</v>
      </c>
      <c r="X1" t="str">
        <f>'Flujos Planta Final'!DW62</f>
        <v>Triturado-Corte manual</v>
      </c>
      <c r="Y1" t="str">
        <f>'Flujos Planta Final'!DX62</f>
        <v>Desechos</v>
      </c>
      <c r="Z1" t="str">
        <f>'Flujos Planta Final'!DY62</f>
        <v>Almacen PT</v>
      </c>
      <c r="AA1" t="str">
        <f>'Flujos Planta Final'!DZ62</f>
        <v>Almacen insumos/mp</v>
      </c>
      <c r="AB1" t="str">
        <f>'Flujos Planta Final'!EA62</f>
        <v>Almacen reproceso</v>
      </c>
    </row>
    <row r="2" spans="1:28" x14ac:dyDescent="0.25">
      <c r="A2" t="str">
        <f>'Flujos Planta Final'!CZ63</f>
        <v>Enfundado</v>
      </c>
      <c r="B2">
        <f>'Flujos Planta Final'!DA63</f>
        <v>0</v>
      </c>
      <c r="C2">
        <f>'Flujos Planta Final'!DB63</f>
        <v>0</v>
      </c>
      <c r="D2">
        <f>'Flujos Planta Final'!DC63</f>
        <v>0</v>
      </c>
      <c r="E2">
        <f>'Flujos Planta Final'!DD63</f>
        <v>0</v>
      </c>
      <c r="F2">
        <f>'Flujos Planta Final'!DE63</f>
        <v>0</v>
      </c>
      <c r="G2">
        <f>'Flujos Planta Final'!DF63</f>
        <v>0</v>
      </c>
      <c r="H2">
        <f>'Flujos Planta Final'!DG63</f>
        <v>0</v>
      </c>
      <c r="I2">
        <f>'Flujos Planta Final'!DH63</f>
        <v>0</v>
      </c>
      <c r="J2">
        <f>'Flujos Planta Final'!DI63</f>
        <v>0</v>
      </c>
      <c r="K2">
        <f>'Flujos Planta Final'!DJ63</f>
        <v>0</v>
      </c>
      <c r="L2">
        <f>'Flujos Planta Final'!DK63</f>
        <v>0</v>
      </c>
      <c r="M2">
        <f>'Flujos Planta Final'!DL63</f>
        <v>0</v>
      </c>
      <c r="N2">
        <f>'Flujos Planta Final'!DM63</f>
        <v>0</v>
      </c>
      <c r="O2">
        <f>'Flujos Planta Final'!DN63</f>
        <v>0</v>
      </c>
      <c r="P2">
        <f>'Flujos Planta Final'!DO63</f>
        <v>0</v>
      </c>
      <c r="Q2">
        <f>'Flujos Planta Final'!DP63</f>
        <v>0</v>
      </c>
      <c r="R2">
        <f>'Flujos Planta Final'!DQ63</f>
        <v>0</v>
      </c>
      <c r="S2">
        <f>'Flujos Planta Final'!DR63</f>
        <v>0</v>
      </c>
      <c r="T2">
        <f>'Flujos Planta Final'!DS63</f>
        <v>0</v>
      </c>
      <c r="U2">
        <f>'Flujos Planta Final'!DT63</f>
        <v>0</v>
      </c>
      <c r="V2">
        <f>'Flujos Planta Final'!DU63</f>
        <v>0</v>
      </c>
      <c r="W2">
        <f>'Flujos Planta Final'!DV63</f>
        <v>0</v>
      </c>
      <c r="X2">
        <f>'Flujos Planta Final'!DW63</f>
        <v>0</v>
      </c>
      <c r="Y2">
        <f>'Flujos Planta Final'!DX63</f>
        <v>0</v>
      </c>
      <c r="Z2">
        <f>'Flujos Planta Final'!DY63</f>
        <v>2766.0058408396603</v>
      </c>
      <c r="AA2">
        <f>'Flujos Planta Final'!DZ63</f>
        <v>0</v>
      </c>
      <c r="AB2">
        <f>'Flujos Planta Final'!EA63</f>
        <v>0</v>
      </c>
    </row>
    <row r="3" spans="1:28" x14ac:dyDescent="0.25">
      <c r="A3" t="str">
        <f>'Flujos Planta Final'!CZ64</f>
        <v>Sellado</v>
      </c>
      <c r="B3">
        <f>'Flujos Planta Final'!DA64</f>
        <v>99.313684884648012</v>
      </c>
      <c r="C3">
        <f>'Flujos Planta Final'!DB64</f>
        <v>0</v>
      </c>
      <c r="D3">
        <f>'Flujos Planta Final'!DC64</f>
        <v>0</v>
      </c>
      <c r="E3">
        <f>'Flujos Planta Final'!DD64</f>
        <v>0</v>
      </c>
      <c r="F3">
        <f>'Flujos Planta Final'!DE64</f>
        <v>0</v>
      </c>
      <c r="G3">
        <f>'Flujos Planta Final'!DF64</f>
        <v>0</v>
      </c>
      <c r="H3">
        <f>'Flujos Planta Final'!DG64</f>
        <v>0</v>
      </c>
      <c r="I3">
        <f>'Flujos Planta Final'!DH64</f>
        <v>0</v>
      </c>
      <c r="J3">
        <f>'Flujos Planta Final'!DI64</f>
        <v>0</v>
      </c>
      <c r="K3">
        <f>'Flujos Planta Final'!DJ64</f>
        <v>0</v>
      </c>
      <c r="L3">
        <f>'Flujos Planta Final'!DK64</f>
        <v>0</v>
      </c>
      <c r="M3">
        <f>'Flujos Planta Final'!DL64</f>
        <v>0</v>
      </c>
      <c r="N3">
        <f>'Flujos Planta Final'!DM64</f>
        <v>0</v>
      </c>
      <c r="O3">
        <f>'Flujos Planta Final'!DN64</f>
        <v>0</v>
      </c>
      <c r="P3">
        <f>'Flujos Planta Final'!DO64</f>
        <v>0</v>
      </c>
      <c r="Q3">
        <f>'Flujos Planta Final'!DP64</f>
        <v>0</v>
      </c>
      <c r="R3">
        <f>'Flujos Planta Final'!DQ64</f>
        <v>0</v>
      </c>
      <c r="S3">
        <f>'Flujos Planta Final'!DR64</f>
        <v>0</v>
      </c>
      <c r="T3">
        <f>'Flujos Planta Final'!DS64</f>
        <v>0</v>
      </c>
      <c r="U3">
        <f>'Flujos Planta Final'!DT64</f>
        <v>0</v>
      </c>
      <c r="V3">
        <f>'Flujos Planta Final'!DU64</f>
        <v>0</v>
      </c>
      <c r="W3">
        <f>'Flujos Planta Final'!DV64</f>
        <v>0</v>
      </c>
      <c r="X3">
        <f>'Flujos Planta Final'!DW64</f>
        <v>0</v>
      </c>
      <c r="Y3">
        <f>'Flujos Planta Final'!DX64</f>
        <v>0</v>
      </c>
      <c r="Z3">
        <f>'Flujos Planta Final'!DY64</f>
        <v>0</v>
      </c>
      <c r="AA3">
        <f>'Flujos Planta Final'!DZ64</f>
        <v>0</v>
      </c>
      <c r="AB3">
        <f>'Flujos Planta Final'!EA64</f>
        <v>0</v>
      </c>
    </row>
    <row r="4" spans="1:28" x14ac:dyDescent="0.25">
      <c r="A4" t="str">
        <f>'Flujos Planta Final'!CZ65</f>
        <v>Confección funda sin cremallera</v>
      </c>
      <c r="B4">
        <f>'Flujos Planta Final'!DA65</f>
        <v>412.64815595501244</v>
      </c>
      <c r="C4">
        <f>'Flujos Planta Final'!DB65</f>
        <v>0</v>
      </c>
      <c r="D4">
        <f>'Flujos Planta Final'!DC65</f>
        <v>0</v>
      </c>
      <c r="E4">
        <f>'Flujos Planta Final'!DD65</f>
        <v>0</v>
      </c>
      <c r="F4">
        <f>'Flujos Planta Final'!DE65</f>
        <v>0</v>
      </c>
      <c r="G4">
        <f>'Flujos Planta Final'!DF65</f>
        <v>0</v>
      </c>
      <c r="H4">
        <f>'Flujos Planta Final'!DG65</f>
        <v>0</v>
      </c>
      <c r="I4">
        <f>'Flujos Planta Final'!DH65</f>
        <v>0</v>
      </c>
      <c r="J4">
        <f>'Flujos Planta Final'!DI65</f>
        <v>0</v>
      </c>
      <c r="K4">
        <f>'Flujos Planta Final'!DJ65</f>
        <v>0</v>
      </c>
      <c r="L4">
        <f>'Flujos Planta Final'!DK65</f>
        <v>0</v>
      </c>
      <c r="M4">
        <f>'Flujos Planta Final'!DL65</f>
        <v>0</v>
      </c>
      <c r="N4">
        <f>'Flujos Planta Final'!DM65</f>
        <v>0</v>
      </c>
      <c r="O4">
        <f>'Flujos Planta Final'!DN65</f>
        <v>0</v>
      </c>
      <c r="P4">
        <f>'Flujos Planta Final'!DO65</f>
        <v>0</v>
      </c>
      <c r="Q4">
        <f>'Flujos Planta Final'!DP65</f>
        <v>0</v>
      </c>
      <c r="R4">
        <f>'Flujos Planta Final'!DQ65</f>
        <v>0</v>
      </c>
      <c r="S4">
        <f>'Flujos Planta Final'!DR65</f>
        <v>0</v>
      </c>
      <c r="T4">
        <f>'Flujos Planta Final'!DS65</f>
        <v>0</v>
      </c>
      <c r="U4">
        <f>'Flujos Planta Final'!DT65</f>
        <v>0</v>
      </c>
      <c r="V4">
        <f>'Flujos Planta Final'!DU65</f>
        <v>0</v>
      </c>
      <c r="W4">
        <f>'Flujos Planta Final'!DV65</f>
        <v>0</v>
      </c>
      <c r="X4">
        <f>'Flujos Planta Final'!DW65</f>
        <v>0</v>
      </c>
      <c r="Y4">
        <f>'Flujos Planta Final'!DX65</f>
        <v>0.84169691615856013</v>
      </c>
      <c r="Z4">
        <f>'Flujos Planta Final'!DY65</f>
        <v>0</v>
      </c>
      <c r="AA4">
        <f>'Flujos Planta Final'!DZ65</f>
        <v>0</v>
      </c>
      <c r="AB4">
        <f>'Flujos Planta Final'!EA65</f>
        <v>0</v>
      </c>
    </row>
    <row r="5" spans="1:28" x14ac:dyDescent="0.25">
      <c r="A5" t="str">
        <f>'Flujos Planta Final'!CZ66</f>
        <v>Corte tapa de tela</v>
      </c>
      <c r="B5">
        <f>'Flujos Planta Final'!DA66</f>
        <v>0</v>
      </c>
      <c r="C5">
        <f>'Flujos Planta Final'!DB66</f>
        <v>0</v>
      </c>
      <c r="D5">
        <f>'Flujos Planta Final'!DC66</f>
        <v>404.67414309728008</v>
      </c>
      <c r="E5">
        <f>'Flujos Planta Final'!DD66</f>
        <v>0</v>
      </c>
      <c r="F5">
        <f>'Flujos Planta Final'!DE66</f>
        <v>0</v>
      </c>
      <c r="G5">
        <f>'Flujos Planta Final'!DF66</f>
        <v>0</v>
      </c>
      <c r="H5">
        <f>'Flujos Planta Final'!DG66</f>
        <v>0</v>
      </c>
      <c r="I5">
        <f>'Flujos Planta Final'!DH66</f>
        <v>0</v>
      </c>
      <c r="J5">
        <f>'Flujos Planta Final'!DI66</f>
        <v>0</v>
      </c>
      <c r="K5">
        <f>'Flujos Planta Final'!DJ66</f>
        <v>0</v>
      </c>
      <c r="L5">
        <f>'Flujos Planta Final'!DK66</f>
        <v>0</v>
      </c>
      <c r="M5">
        <f>'Flujos Planta Final'!DL66</f>
        <v>0</v>
      </c>
      <c r="N5">
        <f>'Flujos Planta Final'!DM66</f>
        <v>634.98830850000002</v>
      </c>
      <c r="O5">
        <f>'Flujos Planta Final'!DN66</f>
        <v>0</v>
      </c>
      <c r="P5">
        <f>'Flujos Planta Final'!DO66</f>
        <v>0</v>
      </c>
      <c r="Q5">
        <f>'Flujos Planta Final'!DP66</f>
        <v>0</v>
      </c>
      <c r="R5">
        <f>'Flujos Planta Final'!DQ66</f>
        <v>0</v>
      </c>
      <c r="S5">
        <f>'Flujos Planta Final'!DR66</f>
        <v>0</v>
      </c>
      <c r="T5">
        <f>'Flujos Planta Final'!DS66</f>
        <v>833.12839781595403</v>
      </c>
      <c r="U5">
        <f>'Flujos Planta Final'!DT66</f>
        <v>0</v>
      </c>
      <c r="V5">
        <f>'Flujos Planta Final'!DU66</f>
        <v>0</v>
      </c>
      <c r="W5">
        <f>'Flujos Planta Final'!DV66</f>
        <v>9.255374999999999</v>
      </c>
      <c r="X5">
        <f>'Flujos Planta Final'!DW66</f>
        <v>0</v>
      </c>
      <c r="Y5">
        <f>'Flujos Planta Final'!DX66</f>
        <v>12.470400000000003</v>
      </c>
      <c r="Z5">
        <f>'Flujos Planta Final'!DY66</f>
        <v>0</v>
      </c>
      <c r="AA5">
        <f>'Flujos Planta Final'!DZ66</f>
        <v>0</v>
      </c>
      <c r="AB5">
        <f>'Flujos Planta Final'!EA66</f>
        <v>78.818982045661741</v>
      </c>
    </row>
    <row r="6" spans="1:28" x14ac:dyDescent="0.25">
      <c r="A6" t="str">
        <f>'Flujos Planta Final'!CZ67</f>
        <v>Rellenado - Pesado</v>
      </c>
      <c r="B6">
        <f>'Flujos Planta Final'!DA67</f>
        <v>0</v>
      </c>
      <c r="C6">
        <f>'Flujos Planta Final'!DB67</f>
        <v>99.239910840000007</v>
      </c>
      <c r="D6">
        <f>'Flujos Planta Final'!DC67</f>
        <v>0</v>
      </c>
      <c r="E6">
        <f>'Flujos Planta Final'!DD67</f>
        <v>0</v>
      </c>
      <c r="F6">
        <f>'Flujos Planta Final'!DE67</f>
        <v>0</v>
      </c>
      <c r="G6">
        <f>'Flujos Planta Final'!DF67</f>
        <v>0</v>
      </c>
      <c r="H6">
        <f>'Flujos Planta Final'!DG67</f>
        <v>0</v>
      </c>
      <c r="I6">
        <f>'Flujos Planta Final'!DH67</f>
        <v>0</v>
      </c>
      <c r="J6">
        <f>'Flujos Planta Final'!DI67</f>
        <v>0</v>
      </c>
      <c r="K6">
        <f>'Flujos Planta Final'!DJ67</f>
        <v>0</v>
      </c>
      <c r="L6">
        <f>'Flujos Planta Final'!DK67</f>
        <v>0</v>
      </c>
      <c r="M6">
        <f>'Flujos Planta Final'!DL67</f>
        <v>0</v>
      </c>
      <c r="N6">
        <f>'Flujos Planta Final'!DM67</f>
        <v>0</v>
      </c>
      <c r="O6">
        <f>'Flujos Planta Final'!DN67</f>
        <v>0</v>
      </c>
      <c r="P6">
        <f>'Flujos Planta Final'!DO67</f>
        <v>0</v>
      </c>
      <c r="Q6">
        <f>'Flujos Planta Final'!DP67</f>
        <v>0</v>
      </c>
      <c r="R6">
        <f>'Flujos Planta Final'!DQ67</f>
        <v>0</v>
      </c>
      <c r="S6">
        <f>'Flujos Planta Final'!DR67</f>
        <v>0</v>
      </c>
      <c r="T6">
        <f>'Flujos Planta Final'!DS67</f>
        <v>0</v>
      </c>
      <c r="U6">
        <f>'Flujos Planta Final'!DT67</f>
        <v>0</v>
      </c>
      <c r="V6">
        <f>'Flujos Planta Final'!DU67</f>
        <v>0</v>
      </c>
      <c r="W6">
        <f>'Flujos Planta Final'!DV67</f>
        <v>0</v>
      </c>
      <c r="X6">
        <f>'Flujos Planta Final'!DW67</f>
        <v>0</v>
      </c>
      <c r="Y6">
        <f>'Flujos Planta Final'!DX67</f>
        <v>0</v>
      </c>
      <c r="Z6">
        <f>'Flujos Planta Final'!DY67</f>
        <v>0</v>
      </c>
      <c r="AA6">
        <f>'Flujos Planta Final'!DZ67</f>
        <v>0</v>
      </c>
      <c r="AB6">
        <f>'Flujos Planta Final'!EA67</f>
        <v>0</v>
      </c>
    </row>
    <row r="7" spans="1:28" x14ac:dyDescent="0.25">
      <c r="A7" t="str">
        <f>'Flujos Planta Final'!CZ68</f>
        <v>Pesado MP</v>
      </c>
      <c r="B7">
        <f>'Flujos Planta Final'!DA68</f>
        <v>0</v>
      </c>
      <c r="C7">
        <f>'Flujos Planta Final'!DB68</f>
        <v>0</v>
      </c>
      <c r="D7">
        <f>'Flujos Planta Final'!DC68</f>
        <v>0</v>
      </c>
      <c r="E7">
        <f>'Flujos Planta Final'!DD68</f>
        <v>0</v>
      </c>
      <c r="F7">
        <f>'Flujos Planta Final'!DE68</f>
        <v>0</v>
      </c>
      <c r="G7">
        <f>'Flujos Planta Final'!DF68</f>
        <v>0</v>
      </c>
      <c r="H7">
        <f>'Flujos Planta Final'!DG68</f>
        <v>0</v>
      </c>
      <c r="I7">
        <f>'Flujos Planta Final'!DH68</f>
        <v>0</v>
      </c>
      <c r="J7">
        <f>'Flujos Planta Final'!DI68</f>
        <v>0</v>
      </c>
      <c r="K7">
        <f>'Flujos Planta Final'!DJ68</f>
        <v>0</v>
      </c>
      <c r="L7">
        <f>'Flujos Planta Final'!DK68</f>
        <v>0</v>
      </c>
      <c r="M7">
        <f>'Flujos Planta Final'!DL68</f>
        <v>0</v>
      </c>
      <c r="N7">
        <f>'Flujos Planta Final'!DM68</f>
        <v>0</v>
      </c>
      <c r="O7">
        <f>'Flujos Planta Final'!DN68</f>
        <v>0</v>
      </c>
      <c r="P7">
        <f>'Flujos Planta Final'!DO68</f>
        <v>0</v>
      </c>
      <c r="Q7">
        <f>'Flujos Planta Final'!DP68</f>
        <v>0</v>
      </c>
      <c r="R7">
        <f>'Flujos Planta Final'!DQ68</f>
        <v>0</v>
      </c>
      <c r="S7">
        <f>'Flujos Planta Final'!DR68</f>
        <v>0</v>
      </c>
      <c r="T7">
        <f>'Flujos Planta Final'!DS68</f>
        <v>0</v>
      </c>
      <c r="U7">
        <f>'Flujos Planta Final'!DT68</f>
        <v>0</v>
      </c>
      <c r="V7">
        <f>'Flujos Planta Final'!DU68</f>
        <v>4638.5555276987398</v>
      </c>
      <c r="W7">
        <f>'Flujos Planta Final'!DV68</f>
        <v>0</v>
      </c>
      <c r="X7">
        <f>'Flujos Planta Final'!DW68</f>
        <v>0</v>
      </c>
      <c r="Y7">
        <f>'Flujos Planta Final'!DX68</f>
        <v>0</v>
      </c>
      <c r="Z7">
        <f>'Flujos Planta Final'!DY68</f>
        <v>0</v>
      </c>
      <c r="AA7">
        <f>'Flujos Planta Final'!DZ68</f>
        <v>0</v>
      </c>
      <c r="AB7">
        <f>'Flujos Planta Final'!EA68</f>
        <v>0</v>
      </c>
    </row>
    <row r="8" spans="1:28" x14ac:dyDescent="0.25">
      <c r="A8" t="str">
        <f>'Flujos Planta Final'!CZ69</f>
        <v>Compresor</v>
      </c>
      <c r="B8">
        <f>'Flujos Planta Final'!DA69</f>
        <v>0</v>
      </c>
      <c r="C8">
        <f>'Flujos Planta Final'!DB69</f>
        <v>0</v>
      </c>
      <c r="D8">
        <f>'Flujos Planta Final'!DC69</f>
        <v>0</v>
      </c>
      <c r="E8">
        <f>'Flujos Planta Final'!DD69</f>
        <v>0</v>
      </c>
      <c r="F8">
        <f>'Flujos Planta Final'!DE69</f>
        <v>0</v>
      </c>
      <c r="G8">
        <f>'Flujos Planta Final'!DF69</f>
        <v>0</v>
      </c>
      <c r="H8">
        <f>'Flujos Planta Final'!DG69</f>
        <v>0</v>
      </c>
      <c r="I8">
        <f>'Flujos Planta Final'!DH69</f>
        <v>0</v>
      </c>
      <c r="J8">
        <f>'Flujos Planta Final'!DI69</f>
        <v>0</v>
      </c>
      <c r="K8">
        <f>'Flujos Planta Final'!DJ69</f>
        <v>0</v>
      </c>
      <c r="L8">
        <f>'Flujos Planta Final'!DK69</f>
        <v>0</v>
      </c>
      <c r="M8">
        <f>'Flujos Planta Final'!DL69</f>
        <v>0</v>
      </c>
      <c r="N8">
        <f>'Flujos Planta Final'!DM69</f>
        <v>0</v>
      </c>
      <c r="O8">
        <f>'Flujos Planta Final'!DN69</f>
        <v>0</v>
      </c>
      <c r="P8">
        <f>'Flujos Planta Final'!DO69</f>
        <v>0</v>
      </c>
      <c r="Q8">
        <f>'Flujos Planta Final'!DP69</f>
        <v>0</v>
      </c>
      <c r="R8">
        <f>'Flujos Planta Final'!DQ69</f>
        <v>0</v>
      </c>
      <c r="S8">
        <f>'Flujos Planta Final'!DR69</f>
        <v>0</v>
      </c>
      <c r="T8">
        <f>'Flujos Planta Final'!DS69</f>
        <v>0</v>
      </c>
      <c r="U8">
        <f>'Flujos Planta Final'!DT69</f>
        <v>0</v>
      </c>
      <c r="V8">
        <f>'Flujos Planta Final'!DU69</f>
        <v>0</v>
      </c>
      <c r="W8">
        <f>'Flujos Planta Final'!DV69</f>
        <v>0</v>
      </c>
      <c r="X8">
        <f>'Flujos Planta Final'!DW69</f>
        <v>0</v>
      </c>
      <c r="Y8">
        <f>'Flujos Planta Final'!DX69</f>
        <v>0</v>
      </c>
      <c r="Z8">
        <f>'Flujos Planta Final'!DY69</f>
        <v>0</v>
      </c>
      <c r="AA8">
        <f>'Flujos Planta Final'!DZ69</f>
        <v>0</v>
      </c>
      <c r="AB8">
        <f>'Flujos Planta Final'!EA69</f>
        <v>0</v>
      </c>
    </row>
    <row r="9" spans="1:28" x14ac:dyDescent="0.25">
      <c r="A9" t="str">
        <f>'Flujos Planta Final'!CZ70</f>
        <v>Corte</v>
      </c>
      <c r="B9">
        <f>'Flujos Planta Final'!DA70</f>
        <v>2000.7</v>
      </c>
      <c r="C9">
        <f>'Flujos Planta Final'!DB70</f>
        <v>0</v>
      </c>
      <c r="D9">
        <f>'Flujos Planta Final'!DC70</f>
        <v>0</v>
      </c>
      <c r="E9">
        <f>'Flujos Planta Final'!DD70</f>
        <v>0</v>
      </c>
      <c r="F9">
        <f>'Flujos Planta Final'!DE70</f>
        <v>0</v>
      </c>
      <c r="G9">
        <f>'Flujos Planta Final'!DF70</f>
        <v>0</v>
      </c>
      <c r="H9">
        <f>'Flujos Planta Final'!DG70</f>
        <v>0</v>
      </c>
      <c r="I9">
        <f>'Flujos Planta Final'!DH70</f>
        <v>0</v>
      </c>
      <c r="J9">
        <f>'Flujos Planta Final'!DI70</f>
        <v>0</v>
      </c>
      <c r="K9">
        <f>'Flujos Planta Final'!DJ70</f>
        <v>0</v>
      </c>
      <c r="L9">
        <f>'Flujos Planta Final'!DK70</f>
        <v>0</v>
      </c>
      <c r="M9">
        <f>'Flujos Planta Final'!DL70</f>
        <v>0</v>
      </c>
      <c r="N9">
        <f>'Flujos Planta Final'!DM70</f>
        <v>0</v>
      </c>
      <c r="O9">
        <f>'Flujos Planta Final'!DN70</f>
        <v>0</v>
      </c>
      <c r="P9">
        <f>'Flujos Planta Final'!DO70</f>
        <v>0</v>
      </c>
      <c r="Q9">
        <f>'Flujos Planta Final'!DP70</f>
        <v>0</v>
      </c>
      <c r="R9">
        <f>'Flujos Planta Final'!DQ70</f>
        <v>0</v>
      </c>
      <c r="S9">
        <f>'Flujos Planta Final'!DR70</f>
        <v>0</v>
      </c>
      <c r="T9">
        <f>'Flujos Planta Final'!DS70</f>
        <v>1993.5179999999998</v>
      </c>
      <c r="U9">
        <f>'Flujos Planta Final'!DT70</f>
        <v>0</v>
      </c>
      <c r="V9">
        <f>'Flujos Planta Final'!DU70</f>
        <v>0</v>
      </c>
      <c r="W9">
        <f>'Flujos Planta Final'!DV70</f>
        <v>0</v>
      </c>
      <c r="X9">
        <f>'Flujos Planta Final'!DW70</f>
        <v>0</v>
      </c>
      <c r="Y9">
        <f>'Flujos Planta Final'!DX70</f>
        <v>0</v>
      </c>
      <c r="Z9">
        <f>'Flujos Planta Final'!DY70</f>
        <v>0</v>
      </c>
      <c r="AA9">
        <f>'Flujos Planta Final'!DZ70</f>
        <v>0</v>
      </c>
      <c r="AB9">
        <f>'Flujos Planta Final'!EA70</f>
        <v>0</v>
      </c>
    </row>
    <row r="10" spans="1:28" x14ac:dyDescent="0.25">
      <c r="A10" t="str">
        <f>'Flujos Planta Final'!CZ71</f>
        <v>Curado-Almacen</v>
      </c>
      <c r="B10">
        <f>'Flujos Planta Final'!DA71</f>
        <v>0</v>
      </c>
      <c r="C10">
        <f>'Flujos Planta Final'!DB71</f>
        <v>0</v>
      </c>
      <c r="D10">
        <f>'Flujos Planta Final'!DC71</f>
        <v>0</v>
      </c>
      <c r="E10">
        <f>'Flujos Planta Final'!DD71</f>
        <v>0</v>
      </c>
      <c r="F10">
        <f>'Flujos Planta Final'!DE71</f>
        <v>0</v>
      </c>
      <c r="G10">
        <f>'Flujos Planta Final'!DF71</f>
        <v>0</v>
      </c>
      <c r="H10">
        <f>'Flujos Planta Final'!DG71</f>
        <v>0</v>
      </c>
      <c r="I10">
        <f>'Flujos Planta Final'!DH71</f>
        <v>3994.2179999999998</v>
      </c>
      <c r="J10">
        <f>'Flujos Planta Final'!DI71</f>
        <v>0</v>
      </c>
      <c r="K10">
        <f>'Flujos Planta Final'!DJ71</f>
        <v>0</v>
      </c>
      <c r="L10">
        <f>'Flujos Planta Final'!DK71</f>
        <v>0</v>
      </c>
      <c r="M10">
        <f>'Flujos Planta Final'!DL71</f>
        <v>320.63094624999997</v>
      </c>
      <c r="N10">
        <f>'Flujos Planta Final'!DM71</f>
        <v>0</v>
      </c>
      <c r="O10">
        <f>'Flujos Planta Final'!DN71</f>
        <v>0</v>
      </c>
      <c r="P10">
        <f>'Flujos Planta Final'!DO71</f>
        <v>0</v>
      </c>
      <c r="Q10">
        <f>'Flujos Planta Final'!DP71</f>
        <v>0</v>
      </c>
      <c r="R10">
        <f>'Flujos Planta Final'!DQ71</f>
        <v>0</v>
      </c>
      <c r="S10">
        <f>'Flujos Planta Final'!DR71</f>
        <v>0</v>
      </c>
      <c r="T10">
        <f>'Flujos Planta Final'!DS71</f>
        <v>0</v>
      </c>
      <c r="U10">
        <f>'Flujos Planta Final'!DT71</f>
        <v>0</v>
      </c>
      <c r="V10">
        <f>'Flujos Planta Final'!DU71</f>
        <v>0</v>
      </c>
      <c r="W10">
        <f>'Flujos Planta Final'!DV71</f>
        <v>0</v>
      </c>
      <c r="X10">
        <f>'Flujos Planta Final'!DW71</f>
        <v>0</v>
      </c>
      <c r="Y10">
        <f>'Flujos Planta Final'!DX71</f>
        <v>0</v>
      </c>
      <c r="Z10">
        <f>'Flujos Planta Final'!DY71</f>
        <v>0</v>
      </c>
      <c r="AA10">
        <f>'Flujos Planta Final'!DZ71</f>
        <v>0</v>
      </c>
      <c r="AB10">
        <f>'Flujos Planta Final'!EA71</f>
        <v>0</v>
      </c>
    </row>
    <row r="11" spans="1:28" x14ac:dyDescent="0.25">
      <c r="A11" t="str">
        <f>'Flujos Planta Final'!CZ72</f>
        <v>Acolchado</v>
      </c>
      <c r="B11">
        <f>'Flujos Planta Final'!DA72</f>
        <v>0</v>
      </c>
      <c r="C11">
        <f>'Flujos Planta Final'!DB72</f>
        <v>0</v>
      </c>
      <c r="D11">
        <f>'Flujos Planta Final'!DC72</f>
        <v>0</v>
      </c>
      <c r="E11">
        <f>'Flujos Planta Final'!DD72</f>
        <v>1261.1918979588959</v>
      </c>
      <c r="F11">
        <f>'Flujos Planta Final'!DE72</f>
        <v>0</v>
      </c>
      <c r="G11">
        <f>'Flujos Planta Final'!DF72</f>
        <v>0</v>
      </c>
      <c r="H11">
        <f>'Flujos Planta Final'!DG72</f>
        <v>0</v>
      </c>
      <c r="I11">
        <f>'Flujos Planta Final'!DH72</f>
        <v>0</v>
      </c>
      <c r="J11">
        <f>'Flujos Planta Final'!DI72</f>
        <v>0</v>
      </c>
      <c r="K11">
        <f>'Flujos Planta Final'!DJ72</f>
        <v>0</v>
      </c>
      <c r="L11">
        <f>'Flujos Planta Final'!DK72</f>
        <v>0</v>
      </c>
      <c r="M11">
        <f>'Flujos Planta Final'!DL72</f>
        <v>0</v>
      </c>
      <c r="N11">
        <f>'Flujos Planta Final'!DM72</f>
        <v>0</v>
      </c>
      <c r="O11">
        <f>'Flujos Planta Final'!DN72</f>
        <v>0</v>
      </c>
      <c r="P11">
        <f>'Flujos Planta Final'!DO72</f>
        <v>0</v>
      </c>
      <c r="Q11">
        <f>'Flujos Planta Final'!DP72</f>
        <v>0</v>
      </c>
      <c r="R11">
        <f>'Flujos Planta Final'!DQ72</f>
        <v>0</v>
      </c>
      <c r="S11">
        <f>'Flujos Planta Final'!DR72</f>
        <v>0</v>
      </c>
      <c r="T11">
        <f>'Flujos Planta Final'!DS72</f>
        <v>0</v>
      </c>
      <c r="U11">
        <f>'Flujos Planta Final'!DT72</f>
        <v>0</v>
      </c>
      <c r="V11">
        <f>'Flujos Planta Final'!DU72</f>
        <v>0</v>
      </c>
      <c r="W11">
        <f>'Flujos Planta Final'!DV72</f>
        <v>0</v>
      </c>
      <c r="X11">
        <f>'Flujos Planta Final'!DW72</f>
        <v>0</v>
      </c>
      <c r="Y11">
        <f>'Flujos Planta Final'!DX72</f>
        <v>0.33391831679015999</v>
      </c>
      <c r="Z11">
        <f>'Flujos Planta Final'!DY72</f>
        <v>0</v>
      </c>
      <c r="AA11">
        <f>'Flujos Planta Final'!DZ72</f>
        <v>0</v>
      </c>
      <c r="AB11">
        <f>'Flujos Planta Final'!EA72</f>
        <v>0</v>
      </c>
    </row>
    <row r="12" spans="1:28" x14ac:dyDescent="0.25">
      <c r="A12" t="str">
        <f>'Flujos Planta Final'!CZ73</f>
        <v>Corte espuma continua</v>
      </c>
      <c r="B12">
        <f>'Flujos Planta Final'!DA73</f>
        <v>0</v>
      </c>
      <c r="C12">
        <f>'Flujos Planta Final'!DB73</f>
        <v>0</v>
      </c>
      <c r="D12">
        <f>'Flujos Planta Final'!DC73</f>
        <v>0</v>
      </c>
      <c r="E12">
        <f>'Flujos Planta Final'!DD73</f>
        <v>0</v>
      </c>
      <c r="F12">
        <f>'Flujos Planta Final'!DE73</f>
        <v>0</v>
      </c>
      <c r="G12">
        <f>'Flujos Planta Final'!DF73</f>
        <v>0</v>
      </c>
      <c r="H12">
        <f>'Flujos Planta Final'!DG73</f>
        <v>0</v>
      </c>
      <c r="I12">
        <f>'Flujos Planta Final'!DH73</f>
        <v>0</v>
      </c>
      <c r="J12">
        <f>'Flujos Planta Final'!DI73</f>
        <v>57.241101581608007</v>
      </c>
      <c r="K12">
        <f>'Flujos Planta Final'!DJ73</f>
        <v>263.38984466839196</v>
      </c>
      <c r="L12">
        <f>'Flujos Planta Final'!DK73</f>
        <v>0</v>
      </c>
      <c r="M12">
        <f>'Flujos Planta Final'!DL73</f>
        <v>0</v>
      </c>
      <c r="N12">
        <f>'Flujos Planta Final'!DM73</f>
        <v>0</v>
      </c>
      <c r="O12">
        <f>'Flujos Planta Final'!DN73</f>
        <v>0</v>
      </c>
      <c r="P12">
        <f>'Flujos Planta Final'!DO73</f>
        <v>0</v>
      </c>
      <c r="Q12">
        <f>'Flujos Planta Final'!DP73</f>
        <v>0</v>
      </c>
      <c r="R12">
        <f>'Flujos Planta Final'!DQ73</f>
        <v>0</v>
      </c>
      <c r="S12">
        <f>'Flujos Planta Final'!DR73</f>
        <v>0</v>
      </c>
      <c r="T12">
        <f>'Flujos Planta Final'!DS73</f>
        <v>0</v>
      </c>
      <c r="U12">
        <f>'Flujos Planta Final'!DT73</f>
        <v>0</v>
      </c>
      <c r="V12">
        <f>'Flujos Planta Final'!DU73</f>
        <v>0</v>
      </c>
      <c r="W12">
        <f>'Flujos Planta Final'!DV73</f>
        <v>0</v>
      </c>
      <c r="X12">
        <f>'Flujos Planta Final'!DW73</f>
        <v>0</v>
      </c>
      <c r="Y12">
        <f>'Flujos Planta Final'!DX73</f>
        <v>0</v>
      </c>
      <c r="Z12">
        <f>'Flujos Planta Final'!DY73</f>
        <v>0</v>
      </c>
      <c r="AA12">
        <f>'Flujos Planta Final'!DZ73</f>
        <v>0</v>
      </c>
      <c r="AB12">
        <f>'Flujos Planta Final'!EA73</f>
        <v>0</v>
      </c>
    </row>
    <row r="13" spans="1:28" x14ac:dyDescent="0.25">
      <c r="A13" t="str">
        <f>'Flujos Planta Final'!CZ74</f>
        <v>Perforación cilindro</v>
      </c>
      <c r="B13">
        <f>'Flujos Planta Final'!DA74</f>
        <v>0</v>
      </c>
      <c r="C13">
        <f>'Flujos Planta Final'!DB74</f>
        <v>0</v>
      </c>
      <c r="D13">
        <f>'Flujos Planta Final'!DC74</f>
        <v>0</v>
      </c>
      <c r="E13">
        <f>'Flujos Planta Final'!DD74</f>
        <v>0</v>
      </c>
      <c r="F13">
        <f>'Flujos Planta Final'!DE74</f>
        <v>0</v>
      </c>
      <c r="G13">
        <f>'Flujos Planta Final'!DF74</f>
        <v>0</v>
      </c>
      <c r="H13">
        <f>'Flujos Planta Final'!DG74</f>
        <v>0</v>
      </c>
      <c r="I13">
        <f>'Flujos Planta Final'!DH74</f>
        <v>0</v>
      </c>
      <c r="J13">
        <f>'Flujos Planta Final'!DI74</f>
        <v>0</v>
      </c>
      <c r="K13">
        <f>'Flujos Planta Final'!DJ74</f>
        <v>0</v>
      </c>
      <c r="L13">
        <f>'Flujos Planta Final'!DK74</f>
        <v>320.63094624999997</v>
      </c>
      <c r="M13">
        <f>'Flujos Planta Final'!DL74</f>
        <v>0</v>
      </c>
      <c r="N13">
        <f>'Flujos Planta Final'!DM74</f>
        <v>0</v>
      </c>
      <c r="O13">
        <f>'Flujos Planta Final'!DN74</f>
        <v>0</v>
      </c>
      <c r="P13">
        <f>'Flujos Planta Final'!DO74</f>
        <v>0</v>
      </c>
      <c r="Q13">
        <f>'Flujos Planta Final'!DP74</f>
        <v>0</v>
      </c>
      <c r="R13">
        <f>'Flujos Planta Final'!DQ74</f>
        <v>0</v>
      </c>
      <c r="S13">
        <f>'Flujos Planta Final'!DR74</f>
        <v>0</v>
      </c>
      <c r="T13">
        <f>'Flujos Planta Final'!DS74</f>
        <v>0</v>
      </c>
      <c r="U13">
        <f>'Flujos Planta Final'!DT74</f>
        <v>0</v>
      </c>
      <c r="V13">
        <f>'Flujos Planta Final'!DU74</f>
        <v>0</v>
      </c>
      <c r="W13">
        <f>'Flujos Planta Final'!DV74</f>
        <v>0</v>
      </c>
      <c r="X13">
        <f>'Flujos Planta Final'!DW74</f>
        <v>0</v>
      </c>
      <c r="Y13">
        <f>'Flujos Planta Final'!DX74</f>
        <v>0</v>
      </c>
      <c r="Z13">
        <f>'Flujos Planta Final'!DY74</f>
        <v>0</v>
      </c>
      <c r="AA13">
        <f>'Flujos Planta Final'!DZ74</f>
        <v>0</v>
      </c>
      <c r="AB13">
        <f>'Flujos Planta Final'!EA74</f>
        <v>5.67E-2</v>
      </c>
    </row>
    <row r="14" spans="1:28" x14ac:dyDescent="0.25">
      <c r="A14" t="str">
        <f>'Flujos Planta Final'!CZ75</f>
        <v>Confección clchón algodón</v>
      </c>
      <c r="B14">
        <f>'Flujos Planta Final'!DA75</f>
        <v>0</v>
      </c>
      <c r="C14">
        <f>'Flujos Planta Final'!DB75</f>
        <v>0</v>
      </c>
      <c r="D14">
        <f>'Flujos Planta Final'!DC75</f>
        <v>0</v>
      </c>
      <c r="E14">
        <f>'Flujos Planta Final'!DD75</f>
        <v>0</v>
      </c>
      <c r="F14">
        <f>'Flujos Planta Final'!DE75</f>
        <v>0</v>
      </c>
      <c r="G14">
        <f>'Flujos Planta Final'!DF75</f>
        <v>0</v>
      </c>
      <c r="H14">
        <f>'Flujos Planta Final'!DG75</f>
        <v>0</v>
      </c>
      <c r="I14">
        <f>'Flujos Planta Final'!DH75</f>
        <v>0</v>
      </c>
      <c r="J14">
        <f>'Flujos Planta Final'!DI75</f>
        <v>0</v>
      </c>
      <c r="K14">
        <f>'Flujos Planta Final'!DJ75</f>
        <v>0</v>
      </c>
      <c r="L14">
        <f>'Flujos Planta Final'!DK75</f>
        <v>0</v>
      </c>
      <c r="M14">
        <f>'Flujos Planta Final'!DL75</f>
        <v>0</v>
      </c>
      <c r="N14">
        <f>'Flujos Planta Final'!DM75</f>
        <v>0</v>
      </c>
      <c r="O14">
        <f>'Flujos Planta Final'!DN75</f>
        <v>0</v>
      </c>
      <c r="P14">
        <f>'Flujos Planta Final'!DO75</f>
        <v>0</v>
      </c>
      <c r="Q14">
        <f>'Flujos Planta Final'!DP75</f>
        <v>0</v>
      </c>
      <c r="R14">
        <f>'Flujos Planta Final'!DQ75</f>
        <v>0</v>
      </c>
      <c r="S14">
        <f>'Flujos Planta Final'!DR75</f>
        <v>0</v>
      </c>
      <c r="T14">
        <f>'Flujos Planta Final'!DS75</f>
        <v>0</v>
      </c>
      <c r="U14">
        <f>'Flujos Planta Final'!DT75</f>
        <v>0</v>
      </c>
      <c r="V14">
        <f>'Flujos Planta Final'!DU75</f>
        <v>0</v>
      </c>
      <c r="W14">
        <f>'Flujos Planta Final'!DV75</f>
        <v>0</v>
      </c>
      <c r="X14">
        <f>'Flujos Planta Final'!DW75</f>
        <v>0</v>
      </c>
      <c r="Y14">
        <f>'Flujos Planta Final'!DX75</f>
        <v>0</v>
      </c>
      <c r="Z14">
        <f>'Flujos Planta Final'!DY75</f>
        <v>8710.6889999999985</v>
      </c>
      <c r="AA14">
        <f>'Flujos Planta Final'!DZ75</f>
        <v>0</v>
      </c>
      <c r="AB14">
        <f>'Flujos Planta Final'!EA75</f>
        <v>0</v>
      </c>
    </row>
    <row r="15" spans="1:28" x14ac:dyDescent="0.25">
      <c r="A15" t="str">
        <f>'Flujos Planta Final'!CZ76</f>
        <v>Almacen madera</v>
      </c>
      <c r="B15">
        <f>'Flujos Planta Final'!DA76</f>
        <v>0</v>
      </c>
      <c r="C15">
        <f>'Flujos Planta Final'!DB76</f>
        <v>0</v>
      </c>
      <c r="D15">
        <f>'Flujos Planta Final'!DC76</f>
        <v>0</v>
      </c>
      <c r="E15">
        <f>'Flujos Planta Final'!DD76</f>
        <v>0</v>
      </c>
      <c r="F15">
        <f>'Flujos Planta Final'!DE76</f>
        <v>0</v>
      </c>
      <c r="G15">
        <f>'Flujos Planta Final'!DF76</f>
        <v>0</v>
      </c>
      <c r="H15">
        <f>'Flujos Planta Final'!DG76</f>
        <v>0</v>
      </c>
      <c r="I15">
        <f>'Flujos Planta Final'!DH76</f>
        <v>0</v>
      </c>
      <c r="J15">
        <f>'Flujos Planta Final'!DI76</f>
        <v>0</v>
      </c>
      <c r="K15">
        <f>'Flujos Planta Final'!DJ76</f>
        <v>0</v>
      </c>
      <c r="L15">
        <f>'Flujos Planta Final'!DK76</f>
        <v>0</v>
      </c>
      <c r="M15">
        <f>'Flujos Planta Final'!DL76</f>
        <v>0</v>
      </c>
      <c r="N15">
        <f>'Flujos Planta Final'!DM76</f>
        <v>0</v>
      </c>
      <c r="O15">
        <f>'Flujos Planta Final'!DN76</f>
        <v>0</v>
      </c>
      <c r="P15">
        <f>'Flujos Planta Final'!DO76</f>
        <v>5847.9506010000005</v>
      </c>
      <c r="Q15">
        <f>'Flujos Planta Final'!DP76</f>
        <v>0</v>
      </c>
      <c r="R15">
        <f>'Flujos Planta Final'!DQ76</f>
        <v>86.145120000000006</v>
      </c>
      <c r="S15">
        <f>'Flujos Planta Final'!DR76</f>
        <v>225.018</v>
      </c>
      <c r="T15">
        <f>'Flujos Planta Final'!DS76</f>
        <v>0</v>
      </c>
      <c r="U15">
        <f>'Flujos Planta Final'!DT76</f>
        <v>0</v>
      </c>
      <c r="V15">
        <f>'Flujos Planta Final'!DU76</f>
        <v>0</v>
      </c>
      <c r="W15">
        <f>'Flujos Planta Final'!DV76</f>
        <v>0</v>
      </c>
      <c r="X15">
        <f>'Flujos Planta Final'!DW76</f>
        <v>0</v>
      </c>
      <c r="Y15">
        <f>'Flujos Planta Final'!DX76</f>
        <v>0</v>
      </c>
      <c r="Z15">
        <f>'Flujos Planta Final'!DY76</f>
        <v>0</v>
      </c>
      <c r="AA15">
        <f>'Flujos Planta Final'!DZ76</f>
        <v>0</v>
      </c>
      <c r="AB15">
        <f>'Flujos Planta Final'!EA76</f>
        <v>0</v>
      </c>
    </row>
    <row r="16" spans="1:28" x14ac:dyDescent="0.25">
      <c r="A16" t="str">
        <f>'Flujos Planta Final'!CZ77</f>
        <v>Corte madera</v>
      </c>
      <c r="B16">
        <f>'Flujos Planta Final'!DA77</f>
        <v>0</v>
      </c>
      <c r="C16">
        <f>'Flujos Planta Final'!DB77</f>
        <v>0</v>
      </c>
      <c r="D16">
        <f>'Flujos Planta Final'!DC77</f>
        <v>0</v>
      </c>
      <c r="E16">
        <f>'Flujos Planta Final'!DD77</f>
        <v>0</v>
      </c>
      <c r="F16">
        <f>'Flujos Planta Final'!DE77</f>
        <v>0</v>
      </c>
      <c r="G16">
        <f>'Flujos Planta Final'!DF77</f>
        <v>0</v>
      </c>
      <c r="H16">
        <f>'Flujos Planta Final'!DG77</f>
        <v>0</v>
      </c>
      <c r="I16">
        <f>'Flujos Planta Final'!DH77</f>
        <v>0</v>
      </c>
      <c r="J16">
        <f>'Flujos Planta Final'!DI77</f>
        <v>0</v>
      </c>
      <c r="K16">
        <f>'Flujos Planta Final'!DJ77</f>
        <v>0</v>
      </c>
      <c r="L16">
        <f>'Flujos Planta Final'!DK77</f>
        <v>0</v>
      </c>
      <c r="M16">
        <f>'Flujos Planta Final'!DL77</f>
        <v>0</v>
      </c>
      <c r="N16">
        <f>'Flujos Planta Final'!DM77</f>
        <v>0</v>
      </c>
      <c r="O16">
        <f>'Flujos Planta Final'!DN77</f>
        <v>57.900501000000077</v>
      </c>
      <c r="P16">
        <f>'Flujos Planta Final'!DO77</f>
        <v>0</v>
      </c>
      <c r="Q16">
        <f>'Flujos Planta Final'!DP77</f>
        <v>5790.0501000000004</v>
      </c>
      <c r="R16">
        <f>'Flujos Planta Final'!DQ77</f>
        <v>0</v>
      </c>
      <c r="S16">
        <f>'Flujos Planta Final'!DR77</f>
        <v>0</v>
      </c>
      <c r="T16">
        <f>'Flujos Planta Final'!DS77</f>
        <v>0</v>
      </c>
      <c r="U16">
        <f>'Flujos Planta Final'!DT77</f>
        <v>0</v>
      </c>
      <c r="V16">
        <f>'Flujos Planta Final'!DU77</f>
        <v>0</v>
      </c>
      <c r="W16">
        <f>'Flujos Planta Final'!DV77</f>
        <v>0</v>
      </c>
      <c r="X16">
        <f>'Flujos Planta Final'!DW77</f>
        <v>0</v>
      </c>
      <c r="Y16">
        <f>'Flujos Planta Final'!DX77</f>
        <v>0</v>
      </c>
      <c r="Z16">
        <f>'Flujos Planta Final'!DY77</f>
        <v>0</v>
      </c>
      <c r="AA16">
        <f>'Flujos Planta Final'!DZ77</f>
        <v>0</v>
      </c>
      <c r="AB16">
        <f>'Flujos Planta Final'!EA77</f>
        <v>0</v>
      </c>
    </row>
    <row r="17" spans="1:28" x14ac:dyDescent="0.25">
      <c r="A17" t="str">
        <f>'Flujos Planta Final'!CZ78</f>
        <v>Lijado</v>
      </c>
      <c r="B17">
        <f>'Flujos Planta Final'!DA78</f>
        <v>0</v>
      </c>
      <c r="C17">
        <f>'Flujos Planta Final'!DB78</f>
        <v>0</v>
      </c>
      <c r="D17">
        <f>'Flujos Planta Final'!DC78</f>
        <v>0</v>
      </c>
      <c r="E17">
        <f>'Flujos Planta Final'!DD78</f>
        <v>0</v>
      </c>
      <c r="F17">
        <f>'Flujos Planta Final'!DE78</f>
        <v>0</v>
      </c>
      <c r="G17">
        <f>'Flujos Planta Final'!DF78</f>
        <v>0</v>
      </c>
      <c r="H17">
        <f>'Flujos Planta Final'!DG78</f>
        <v>0</v>
      </c>
      <c r="I17">
        <f>'Flujos Planta Final'!DH78</f>
        <v>0</v>
      </c>
      <c r="J17">
        <f>'Flujos Planta Final'!DI78</f>
        <v>0</v>
      </c>
      <c r="K17">
        <f>'Flujos Planta Final'!DJ78</f>
        <v>0</v>
      </c>
      <c r="L17">
        <f>'Flujos Planta Final'!DK78</f>
        <v>0</v>
      </c>
      <c r="M17">
        <f>'Flujos Planta Final'!DL78</f>
        <v>0</v>
      </c>
      <c r="N17">
        <f>'Flujos Planta Final'!DM78</f>
        <v>0</v>
      </c>
      <c r="O17">
        <f>'Flujos Planta Final'!DN78</f>
        <v>0</v>
      </c>
      <c r="P17">
        <f>'Flujos Planta Final'!DO78</f>
        <v>0</v>
      </c>
      <c r="Q17">
        <f>'Flujos Planta Final'!DP78</f>
        <v>0</v>
      </c>
      <c r="R17">
        <f>'Flujos Planta Final'!DQ78</f>
        <v>5789.47109499</v>
      </c>
      <c r="S17">
        <f>'Flujos Planta Final'!DR78</f>
        <v>0</v>
      </c>
      <c r="T17">
        <f>'Flujos Planta Final'!DS78</f>
        <v>0</v>
      </c>
      <c r="U17">
        <f>'Flujos Planta Final'!DT78</f>
        <v>0</v>
      </c>
      <c r="V17">
        <f>'Flujos Planta Final'!DU78</f>
        <v>0</v>
      </c>
      <c r="W17">
        <f>'Flujos Planta Final'!DV78</f>
        <v>0</v>
      </c>
      <c r="X17">
        <f>'Flujos Planta Final'!DW78</f>
        <v>0</v>
      </c>
      <c r="Y17">
        <f>'Flujos Planta Final'!DX78</f>
        <v>0.57900501000040094</v>
      </c>
      <c r="Z17">
        <f>'Flujos Planta Final'!DY78</f>
        <v>0</v>
      </c>
      <c r="AA17">
        <f>'Flujos Planta Final'!DZ78</f>
        <v>0</v>
      </c>
      <c r="AB17">
        <f>'Flujos Planta Final'!EA78</f>
        <v>0</v>
      </c>
    </row>
    <row r="18" spans="1:28" x14ac:dyDescent="0.25">
      <c r="A18" t="str">
        <f>'Flujos Planta Final'!CZ79</f>
        <v>Barnizado</v>
      </c>
      <c r="B18">
        <f>'Flujos Planta Final'!DA79</f>
        <v>0</v>
      </c>
      <c r="C18">
        <f>'Flujos Planta Final'!DB79</f>
        <v>0</v>
      </c>
      <c r="D18">
        <f>'Flujos Planta Final'!DC79</f>
        <v>0</v>
      </c>
      <c r="E18">
        <f>'Flujos Planta Final'!DD79</f>
        <v>0</v>
      </c>
      <c r="F18">
        <f>'Flujos Planta Final'!DE79</f>
        <v>0</v>
      </c>
      <c r="G18">
        <f>'Flujos Planta Final'!DF79</f>
        <v>0</v>
      </c>
      <c r="H18">
        <f>'Flujos Planta Final'!DG79</f>
        <v>0</v>
      </c>
      <c r="I18">
        <f>'Flujos Planta Final'!DH79</f>
        <v>0</v>
      </c>
      <c r="J18">
        <f>'Flujos Planta Final'!DI79</f>
        <v>0</v>
      </c>
      <c r="K18">
        <f>'Flujos Planta Final'!DJ79</f>
        <v>0</v>
      </c>
      <c r="L18">
        <f>'Flujos Planta Final'!DK79</f>
        <v>0</v>
      </c>
      <c r="M18">
        <f>'Flujos Planta Final'!DL79</f>
        <v>0</v>
      </c>
      <c r="N18">
        <f>'Flujos Planta Final'!DM79</f>
        <v>0</v>
      </c>
      <c r="O18">
        <f>'Flujos Planta Final'!DN79</f>
        <v>0</v>
      </c>
      <c r="P18">
        <f>'Flujos Planta Final'!DO79</f>
        <v>0</v>
      </c>
      <c r="Q18">
        <f>'Flujos Planta Final'!DP79</f>
        <v>0</v>
      </c>
      <c r="R18">
        <f>'Flujos Planta Final'!DQ79</f>
        <v>0</v>
      </c>
      <c r="S18">
        <f>'Flujos Planta Final'!DR79</f>
        <v>5875.6162149900001</v>
      </c>
      <c r="T18">
        <f>'Flujos Planta Final'!DS79</f>
        <v>0</v>
      </c>
      <c r="U18">
        <f>'Flujos Planta Final'!DT79</f>
        <v>0</v>
      </c>
      <c r="V18">
        <f>'Flujos Planta Final'!DU79</f>
        <v>0</v>
      </c>
      <c r="W18">
        <f>'Flujos Planta Final'!DV79</f>
        <v>0</v>
      </c>
      <c r="X18">
        <f>'Flujos Planta Final'!DW79</f>
        <v>0</v>
      </c>
      <c r="Y18">
        <f>'Flujos Planta Final'!DX79</f>
        <v>0</v>
      </c>
      <c r="Z18">
        <f>'Flujos Planta Final'!DY79</f>
        <v>0</v>
      </c>
      <c r="AA18">
        <f>'Flujos Planta Final'!DZ79</f>
        <v>0</v>
      </c>
      <c r="AB18">
        <f>'Flujos Planta Final'!EA79</f>
        <v>0</v>
      </c>
    </row>
    <row r="19" spans="1:28" x14ac:dyDescent="0.25">
      <c r="A19" t="str">
        <f>'Flujos Planta Final'!CZ80</f>
        <v>Ensamble base cama</v>
      </c>
      <c r="B19">
        <f>'Flujos Planta Final'!DA80</f>
        <v>0</v>
      </c>
      <c r="C19">
        <f>'Flujos Planta Final'!DB80</f>
        <v>0</v>
      </c>
      <c r="D19">
        <f>'Flujos Planta Final'!DC80</f>
        <v>0</v>
      </c>
      <c r="E19">
        <f>'Flujos Planta Final'!DD80</f>
        <v>0</v>
      </c>
      <c r="F19">
        <f>'Flujos Planta Final'!DE80</f>
        <v>0</v>
      </c>
      <c r="G19">
        <f>'Flujos Planta Final'!DF80</f>
        <v>0</v>
      </c>
      <c r="H19">
        <f>'Flujos Planta Final'!DG80</f>
        <v>0</v>
      </c>
      <c r="I19">
        <f>'Flujos Planta Final'!DH80</f>
        <v>0</v>
      </c>
      <c r="J19">
        <f>'Flujos Planta Final'!DI80</f>
        <v>0</v>
      </c>
      <c r="K19">
        <f>'Flujos Planta Final'!DJ80</f>
        <v>0</v>
      </c>
      <c r="L19">
        <f>'Flujos Planta Final'!DK80</f>
        <v>0</v>
      </c>
      <c r="M19">
        <f>'Flujos Planta Final'!DL80</f>
        <v>0</v>
      </c>
      <c r="N19">
        <f>'Flujos Planta Final'!DM80</f>
        <v>0</v>
      </c>
      <c r="O19">
        <f>'Flujos Planta Final'!DN80</f>
        <v>0</v>
      </c>
      <c r="P19">
        <f>'Flujos Planta Final'!DO80</f>
        <v>0</v>
      </c>
      <c r="Q19">
        <f>'Flujos Planta Final'!DP80</f>
        <v>0</v>
      </c>
      <c r="R19">
        <f>'Flujos Planta Final'!DQ80</f>
        <v>0</v>
      </c>
      <c r="S19">
        <f>'Flujos Planta Final'!DR80</f>
        <v>0</v>
      </c>
      <c r="T19">
        <f>'Flujos Planta Final'!DS80</f>
        <v>0</v>
      </c>
      <c r="U19">
        <f>'Flujos Planta Final'!DT80</f>
        <v>0</v>
      </c>
      <c r="V19">
        <f>'Flujos Planta Final'!DU80</f>
        <v>0</v>
      </c>
      <c r="W19">
        <f>'Flujos Planta Final'!DV80</f>
        <v>0</v>
      </c>
      <c r="X19">
        <f>'Flujos Planta Final'!DW80</f>
        <v>0</v>
      </c>
      <c r="Y19">
        <f>'Flujos Planta Final'!DX80</f>
        <v>0</v>
      </c>
      <c r="Z19">
        <f>'Flujos Planta Final'!DY80</f>
        <v>6100.6342149900001</v>
      </c>
      <c r="AA19">
        <f>'Flujos Planta Final'!DZ80</f>
        <v>0</v>
      </c>
      <c r="AB19">
        <f>'Flujos Planta Final'!EA80</f>
        <v>0</v>
      </c>
    </row>
    <row r="20" spans="1:28" x14ac:dyDescent="0.25">
      <c r="A20" t="str">
        <f>'Flujos Planta Final'!CZ81</f>
        <v>Cerrado-confección-tapizado</v>
      </c>
      <c r="B20">
        <f>'Flujos Planta Final'!DA81</f>
        <v>0</v>
      </c>
      <c r="C20">
        <f>'Flujos Planta Final'!DB81</f>
        <v>0</v>
      </c>
      <c r="D20">
        <f>'Flujos Planta Final'!DC81</f>
        <v>0</v>
      </c>
      <c r="E20">
        <f>'Flujos Planta Final'!DD81</f>
        <v>0</v>
      </c>
      <c r="F20">
        <f>'Flujos Planta Final'!DE81</f>
        <v>0</v>
      </c>
      <c r="G20">
        <f>'Flujos Planta Final'!DF81</f>
        <v>0</v>
      </c>
      <c r="H20">
        <f>'Flujos Planta Final'!DG81</f>
        <v>0</v>
      </c>
      <c r="I20">
        <f>'Flujos Planta Final'!DH81</f>
        <v>0</v>
      </c>
      <c r="J20">
        <f>'Flujos Planta Final'!DI81</f>
        <v>0</v>
      </c>
      <c r="K20">
        <f>'Flujos Planta Final'!DJ81</f>
        <v>0</v>
      </c>
      <c r="L20">
        <f>'Flujos Planta Final'!DK81</f>
        <v>0</v>
      </c>
      <c r="M20">
        <f>'Flujos Planta Final'!DL81</f>
        <v>0</v>
      </c>
      <c r="N20">
        <f>'Flujos Planta Final'!DM81</f>
        <v>0</v>
      </c>
      <c r="O20">
        <f>'Flujos Planta Final'!DN81</f>
        <v>0</v>
      </c>
      <c r="P20">
        <f>'Flujos Planta Final'!DO81</f>
        <v>0</v>
      </c>
      <c r="Q20">
        <f>'Flujos Planta Final'!DP81</f>
        <v>0</v>
      </c>
      <c r="R20">
        <f>'Flujos Planta Final'!DQ81</f>
        <v>0</v>
      </c>
      <c r="S20">
        <f>'Flujos Planta Final'!DR81</f>
        <v>0</v>
      </c>
      <c r="T20">
        <f>'Flujos Planta Final'!DS81</f>
        <v>0</v>
      </c>
      <c r="U20">
        <f>'Flujos Planta Final'!DT81</f>
        <v>0</v>
      </c>
      <c r="V20">
        <f>'Flujos Planta Final'!DU81</f>
        <v>0</v>
      </c>
      <c r="W20">
        <f>'Flujos Planta Final'!DV81</f>
        <v>0</v>
      </c>
      <c r="X20">
        <f>'Flujos Planta Final'!DW81</f>
        <v>0</v>
      </c>
      <c r="Y20">
        <f>'Flujos Planta Final'!DX81</f>
        <v>0</v>
      </c>
      <c r="Z20">
        <f>'Flujos Planta Final'!DY81</f>
        <v>15377.29811542937</v>
      </c>
      <c r="AA20">
        <f>'Flujos Planta Final'!DZ81</f>
        <v>0</v>
      </c>
      <c r="AB20">
        <f>'Flujos Planta Final'!EA81</f>
        <v>0</v>
      </c>
    </row>
    <row r="21" spans="1:28" x14ac:dyDescent="0.25">
      <c r="A21" t="str">
        <f>'Flujos Planta Final'!CZ82</f>
        <v>Moldeo</v>
      </c>
      <c r="B21">
        <f>'Flujos Planta Final'!DA82</f>
        <v>253.34399999999999</v>
      </c>
      <c r="C21">
        <f>'Flujos Planta Final'!DB82</f>
        <v>0</v>
      </c>
      <c r="D21">
        <f>'Flujos Planta Final'!DC82</f>
        <v>0</v>
      </c>
      <c r="E21">
        <f>'Flujos Planta Final'!DD82</f>
        <v>0</v>
      </c>
      <c r="F21">
        <f>'Flujos Planta Final'!DE82</f>
        <v>0</v>
      </c>
      <c r="G21">
        <f>'Flujos Planta Final'!DF82</f>
        <v>0</v>
      </c>
      <c r="H21">
        <f>'Flujos Planta Final'!DG82</f>
        <v>324.15161386632229</v>
      </c>
      <c r="I21">
        <f>'Flujos Planta Final'!DH82</f>
        <v>0</v>
      </c>
      <c r="J21">
        <f>'Flujos Planta Final'!DI82</f>
        <v>4404.0067739414171</v>
      </c>
      <c r="K21">
        <f>'Flujos Planta Final'!DJ82</f>
        <v>0</v>
      </c>
      <c r="L21">
        <f>'Flujos Planta Final'!DK82</f>
        <v>0</v>
      </c>
      <c r="M21">
        <f>'Flujos Planta Final'!DL82</f>
        <v>0</v>
      </c>
      <c r="N21">
        <f>'Flujos Planta Final'!DM82</f>
        <v>0</v>
      </c>
      <c r="O21">
        <f>'Flujos Planta Final'!DN82</f>
        <v>0</v>
      </c>
      <c r="P21">
        <f>'Flujos Planta Final'!DO82</f>
        <v>0</v>
      </c>
      <c r="Q21">
        <f>'Flujos Planta Final'!DP82</f>
        <v>0</v>
      </c>
      <c r="R21">
        <f>'Flujos Planta Final'!DQ82</f>
        <v>0</v>
      </c>
      <c r="S21">
        <f>'Flujos Planta Final'!DR82</f>
        <v>0</v>
      </c>
      <c r="T21">
        <f>'Flujos Planta Final'!DS82</f>
        <v>0</v>
      </c>
      <c r="U21">
        <f>'Flujos Planta Final'!DT82</f>
        <v>0</v>
      </c>
      <c r="V21">
        <f>'Flujos Planta Final'!DU82</f>
        <v>0</v>
      </c>
      <c r="W21">
        <f>'Flujos Planta Final'!DV82</f>
        <v>0</v>
      </c>
      <c r="X21">
        <f>'Flujos Planta Final'!DW82</f>
        <v>0</v>
      </c>
      <c r="Y21">
        <f>'Flujos Planta Final'!DX82</f>
        <v>0</v>
      </c>
      <c r="Z21">
        <f>'Flujos Planta Final'!DY82</f>
        <v>0</v>
      </c>
      <c r="AA21">
        <f>'Flujos Planta Final'!DZ82</f>
        <v>0</v>
      </c>
      <c r="AB21">
        <f>'Flujos Planta Final'!EA82</f>
        <v>0</v>
      </c>
    </row>
    <row r="22" spans="1:28" x14ac:dyDescent="0.25">
      <c r="A22" t="str">
        <f>'Flujos Planta Final'!CZ83</f>
        <v>Mezclado</v>
      </c>
      <c r="B22">
        <f>'Flujos Planta Final'!DA83</f>
        <v>0</v>
      </c>
      <c r="C22">
        <f>'Flujos Planta Final'!DB83</f>
        <v>0</v>
      </c>
      <c r="D22">
        <f>'Flujos Planta Final'!DC83</f>
        <v>0</v>
      </c>
      <c r="E22">
        <f>'Flujos Planta Final'!DD83</f>
        <v>0</v>
      </c>
      <c r="F22">
        <f>'Flujos Planta Final'!DE83</f>
        <v>0</v>
      </c>
      <c r="G22">
        <f>'Flujos Planta Final'!DF83</f>
        <v>0</v>
      </c>
      <c r="H22">
        <f>'Flujos Planta Final'!DG83</f>
        <v>0</v>
      </c>
      <c r="I22">
        <f>'Flujos Planta Final'!DH83</f>
        <v>0</v>
      </c>
      <c r="J22">
        <f>'Flujos Planta Final'!DI83</f>
        <v>0</v>
      </c>
      <c r="K22">
        <f>'Flujos Planta Final'!DJ83</f>
        <v>0</v>
      </c>
      <c r="L22">
        <f>'Flujos Planta Final'!DK83</f>
        <v>0</v>
      </c>
      <c r="M22">
        <f>'Flujos Planta Final'!DL83</f>
        <v>0</v>
      </c>
      <c r="N22">
        <f>'Flujos Planta Final'!DM83</f>
        <v>0</v>
      </c>
      <c r="O22">
        <f>'Flujos Planta Final'!DN83</f>
        <v>0</v>
      </c>
      <c r="P22">
        <f>'Flujos Planta Final'!DO83</f>
        <v>0</v>
      </c>
      <c r="Q22">
        <f>'Flujos Planta Final'!DP83</f>
        <v>0</v>
      </c>
      <c r="R22">
        <f>'Flujos Planta Final'!DQ83</f>
        <v>0</v>
      </c>
      <c r="S22">
        <f>'Flujos Planta Final'!DR83</f>
        <v>0</v>
      </c>
      <c r="T22">
        <f>'Flujos Planta Final'!DS83</f>
        <v>0</v>
      </c>
      <c r="U22">
        <f>'Flujos Planta Final'!DT83</f>
        <v>4981.50238780774</v>
      </c>
      <c r="V22">
        <f>'Flujos Planta Final'!DU83</f>
        <v>0</v>
      </c>
      <c r="W22">
        <f>'Flujos Planta Final'!DV83</f>
        <v>0</v>
      </c>
      <c r="X22">
        <f>'Flujos Planta Final'!DW83</f>
        <v>0</v>
      </c>
      <c r="Y22">
        <f>'Flujos Planta Final'!DX83</f>
        <v>0</v>
      </c>
      <c r="Z22">
        <f>'Flujos Planta Final'!DY83</f>
        <v>0</v>
      </c>
      <c r="AA22">
        <f>'Flujos Planta Final'!DZ83</f>
        <v>0</v>
      </c>
      <c r="AB22">
        <f>'Flujos Planta Final'!EA83</f>
        <v>0</v>
      </c>
    </row>
    <row r="23" spans="1:28" x14ac:dyDescent="0.25">
      <c r="A23" t="str">
        <f>'Flujos Planta Final'!CZ84</f>
        <v>Pegar tapas espuma</v>
      </c>
      <c r="B23">
        <f>'Flujos Planta Final'!DA84</f>
        <v>0</v>
      </c>
      <c r="C23">
        <f>'Flujos Planta Final'!DB84</f>
        <v>0</v>
      </c>
      <c r="D23">
        <f>'Flujos Planta Final'!DC84</f>
        <v>0</v>
      </c>
      <c r="E23">
        <f>'Flujos Planta Final'!DD84</f>
        <v>0</v>
      </c>
      <c r="F23">
        <f>'Flujos Planta Final'!DE84</f>
        <v>12.639910839999999</v>
      </c>
      <c r="G23">
        <f>'Flujos Planta Final'!DF84</f>
        <v>0</v>
      </c>
      <c r="H23">
        <f>'Flujos Planta Final'!DG84</f>
        <v>0</v>
      </c>
      <c r="I23">
        <f>'Flujos Planta Final'!DH84</f>
        <v>0</v>
      </c>
      <c r="J23">
        <f>'Flujos Planta Final'!DI84</f>
        <v>0</v>
      </c>
      <c r="K23">
        <f>'Flujos Planta Final'!DJ84</f>
        <v>0</v>
      </c>
      <c r="L23">
        <f>'Flujos Planta Final'!DK84</f>
        <v>0</v>
      </c>
      <c r="M23">
        <f>'Flujos Planta Final'!DL84</f>
        <v>0</v>
      </c>
      <c r="N23">
        <f>'Flujos Planta Final'!DM84</f>
        <v>0</v>
      </c>
      <c r="O23">
        <f>'Flujos Planta Final'!DN84</f>
        <v>0</v>
      </c>
      <c r="P23">
        <f>'Flujos Planta Final'!DO84</f>
        <v>0</v>
      </c>
      <c r="Q23">
        <f>'Flujos Planta Final'!DP84</f>
        <v>0</v>
      </c>
      <c r="R23">
        <f>'Flujos Planta Final'!DQ84</f>
        <v>0</v>
      </c>
      <c r="S23">
        <f>'Flujos Planta Final'!DR84</f>
        <v>0</v>
      </c>
      <c r="T23">
        <f>'Flujos Planta Final'!DS84</f>
        <v>0</v>
      </c>
      <c r="U23">
        <f>'Flujos Planta Final'!DT84</f>
        <v>0</v>
      </c>
      <c r="V23">
        <f>'Flujos Planta Final'!DU84</f>
        <v>0</v>
      </c>
      <c r="W23">
        <f>'Flujos Planta Final'!DV84</f>
        <v>0</v>
      </c>
      <c r="X23">
        <f>'Flujos Planta Final'!DW84</f>
        <v>0</v>
      </c>
      <c r="Y23">
        <f>'Flujos Planta Final'!DX84</f>
        <v>0</v>
      </c>
      <c r="Z23">
        <f>'Flujos Planta Final'!DY84</f>
        <v>0</v>
      </c>
      <c r="AA23">
        <f>'Flujos Planta Final'!DZ84</f>
        <v>0</v>
      </c>
      <c r="AB23">
        <f>'Flujos Planta Final'!EA84</f>
        <v>0</v>
      </c>
    </row>
    <row r="24" spans="1:28" x14ac:dyDescent="0.25">
      <c r="A24" t="str">
        <f>'Flujos Planta Final'!CZ85</f>
        <v>Triturado-Corte manual</v>
      </c>
      <c r="B24">
        <f>'Flujos Planta Final'!DA85</f>
        <v>0</v>
      </c>
      <c r="C24">
        <f>'Flujos Planta Final'!DB85</f>
        <v>0</v>
      </c>
      <c r="D24">
        <f>'Flujos Planta Final'!DC85</f>
        <v>0</v>
      </c>
      <c r="E24">
        <f>'Flujos Planta Final'!DD85</f>
        <v>0</v>
      </c>
      <c r="F24">
        <f>'Flujos Planta Final'!DE85</f>
        <v>6.3503549999999995</v>
      </c>
      <c r="G24">
        <f>'Flujos Planta Final'!DF85</f>
        <v>0</v>
      </c>
      <c r="H24">
        <f>'Flujos Planta Final'!DG85</f>
        <v>0</v>
      </c>
      <c r="I24">
        <f>'Flujos Planta Final'!DH85</f>
        <v>0</v>
      </c>
      <c r="J24">
        <f>'Flujos Planta Final'!DI85</f>
        <v>0</v>
      </c>
      <c r="K24">
        <f>'Flujos Planta Final'!DJ85</f>
        <v>0</v>
      </c>
      <c r="L24">
        <f>'Flujos Planta Final'!DK85</f>
        <v>0</v>
      </c>
      <c r="M24">
        <f>'Flujos Planta Final'!DL85</f>
        <v>0</v>
      </c>
      <c r="N24">
        <f>'Flujos Planta Final'!DM85</f>
        <v>0</v>
      </c>
      <c r="O24">
        <f>'Flujos Planta Final'!DN85</f>
        <v>0</v>
      </c>
      <c r="P24">
        <f>'Flujos Planta Final'!DO85</f>
        <v>0</v>
      </c>
      <c r="Q24">
        <f>'Flujos Planta Final'!DP85</f>
        <v>0</v>
      </c>
      <c r="R24">
        <f>'Flujos Planta Final'!DQ85</f>
        <v>0</v>
      </c>
      <c r="S24">
        <f>'Flujos Planta Final'!DR85</f>
        <v>0</v>
      </c>
      <c r="T24">
        <f>'Flujos Planta Final'!DS85</f>
        <v>23.248000000000001</v>
      </c>
      <c r="U24">
        <f>'Flujos Planta Final'!DT85</f>
        <v>0</v>
      </c>
      <c r="V24">
        <f>'Flujos Planta Final'!DU85</f>
        <v>0</v>
      </c>
      <c r="W24">
        <f>'Flujos Planta Final'!DV85</f>
        <v>0</v>
      </c>
      <c r="X24">
        <f>'Flujos Planta Final'!DW85</f>
        <v>0</v>
      </c>
      <c r="Y24">
        <f>'Flujos Planta Final'!DX85</f>
        <v>0</v>
      </c>
      <c r="Z24">
        <f>'Flujos Planta Final'!DY85</f>
        <v>0</v>
      </c>
      <c r="AA24">
        <f>'Flujos Planta Final'!DZ85</f>
        <v>0</v>
      </c>
      <c r="AB24">
        <f>'Flujos Planta Final'!EA85</f>
        <v>0</v>
      </c>
    </row>
    <row r="25" spans="1:28" x14ac:dyDescent="0.25">
      <c r="A25" t="str">
        <f>'Flujos Planta Final'!CZ86</f>
        <v>Desechos</v>
      </c>
      <c r="B25">
        <f>'Flujos Planta Final'!DA86</f>
        <v>0</v>
      </c>
      <c r="C25">
        <f>'Flujos Planta Final'!DB86</f>
        <v>0</v>
      </c>
      <c r="D25">
        <f>'Flujos Planta Final'!DC86</f>
        <v>0</v>
      </c>
      <c r="E25">
        <f>'Flujos Planta Final'!DD86</f>
        <v>0</v>
      </c>
      <c r="F25">
        <f>'Flujos Planta Final'!DE86</f>
        <v>0</v>
      </c>
      <c r="G25">
        <f>'Flujos Planta Final'!DF86</f>
        <v>0</v>
      </c>
      <c r="H25">
        <f>'Flujos Planta Final'!DG86</f>
        <v>0</v>
      </c>
      <c r="I25">
        <f>'Flujos Planta Final'!DH86</f>
        <v>0</v>
      </c>
      <c r="J25">
        <f>'Flujos Planta Final'!DI86</f>
        <v>0</v>
      </c>
      <c r="K25">
        <f>'Flujos Planta Final'!DJ86</f>
        <v>0</v>
      </c>
      <c r="L25">
        <f>'Flujos Planta Final'!DK86</f>
        <v>0</v>
      </c>
      <c r="M25">
        <f>'Flujos Planta Final'!DL86</f>
        <v>0</v>
      </c>
      <c r="N25">
        <f>'Flujos Planta Final'!DM86</f>
        <v>0</v>
      </c>
      <c r="O25">
        <f>'Flujos Planta Final'!DN86</f>
        <v>0</v>
      </c>
      <c r="P25">
        <f>'Flujos Planta Final'!DO86</f>
        <v>0</v>
      </c>
      <c r="Q25">
        <f>'Flujos Planta Final'!DP86</f>
        <v>0</v>
      </c>
      <c r="R25">
        <f>'Flujos Planta Final'!DQ86</f>
        <v>0</v>
      </c>
      <c r="S25">
        <f>'Flujos Planta Final'!DR86</f>
        <v>0</v>
      </c>
      <c r="T25">
        <f>'Flujos Planta Final'!DS86</f>
        <v>0</v>
      </c>
      <c r="U25">
        <f>'Flujos Planta Final'!DT86</f>
        <v>0</v>
      </c>
      <c r="V25">
        <f>'Flujos Planta Final'!DU86</f>
        <v>0</v>
      </c>
      <c r="W25">
        <f>'Flujos Planta Final'!DV86</f>
        <v>0</v>
      </c>
      <c r="X25">
        <f>'Flujos Planta Final'!DW86</f>
        <v>0</v>
      </c>
      <c r="Y25">
        <f>'Flujos Planta Final'!DX86</f>
        <v>0</v>
      </c>
      <c r="Z25">
        <f>'Flujos Planta Final'!DY86</f>
        <v>0</v>
      </c>
      <c r="AA25">
        <f>'Flujos Planta Final'!DZ86</f>
        <v>0</v>
      </c>
      <c r="AB25">
        <f>'Flujos Planta Final'!EA86</f>
        <v>0</v>
      </c>
    </row>
    <row r="26" spans="1:28" x14ac:dyDescent="0.25">
      <c r="A26" t="str">
        <f>'Flujos Planta Final'!CZ87</f>
        <v>Almacen PT</v>
      </c>
      <c r="B26">
        <f>'Flujos Planta Final'!DA87</f>
        <v>0</v>
      </c>
      <c r="C26">
        <f>'Flujos Planta Final'!DB87</f>
        <v>0</v>
      </c>
      <c r="D26">
        <f>'Flujos Planta Final'!DC87</f>
        <v>0</v>
      </c>
      <c r="E26">
        <f>'Flujos Planta Final'!DD87</f>
        <v>0</v>
      </c>
      <c r="F26">
        <f>'Flujos Planta Final'!DE87</f>
        <v>0</v>
      </c>
      <c r="G26">
        <f>'Flujos Planta Final'!DF87</f>
        <v>0</v>
      </c>
      <c r="H26">
        <f>'Flujos Planta Final'!DG87</f>
        <v>0</v>
      </c>
      <c r="I26">
        <f>'Flujos Planta Final'!DH87</f>
        <v>0</v>
      </c>
      <c r="J26">
        <f>'Flujos Planta Final'!DI87</f>
        <v>0</v>
      </c>
      <c r="K26">
        <f>'Flujos Planta Final'!DJ87</f>
        <v>0</v>
      </c>
      <c r="L26">
        <f>'Flujos Planta Final'!DK87</f>
        <v>0</v>
      </c>
      <c r="M26">
        <f>'Flujos Planta Final'!DL87</f>
        <v>0</v>
      </c>
      <c r="N26">
        <f>'Flujos Planta Final'!DM87</f>
        <v>0</v>
      </c>
      <c r="O26">
        <f>'Flujos Planta Final'!DN87</f>
        <v>0</v>
      </c>
      <c r="P26">
        <f>'Flujos Planta Final'!DO87</f>
        <v>0</v>
      </c>
      <c r="Q26">
        <f>'Flujos Planta Final'!DP87</f>
        <v>0</v>
      </c>
      <c r="R26">
        <f>'Flujos Planta Final'!DQ87</f>
        <v>0</v>
      </c>
      <c r="S26">
        <f>'Flujos Planta Final'!DR87</f>
        <v>0</v>
      </c>
      <c r="T26">
        <f>'Flujos Planta Final'!DS87</f>
        <v>0</v>
      </c>
      <c r="U26">
        <f>'Flujos Planta Final'!DT87</f>
        <v>0</v>
      </c>
      <c r="V26">
        <f>'Flujos Planta Final'!DU87</f>
        <v>0</v>
      </c>
      <c r="W26">
        <f>'Flujos Planta Final'!DV87</f>
        <v>0</v>
      </c>
      <c r="X26">
        <f>'Flujos Planta Final'!DW87</f>
        <v>0</v>
      </c>
      <c r="Y26">
        <f>'Flujos Planta Final'!DX87</f>
        <v>0</v>
      </c>
      <c r="Z26">
        <f>'Flujos Planta Final'!DY87</f>
        <v>0</v>
      </c>
      <c r="AA26">
        <f>'Flujos Planta Final'!DZ87</f>
        <v>0</v>
      </c>
      <c r="AB26">
        <f>'Flujos Planta Final'!EA87</f>
        <v>0</v>
      </c>
    </row>
    <row r="27" spans="1:28" x14ac:dyDescent="0.25">
      <c r="A27" t="str">
        <f>'Flujos Planta Final'!CZ88</f>
        <v>Almacen insumos/mp</v>
      </c>
      <c r="B27">
        <f>'Flujos Planta Final'!DA88</f>
        <v>0</v>
      </c>
      <c r="C27">
        <f>'Flujos Planta Final'!DB88</f>
        <v>7.3774044648000012E-2</v>
      </c>
      <c r="D27">
        <f>'Flujos Planta Final'!DC88</f>
        <v>25.161857218530983</v>
      </c>
      <c r="E27">
        <f>'Flujos Planta Final'!DD88</f>
        <v>712.15070850000006</v>
      </c>
      <c r="F27">
        <f>'Flujos Planta Final'!DE88</f>
        <v>80.249645000000015</v>
      </c>
      <c r="G27">
        <f>'Flujos Planta Final'!DF88</f>
        <v>4638.5555276987398</v>
      </c>
      <c r="H27">
        <f>'Flujos Planta Final'!DG88</f>
        <v>0</v>
      </c>
      <c r="I27">
        <f>'Flujos Planta Final'!DH88</f>
        <v>0</v>
      </c>
      <c r="J27">
        <f>'Flujos Planta Final'!DI88</f>
        <v>0</v>
      </c>
      <c r="K27">
        <f>'Flujos Planta Final'!DJ88</f>
        <v>997.80205329050386</v>
      </c>
      <c r="L27">
        <f>'Flujos Planta Final'!DK88</f>
        <v>0</v>
      </c>
      <c r="M27">
        <f>'Flujos Planta Final'!DL88</f>
        <v>0</v>
      </c>
      <c r="N27">
        <f>'Flujos Planta Final'!DM88</f>
        <v>8075.7006915000002</v>
      </c>
      <c r="O27">
        <f>'Flujos Planta Final'!DN88</f>
        <v>0</v>
      </c>
      <c r="P27">
        <f>'Flujos Planta Final'!DO88</f>
        <v>0</v>
      </c>
      <c r="Q27">
        <f>'Flujos Planta Final'!DP88</f>
        <v>0</v>
      </c>
      <c r="R27">
        <f>'Flujos Planta Final'!DQ88</f>
        <v>0</v>
      </c>
      <c r="S27">
        <f>'Flujos Planta Final'!DR88</f>
        <v>0</v>
      </c>
      <c r="T27">
        <f>'Flujos Planta Final'!DS88</f>
        <v>12527.403717613415</v>
      </c>
      <c r="U27">
        <f>'Flujos Planta Final'!DT88</f>
        <v>0</v>
      </c>
      <c r="V27">
        <f>'Flujos Planta Final'!DU88</f>
        <v>0</v>
      </c>
      <c r="W27">
        <f>'Flujos Planta Final'!DV88</f>
        <v>3.3845358400000003</v>
      </c>
      <c r="X27">
        <f>'Flujos Planta Final'!DW88</f>
        <v>0</v>
      </c>
      <c r="Y27">
        <f>'Flujos Planta Final'!DX88</f>
        <v>0</v>
      </c>
      <c r="Z27">
        <f>'Flujos Planta Final'!DY88</f>
        <v>0</v>
      </c>
      <c r="AA27">
        <f>'Flujos Planta Final'!DZ88</f>
        <v>0</v>
      </c>
      <c r="AB27">
        <f>'Flujos Planta Final'!EA88</f>
        <v>0</v>
      </c>
    </row>
    <row r="28" spans="1:28" x14ac:dyDescent="0.25">
      <c r="A28" t="str">
        <f>'Flujos Planta Final'!CZ89</f>
        <v>Almacen reproceso</v>
      </c>
      <c r="B28">
        <f>'Flujos Planta Final'!DA89</f>
        <v>0</v>
      </c>
      <c r="C28">
        <f>'Flujos Planta Final'!DB89</f>
        <v>0</v>
      </c>
      <c r="D28">
        <f>'Flujos Planta Final'!DC89</f>
        <v>0</v>
      </c>
      <c r="E28">
        <f>'Flujos Planta Final'!DD89</f>
        <v>13.200000000000001</v>
      </c>
      <c r="F28">
        <f>'Flujos Planta Final'!DE89</f>
        <v>0</v>
      </c>
      <c r="G28">
        <f>'Flujos Planta Final'!DF89</f>
        <v>0</v>
      </c>
      <c r="H28">
        <f>'Flujos Planta Final'!DG89</f>
        <v>0</v>
      </c>
      <c r="I28">
        <f>'Flujos Planta Final'!DH89</f>
        <v>0</v>
      </c>
      <c r="J28">
        <f>'Flujos Planta Final'!DI89</f>
        <v>0</v>
      </c>
      <c r="K28">
        <f>'Flujos Planta Final'!DJ89</f>
        <v>0</v>
      </c>
      <c r="L28">
        <f>'Flujos Planta Final'!DK89</f>
        <v>0</v>
      </c>
      <c r="M28">
        <f>'Flujos Planta Final'!DL89</f>
        <v>0</v>
      </c>
      <c r="N28">
        <f>'Flujos Planta Final'!DM89</f>
        <v>0</v>
      </c>
      <c r="O28">
        <f>'Flujos Planta Final'!DN89</f>
        <v>0</v>
      </c>
      <c r="P28">
        <f>'Flujos Planta Final'!DO89</f>
        <v>0</v>
      </c>
      <c r="Q28">
        <f>'Flujos Planta Final'!DP89</f>
        <v>0</v>
      </c>
      <c r="R28">
        <f>'Flujos Planta Final'!DQ89</f>
        <v>0</v>
      </c>
      <c r="S28">
        <f>'Flujos Planta Final'!DR89</f>
        <v>0</v>
      </c>
      <c r="T28">
        <f>'Flujos Planta Final'!DS89</f>
        <v>0</v>
      </c>
      <c r="U28">
        <f>'Flujos Planta Final'!DT89</f>
        <v>0</v>
      </c>
      <c r="V28">
        <f>'Flujos Planta Final'!DU89</f>
        <v>0</v>
      </c>
      <c r="W28">
        <f>'Flujos Planta Final'!DV89</f>
        <v>0</v>
      </c>
      <c r="X28">
        <f>'Flujos Planta Final'!DW89</f>
        <v>29.598355000000002</v>
      </c>
      <c r="Y28">
        <f>'Flujos Planta Final'!DX89</f>
        <v>0</v>
      </c>
      <c r="Z28">
        <f>'Flujos Planta Final'!DY89</f>
        <v>0</v>
      </c>
      <c r="AA28">
        <f>'Flujos Planta Final'!DZ89</f>
        <v>0</v>
      </c>
      <c r="AB28">
        <f>'Flujos Planta Final'!EA89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DZ809"/>
  <sheetViews>
    <sheetView topLeftCell="CI15" zoomScale="51" zoomScaleNormal="51" workbookViewId="0">
      <selection activeCell="DZ17" sqref="DZ17"/>
    </sheetView>
  </sheetViews>
  <sheetFormatPr baseColWidth="10" defaultRowHeight="15" x14ac:dyDescent="0.25"/>
  <cols>
    <col min="31" max="31" width="21.5703125" customWidth="1"/>
    <col min="38" max="38" width="17.85546875" customWidth="1"/>
    <col min="43" max="43" width="19.28515625" customWidth="1"/>
    <col min="45" max="45" width="17.85546875" customWidth="1"/>
    <col min="52" max="52" width="19.7109375" customWidth="1"/>
    <col min="58" max="58" width="15.42578125" customWidth="1"/>
    <col min="59" max="59" width="18.7109375" customWidth="1"/>
    <col min="60" max="60" width="22.140625" customWidth="1"/>
    <col min="61" max="61" width="24" customWidth="1"/>
    <col min="62" max="62" width="22" customWidth="1"/>
    <col min="63" max="63" width="23.140625" customWidth="1"/>
    <col min="64" max="64" width="26.42578125" customWidth="1"/>
    <col min="65" max="65" width="16" customWidth="1"/>
    <col min="66" max="66" width="20.42578125" customWidth="1"/>
    <col min="67" max="67" width="12.85546875" customWidth="1"/>
    <col min="68" max="68" width="14.28515625" customWidth="1"/>
    <col min="69" max="69" width="20.28515625" customWidth="1"/>
    <col min="71" max="71" width="21.42578125" customWidth="1"/>
    <col min="72" max="72" width="30" customWidth="1"/>
    <col min="73" max="73" width="20.42578125" customWidth="1"/>
    <col min="74" max="74" width="27" customWidth="1"/>
    <col min="75" max="75" width="25.85546875" customWidth="1"/>
    <col min="76" max="76" width="32.85546875" customWidth="1"/>
    <col min="77" max="77" width="20.5703125" customWidth="1"/>
    <col min="78" max="78" width="34.140625" customWidth="1"/>
    <col min="79" max="79" width="21.7109375" customWidth="1"/>
    <col min="80" max="80" width="38.7109375" customWidth="1"/>
    <col min="81" max="81" width="35.42578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9.42578125" customWidth="1"/>
    <col min="88" max="88" width="23.85546875" customWidth="1"/>
    <col min="89" max="89" width="31.42578125" customWidth="1"/>
    <col min="90" max="90" width="31.7109375" customWidth="1"/>
    <col min="91" max="91" width="20.140625" customWidth="1"/>
    <col min="93" max="93" width="13.5703125" customWidth="1"/>
    <col min="104" max="104" width="31.85546875" customWidth="1"/>
    <col min="107" max="107" width="32.42578125" customWidth="1"/>
    <col min="108" max="108" width="18.42578125" customWidth="1"/>
    <col min="109" max="109" width="20" customWidth="1"/>
    <col min="110" max="110" width="22.5703125" customWidth="1"/>
    <col min="111" max="111" width="15.140625" customWidth="1"/>
    <col min="113" max="113" width="20.140625" customWidth="1"/>
    <col min="114" max="114" width="21.140625" customWidth="1"/>
    <col min="116" max="116" width="16.28515625" customWidth="1"/>
    <col min="118" max="118" width="16.42578125" customWidth="1"/>
    <col min="119" max="119" width="20.5703125" customWidth="1"/>
    <col min="120" max="120" width="18.140625" customWidth="1"/>
    <col min="121" max="121" width="14" customWidth="1"/>
    <col min="124" max="124" width="22.140625" customWidth="1"/>
    <col min="125" max="125" width="19.85546875" customWidth="1"/>
    <col min="126" max="126" width="13.7109375" customWidth="1"/>
    <col min="130" max="130" width="14" customWidth="1"/>
  </cols>
  <sheetData>
    <row r="1" spans="89:130" x14ac:dyDescent="0.25">
      <c r="CK1" s="219"/>
      <c r="CL1" s="219"/>
      <c r="CM1" s="219"/>
      <c r="CN1" s="219"/>
      <c r="DQ1" t="s">
        <v>181</v>
      </c>
    </row>
    <row r="2" spans="89:130" x14ac:dyDescent="0.25">
      <c r="CK2" s="219"/>
      <c r="CL2" s="219"/>
      <c r="CM2" s="219"/>
      <c r="CN2" s="219"/>
      <c r="DQ2" t="s">
        <v>181</v>
      </c>
    </row>
    <row r="3" spans="89:130" x14ac:dyDescent="0.25">
      <c r="CK3" s="219"/>
      <c r="CL3" s="219"/>
      <c r="CM3" s="219"/>
      <c r="CN3" s="219"/>
      <c r="CZ3" t="s">
        <v>37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Q3" t="s">
        <v>181</v>
      </c>
    </row>
    <row r="4" spans="89:130" x14ac:dyDescent="0.25">
      <c r="CK4" s="219"/>
      <c r="CL4" s="219"/>
      <c r="CM4" s="219"/>
      <c r="CN4" s="219"/>
      <c r="CZ4" t="s">
        <v>123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Q4" t="s">
        <v>172</v>
      </c>
    </row>
    <row r="5" spans="89:130" x14ac:dyDescent="0.25">
      <c r="CK5" s="219"/>
      <c r="CL5" s="219"/>
      <c r="CM5" s="219"/>
      <c r="CN5" s="219"/>
      <c r="CZ5" t="s">
        <v>150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Q5" t="s">
        <v>172</v>
      </c>
    </row>
    <row r="6" spans="89:130" x14ac:dyDescent="0.25">
      <c r="CK6" s="219"/>
      <c r="CL6" s="219"/>
      <c r="CM6" s="219"/>
      <c r="CN6" s="219"/>
      <c r="CZ6" t="s">
        <v>172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Q6" t="s">
        <v>172</v>
      </c>
    </row>
    <row r="7" spans="89:130" x14ac:dyDescent="0.25">
      <c r="CK7" s="219"/>
      <c r="CL7" s="219"/>
      <c r="CM7" s="219"/>
      <c r="CN7" s="219"/>
      <c r="CZ7" t="s">
        <v>240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 t="s">
        <v>172</v>
      </c>
    </row>
    <row r="8" spans="89:130" x14ac:dyDescent="0.25">
      <c r="CK8" s="219"/>
      <c r="CL8" s="219"/>
      <c r="CM8" s="219"/>
      <c r="CN8" s="219"/>
      <c r="CZ8" t="s">
        <v>181</v>
      </c>
      <c r="DA8">
        <v>1</v>
      </c>
      <c r="DB8">
        <v>1</v>
      </c>
      <c r="DC8">
        <v>1</v>
      </c>
      <c r="DD8">
        <v>1</v>
      </c>
      <c r="DQ8" t="s">
        <v>172</v>
      </c>
    </row>
    <row r="9" spans="89:130" x14ac:dyDescent="0.25">
      <c r="CK9" s="219"/>
      <c r="CL9" s="219"/>
      <c r="CM9" s="219"/>
      <c r="CN9" s="219"/>
      <c r="DC9" t="s">
        <v>123</v>
      </c>
      <c r="DQ9" t="s">
        <v>172</v>
      </c>
      <c r="DZ9" t="s">
        <v>181</v>
      </c>
    </row>
    <row r="10" spans="89:130" x14ac:dyDescent="0.25">
      <c r="CK10" s="219"/>
      <c r="CL10" s="219"/>
      <c r="CM10" s="219"/>
      <c r="CN10" s="219"/>
      <c r="DC10" t="s">
        <v>123</v>
      </c>
      <c r="DQ10" t="s">
        <v>172</v>
      </c>
      <c r="DW10" t="s">
        <v>181</v>
      </c>
      <c r="DZ10" t="s">
        <v>240</v>
      </c>
    </row>
    <row r="11" spans="89:130" x14ac:dyDescent="0.25">
      <c r="CK11" s="219"/>
      <c r="CL11" s="219"/>
      <c r="CM11" s="219"/>
      <c r="CN11" s="219"/>
      <c r="DA11" t="s">
        <v>123</v>
      </c>
      <c r="DC11" t="s">
        <v>123</v>
      </c>
      <c r="DQ11" t="s">
        <v>172</v>
      </c>
      <c r="DW11" t="s">
        <v>172</v>
      </c>
      <c r="DZ11" t="s">
        <v>172</v>
      </c>
    </row>
    <row r="12" spans="89:130" x14ac:dyDescent="0.25">
      <c r="CK12" s="219"/>
      <c r="CL12" s="219"/>
      <c r="CM12" s="219"/>
      <c r="CN12" s="219"/>
      <c r="DA12" t="s">
        <v>123</v>
      </c>
      <c r="DC12" t="s">
        <v>37</v>
      </c>
      <c r="DQ12" t="s">
        <v>150</v>
      </c>
      <c r="DW12" t="s">
        <v>150</v>
      </c>
      <c r="DZ12" t="s">
        <v>150</v>
      </c>
    </row>
    <row r="13" spans="89:130" x14ac:dyDescent="0.25">
      <c r="CK13" s="219"/>
      <c r="CL13" s="219"/>
      <c r="CM13" s="219"/>
      <c r="CN13" s="219"/>
      <c r="DA13" t="s">
        <v>37</v>
      </c>
      <c r="DC13" t="s">
        <v>37</v>
      </c>
      <c r="DD13" t="s">
        <v>240</v>
      </c>
      <c r="DH13" t="s">
        <v>240</v>
      </c>
      <c r="DJ13" t="s">
        <v>240</v>
      </c>
      <c r="DQ13" t="s">
        <v>150</v>
      </c>
      <c r="DR13" t="s">
        <v>240</v>
      </c>
      <c r="DS13" t="s">
        <v>240</v>
      </c>
      <c r="DV13" t="s">
        <v>240</v>
      </c>
      <c r="DW13" t="s">
        <v>123</v>
      </c>
      <c r="DZ13" t="s">
        <v>123</v>
      </c>
    </row>
    <row r="14" spans="89:130" x14ac:dyDescent="0.25">
      <c r="CK14" s="219"/>
      <c r="CL14" s="219"/>
      <c r="CM14" s="219"/>
      <c r="CN14" s="219"/>
      <c r="DA14" t="s">
        <v>37</v>
      </c>
      <c r="DC14" t="s">
        <v>37</v>
      </c>
      <c r="DD14" t="s">
        <v>37</v>
      </c>
      <c r="DG14" t="s">
        <v>240</v>
      </c>
      <c r="DH14" t="s">
        <v>240</v>
      </c>
      <c r="DJ14" t="s">
        <v>240</v>
      </c>
      <c r="DQ14" t="s">
        <v>150</v>
      </c>
      <c r="DR14" t="s">
        <v>240</v>
      </c>
      <c r="DS14" t="s">
        <v>37</v>
      </c>
      <c r="DU14" t="s">
        <v>150</v>
      </c>
      <c r="DV14" t="s">
        <v>37</v>
      </c>
      <c r="DW14" t="s">
        <v>37</v>
      </c>
      <c r="DZ14" t="s">
        <v>37</v>
      </c>
    </row>
    <row r="15" spans="89:130" x14ac:dyDescent="0.25">
      <c r="CK15" s="255"/>
      <c r="CL15" s="255"/>
      <c r="CM15" s="255"/>
      <c r="CN15" s="255"/>
      <c r="CO15" s="10"/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G15" t="s">
        <v>37</v>
      </c>
      <c r="DH15" t="s">
        <v>37</v>
      </c>
      <c r="DI15" t="s">
        <v>240</v>
      </c>
      <c r="DJ15" t="s">
        <v>172</v>
      </c>
      <c r="DL15" t="s">
        <v>240</v>
      </c>
      <c r="DQ15" t="s">
        <v>150</v>
      </c>
      <c r="DR15" t="s">
        <v>37</v>
      </c>
      <c r="DT15" t="s">
        <v>88</v>
      </c>
      <c r="DU15" t="s">
        <v>88</v>
      </c>
      <c r="DV15" t="s">
        <v>88</v>
      </c>
      <c r="DW15" t="s">
        <v>88</v>
      </c>
      <c r="DX15" t="s">
        <v>88</v>
      </c>
      <c r="DY15" t="s">
        <v>88</v>
      </c>
      <c r="DZ15" t="s">
        <v>88</v>
      </c>
    </row>
    <row r="16" spans="89:130" ht="36" x14ac:dyDescent="0.55000000000000004">
      <c r="CK16" s="255"/>
      <c r="CL16" s="255"/>
      <c r="CM16" s="255"/>
      <c r="CN16" s="255"/>
      <c r="CO16" s="10"/>
      <c r="DA16" s="183" t="s">
        <v>224</v>
      </c>
      <c r="DK16" t="s">
        <v>240</v>
      </c>
      <c r="DL16" t="s">
        <v>240</v>
      </c>
      <c r="DM16" t="s">
        <v>240</v>
      </c>
    </row>
    <row r="17" spans="89:130" x14ac:dyDescent="0.25">
      <c r="CK17" s="255"/>
      <c r="CL17" s="255"/>
      <c r="CM17" s="255"/>
      <c r="CN17" s="255"/>
      <c r="CO17" s="10"/>
      <c r="CY17" s="189"/>
      <c r="CZ17" s="190" t="s">
        <v>227</v>
      </c>
      <c r="DA17" s="191">
        <f>CJ55</f>
        <v>0</v>
      </c>
      <c r="DB17" s="191" t="str">
        <f>CZ19</f>
        <v>Sellado</v>
      </c>
      <c r="DC17" s="191">
        <f>CZ20</f>
        <v>0</v>
      </c>
      <c r="DD17" s="191">
        <f>CZ21</f>
        <v>0</v>
      </c>
      <c r="DE17" s="191" t="str">
        <f>CZ22</f>
        <v>Rellenado - Pesado</v>
      </c>
      <c r="DF17" s="191">
        <f>CZ23</f>
        <v>0</v>
      </c>
      <c r="DG17" t="str">
        <f>CZ24</f>
        <v>Pesado MP</v>
      </c>
      <c r="DH17" t="str">
        <f>CZ25</f>
        <v>Compresor</v>
      </c>
      <c r="DI17" t="str">
        <f>CZ26</f>
        <v>Corte</v>
      </c>
      <c r="DJ17" t="str">
        <f>CZ27</f>
        <v>Curado-Almacen</v>
      </c>
      <c r="DK17" t="str">
        <f>CZ28</f>
        <v>Acolchado</v>
      </c>
      <c r="DL17" t="str">
        <f>CZ29</f>
        <v>Corte espuma continua</v>
      </c>
      <c r="DM17" t="str">
        <f>CZ30</f>
        <v>Perforación cilindro</v>
      </c>
      <c r="DQ17" t="str">
        <f>CZ34</f>
        <v>Cerrado-confección-tapizado</v>
      </c>
      <c r="DR17" s="191" t="str">
        <f>CZ35</f>
        <v>Moldeo</v>
      </c>
      <c r="DS17" s="191" t="str">
        <f>CZ36</f>
        <v>Mezclado</v>
      </c>
      <c r="DT17" s="191">
        <f>CZ37</f>
        <v>0</v>
      </c>
      <c r="DU17" s="191" t="str">
        <f>CZ38</f>
        <v>Triturado-Corte manual</v>
      </c>
      <c r="DV17" s="191" t="str">
        <f>CZ39</f>
        <v>Desechos</v>
      </c>
      <c r="DW17" s="290" t="str">
        <f>CZ40</f>
        <v>Almacen PT</v>
      </c>
      <c r="DX17" s="191" t="str">
        <f>CZ41</f>
        <v>Almacen insumos/mp</v>
      </c>
      <c r="DY17" s="191"/>
      <c r="DZ17" s="192" t="str">
        <f>CZ42</f>
        <v>Almacen reproceso</v>
      </c>
    </row>
    <row r="18" spans="89:130" x14ac:dyDescent="0.25">
      <c r="CK18" s="255"/>
      <c r="CL18" s="255"/>
      <c r="CM18" s="255"/>
      <c r="CN18" s="255"/>
      <c r="CO18" s="10"/>
      <c r="CW18" t="s">
        <v>123</v>
      </c>
      <c r="CX18" t="s">
        <v>37</v>
      </c>
      <c r="CY18" s="193" t="s">
        <v>88</v>
      </c>
      <c r="CZ18" s="10">
        <f>CJ55</f>
        <v>0</v>
      </c>
      <c r="DA18" s="10"/>
      <c r="DB18" s="10"/>
      <c r="DC18" s="10"/>
      <c r="DD18" s="10"/>
      <c r="DE18" s="10"/>
      <c r="DF18" s="10"/>
      <c r="DR18" s="10"/>
      <c r="DS18" s="10"/>
      <c r="DT18" s="10"/>
      <c r="DU18" s="10"/>
      <c r="DV18" s="10"/>
      <c r="DW18" s="10"/>
      <c r="DX18" s="10"/>
      <c r="DY18" s="10"/>
      <c r="DZ18" s="194"/>
    </row>
    <row r="19" spans="89:130" x14ac:dyDescent="0.25">
      <c r="CK19" s="255"/>
      <c r="CL19" s="255"/>
      <c r="CM19" s="255"/>
      <c r="CN19" s="255"/>
      <c r="CO19" s="10"/>
      <c r="CV19" t="s">
        <v>242</v>
      </c>
      <c r="CY19" s="193" t="s">
        <v>88</v>
      </c>
      <c r="CZ19" s="10" t="s">
        <v>29</v>
      </c>
      <c r="DA19" s="10"/>
      <c r="DB19" s="10"/>
      <c r="DC19" s="10"/>
      <c r="DD19" s="10"/>
      <c r="DE19" s="10"/>
      <c r="DF19" s="10"/>
      <c r="DR19" s="10"/>
      <c r="DS19" s="10"/>
      <c r="DT19" s="10"/>
      <c r="DU19" s="10"/>
      <c r="DV19" s="10"/>
      <c r="DW19" s="10"/>
      <c r="DX19" s="10"/>
      <c r="DY19" s="10"/>
      <c r="DZ19" s="194"/>
    </row>
    <row r="20" spans="89:130" x14ac:dyDescent="0.25">
      <c r="CK20" s="255"/>
      <c r="CL20" s="255"/>
      <c r="CM20" s="255"/>
      <c r="CN20" s="255"/>
      <c r="CO20" s="10"/>
      <c r="CV20" t="s">
        <v>123</v>
      </c>
      <c r="CW20" t="s">
        <v>37</v>
      </c>
      <c r="CX20" t="s">
        <v>37</v>
      </c>
      <c r="CY20" s="193" t="s">
        <v>88</v>
      </c>
      <c r="CZ20" s="10">
        <f>CC42</f>
        <v>0</v>
      </c>
      <c r="DA20" s="10"/>
      <c r="DB20" s="10"/>
      <c r="DC20" s="10"/>
      <c r="DD20" s="10"/>
      <c r="DE20" s="10"/>
      <c r="DF20" s="10"/>
      <c r="DR20" s="10"/>
      <c r="DS20" s="10"/>
      <c r="DT20" s="10"/>
      <c r="DU20" s="10"/>
      <c r="DV20" s="222"/>
      <c r="DW20" s="10"/>
      <c r="DX20" s="10"/>
      <c r="DY20" s="10"/>
      <c r="DZ20" s="207"/>
    </row>
    <row r="21" spans="89:130" x14ac:dyDescent="0.25">
      <c r="CK21" s="255"/>
      <c r="CL21" s="255"/>
      <c r="CM21" s="255"/>
      <c r="CN21" s="255"/>
      <c r="CO21" s="10" t="s">
        <v>181</v>
      </c>
      <c r="CP21" t="s">
        <v>181</v>
      </c>
      <c r="CQ21" t="s">
        <v>172</v>
      </c>
      <c r="CR21" t="s">
        <v>172</v>
      </c>
      <c r="CS21" t="s">
        <v>150</v>
      </c>
      <c r="CT21" t="s">
        <v>150</v>
      </c>
      <c r="CU21" t="s">
        <v>123</v>
      </c>
      <c r="CV21" t="s">
        <v>123</v>
      </c>
      <c r="CW21" t="s">
        <v>37</v>
      </c>
      <c r="CX21" t="s">
        <v>37</v>
      </c>
      <c r="CY21" s="193" t="s">
        <v>88</v>
      </c>
      <c r="CZ21" s="10">
        <f>BX35</f>
        <v>0</v>
      </c>
      <c r="DA21" s="10"/>
      <c r="DB21" s="10"/>
      <c r="DC21" s="10"/>
      <c r="DD21" s="10"/>
      <c r="DE21" s="10"/>
      <c r="DF21" s="10"/>
      <c r="DR21" s="10"/>
      <c r="DS21" s="10"/>
      <c r="DT21" s="10"/>
      <c r="DU21" s="10"/>
      <c r="DV21" s="52"/>
      <c r="DW21" s="10"/>
      <c r="DX21" s="10"/>
      <c r="DY21" s="10"/>
      <c r="DZ21" s="207"/>
    </row>
    <row r="22" spans="89:130" x14ac:dyDescent="0.25">
      <c r="CK22" s="255"/>
      <c r="CL22" s="255"/>
      <c r="CM22" s="255"/>
      <c r="CN22" s="255"/>
      <c r="CO22" s="10"/>
      <c r="CY22" s="193" t="s">
        <v>88</v>
      </c>
      <c r="CZ22" s="10" t="s">
        <v>229</v>
      </c>
      <c r="DA22" s="10"/>
      <c r="DB22" s="10"/>
      <c r="DC22" s="10"/>
      <c r="DD22" s="10"/>
      <c r="DE22" s="10"/>
      <c r="DF22" s="10"/>
      <c r="DR22" s="10"/>
      <c r="DS22" s="10"/>
      <c r="DT22" s="10"/>
      <c r="DU22" s="10"/>
      <c r="DV22" s="10"/>
      <c r="DW22" s="10"/>
      <c r="DX22" s="10"/>
      <c r="DY22" s="10"/>
      <c r="DZ22" s="194"/>
    </row>
    <row r="23" spans="89:130" x14ac:dyDescent="0.25">
      <c r="CK23" s="255"/>
      <c r="CL23" s="255"/>
      <c r="CM23" s="255"/>
      <c r="CN23" s="255"/>
      <c r="CO23" s="10"/>
      <c r="CY23" s="193" t="s">
        <v>88</v>
      </c>
      <c r="CZ23" s="10">
        <f>BK52</f>
        <v>0</v>
      </c>
      <c r="DA23" s="10"/>
      <c r="DB23" s="10"/>
      <c r="DC23" s="10"/>
      <c r="DD23" s="10"/>
      <c r="DE23" s="10"/>
      <c r="DF23" s="10"/>
      <c r="DR23" s="10"/>
      <c r="DS23" s="10"/>
      <c r="DT23" s="10"/>
      <c r="DU23" s="10"/>
      <c r="DV23" s="10"/>
      <c r="DW23" s="10"/>
      <c r="DX23" s="10"/>
      <c r="DY23" s="10"/>
      <c r="DZ23" s="194"/>
    </row>
    <row r="24" spans="89:130" x14ac:dyDescent="0.25">
      <c r="CK24" s="255"/>
      <c r="CL24" s="255"/>
      <c r="CM24" s="255"/>
      <c r="CN24" s="255"/>
      <c r="CO24" s="10"/>
      <c r="CX24" t="s">
        <v>240</v>
      </c>
      <c r="CY24" s="203" t="s">
        <v>37</v>
      </c>
      <c r="CZ24" t="str">
        <f>BQ119</f>
        <v>Pesado MP</v>
      </c>
      <c r="DS24">
        <f>BQ121+BG357</f>
        <v>2663.4320458527554</v>
      </c>
    </row>
    <row r="25" spans="89:130" x14ac:dyDescent="0.25">
      <c r="CK25" s="255"/>
      <c r="CL25" s="255"/>
      <c r="CM25" s="255"/>
      <c r="CN25" s="255"/>
      <c r="CO25" s="10"/>
      <c r="CZ25" t="s">
        <v>235</v>
      </c>
    </row>
    <row r="26" spans="89:130" x14ac:dyDescent="0.25">
      <c r="CK26" s="255"/>
      <c r="CL26" s="255"/>
      <c r="CM26" s="255"/>
      <c r="CN26" s="255"/>
      <c r="CO26" s="10"/>
      <c r="CX26" t="s">
        <v>172</v>
      </c>
      <c r="CY26" t="s">
        <v>123</v>
      </c>
      <c r="CZ26" t="s">
        <v>142</v>
      </c>
      <c r="DW26" s="224">
        <f>CL178+CL234+CJ355+CI705</f>
        <v>2369.3759999999997</v>
      </c>
    </row>
    <row r="27" spans="89:130" x14ac:dyDescent="0.25">
      <c r="CK27" s="255"/>
      <c r="CL27" s="255"/>
      <c r="CM27" s="255"/>
      <c r="CN27" s="219"/>
      <c r="CX27" t="s">
        <v>240</v>
      </c>
      <c r="CY27" t="s">
        <v>240</v>
      </c>
      <c r="CZ27" t="s">
        <v>241</v>
      </c>
      <c r="DI27">
        <f>CB361</f>
        <v>2369.3760000000002</v>
      </c>
      <c r="DM27">
        <f>AZ328</f>
        <v>128.25237849999999</v>
      </c>
    </row>
    <row r="28" spans="89:130" x14ac:dyDescent="0.25">
      <c r="CK28" s="255"/>
      <c r="CL28" s="255"/>
      <c r="CM28" s="255"/>
      <c r="CN28" s="219"/>
      <c r="CX28" t="s">
        <v>240</v>
      </c>
      <c r="CY28" t="s">
        <v>240</v>
      </c>
      <c r="CZ28" t="s">
        <v>213</v>
      </c>
    </row>
    <row r="29" spans="89:130" x14ac:dyDescent="0.25">
      <c r="CK29" s="255"/>
      <c r="CL29" s="219"/>
      <c r="CM29" s="219"/>
      <c r="CN29" s="219"/>
      <c r="CX29" t="s">
        <v>240</v>
      </c>
      <c r="CY29" t="s">
        <v>240</v>
      </c>
      <c r="CZ29" t="s">
        <v>218</v>
      </c>
      <c r="DJ29" s="21">
        <f>AZ338</f>
        <v>18.996440343571606</v>
      </c>
      <c r="DW29">
        <f>BK334</f>
        <v>109.25593815642839</v>
      </c>
      <c r="DZ29" s="21"/>
    </row>
    <row r="30" spans="89:130" x14ac:dyDescent="0.25">
      <c r="CK30" s="255"/>
      <c r="CL30" s="219"/>
      <c r="CM30" s="219"/>
      <c r="CN30" s="219"/>
      <c r="CX30" t="s">
        <v>240</v>
      </c>
      <c r="CY30" t="s">
        <v>240</v>
      </c>
      <c r="CZ30" t="s">
        <v>222</v>
      </c>
      <c r="DL30">
        <f>BE336</f>
        <v>128.25237849999999</v>
      </c>
      <c r="DZ30" s="21"/>
    </row>
    <row r="31" spans="89:130" x14ac:dyDescent="0.25">
      <c r="CK31" s="255"/>
      <c r="CL31" s="219"/>
      <c r="CM31" s="219"/>
      <c r="CN31" s="219"/>
    </row>
    <row r="32" spans="89:130" x14ac:dyDescent="0.25">
      <c r="CK32" s="255"/>
      <c r="CL32" s="219"/>
      <c r="CM32" s="219"/>
      <c r="CN32" s="219"/>
    </row>
    <row r="33" spans="89:130" x14ac:dyDescent="0.25">
      <c r="CK33" s="255"/>
      <c r="CL33" s="255"/>
      <c r="CM33" s="255"/>
      <c r="CN33" s="219"/>
    </row>
    <row r="34" spans="89:130" x14ac:dyDescent="0.25">
      <c r="CK34" s="255"/>
      <c r="CL34" s="255"/>
      <c r="CM34" s="255"/>
      <c r="CN34" s="255"/>
      <c r="CO34" s="10"/>
      <c r="CW34" t="s">
        <v>181</v>
      </c>
      <c r="CX34" t="s">
        <v>172</v>
      </c>
      <c r="CY34" t="s">
        <v>150</v>
      </c>
      <c r="CZ34" t="s">
        <v>237</v>
      </c>
    </row>
    <row r="35" spans="89:130" x14ac:dyDescent="0.25">
      <c r="CK35" s="255"/>
      <c r="CL35" s="255"/>
      <c r="CM35" s="255"/>
      <c r="CN35" s="255"/>
      <c r="CO35" s="10"/>
      <c r="CT35" t="s">
        <v>240</v>
      </c>
      <c r="CU35" t="s">
        <v>240</v>
      </c>
      <c r="CV35" t="s">
        <v>240</v>
      </c>
      <c r="CW35" t="s">
        <v>172</v>
      </c>
      <c r="CX35" t="s">
        <v>37</v>
      </c>
      <c r="CY35" s="193" t="s">
        <v>37</v>
      </c>
      <c r="CZ35" s="10" t="str">
        <f>CC124</f>
        <v>Moldeo</v>
      </c>
      <c r="DA35" s="10"/>
      <c r="DB35" s="10"/>
      <c r="DC35" s="10"/>
      <c r="DD35" s="10"/>
      <c r="DE35" s="10"/>
      <c r="DF35" s="10"/>
      <c r="DH35">
        <f>CC121+BL356+AQ333</f>
        <v>182.23869762227585</v>
      </c>
      <c r="DJ35">
        <f>BL361+AQ338</f>
        <v>2502.3080922740796</v>
      </c>
      <c r="DR35" s="10"/>
      <c r="DS35" s="10"/>
      <c r="DT35" s="10"/>
      <c r="DU35" s="10"/>
      <c r="DV35" s="10"/>
      <c r="DW35" s="10">
        <f>CL117</f>
        <v>116.06399999999999</v>
      </c>
      <c r="DX35" s="10"/>
      <c r="DY35" s="10"/>
      <c r="DZ35" s="194"/>
    </row>
    <row r="36" spans="89:130" x14ac:dyDescent="0.25">
      <c r="CK36" s="255"/>
      <c r="CL36" s="255"/>
      <c r="CM36" s="255"/>
      <c r="CN36" s="255"/>
      <c r="CO36" s="10"/>
      <c r="CW36" t="s">
        <v>240</v>
      </c>
      <c r="CX36" t="s">
        <v>240</v>
      </c>
      <c r="CY36" s="205" t="s">
        <v>37</v>
      </c>
      <c r="CZ36" s="204" t="str">
        <f>BX124</f>
        <v>Mezclado</v>
      </c>
      <c r="DA36" s="10"/>
      <c r="DB36" s="10"/>
      <c r="DC36" s="10"/>
      <c r="DD36" s="10"/>
      <c r="DE36" s="10"/>
      <c r="DF36" s="10"/>
      <c r="DR36" s="10">
        <f>BJ365+CA130+AL338</f>
        <v>2800.6107898963555</v>
      </c>
      <c r="DS36" s="10"/>
      <c r="DT36" s="10"/>
      <c r="DU36" s="10"/>
      <c r="DV36" s="10"/>
      <c r="DW36" s="10"/>
      <c r="DX36" s="10"/>
      <c r="DY36" s="10"/>
      <c r="DZ36" s="194"/>
    </row>
    <row r="37" spans="89:130" x14ac:dyDescent="0.25">
      <c r="CK37" s="255"/>
      <c r="CL37" s="255"/>
      <c r="CM37" s="255"/>
      <c r="CN37" s="255"/>
      <c r="CO37" s="10"/>
      <c r="CY37" s="193" t="s">
        <v>88</v>
      </c>
      <c r="CZ37" s="10">
        <f>BQ58</f>
        <v>0</v>
      </c>
      <c r="DA37" s="10"/>
      <c r="DB37" s="10"/>
      <c r="DC37" s="10"/>
      <c r="DD37" s="10"/>
      <c r="DE37" s="10"/>
      <c r="DF37" s="10"/>
      <c r="DR37" s="10"/>
      <c r="DS37" s="10"/>
      <c r="DT37" s="10"/>
      <c r="DU37" s="10"/>
      <c r="DV37" s="10"/>
      <c r="DW37" s="10"/>
      <c r="DX37" s="10"/>
      <c r="DY37" s="10"/>
      <c r="DZ37" s="194"/>
    </row>
    <row r="38" spans="89:130" x14ac:dyDescent="0.25">
      <c r="CK38" s="255"/>
      <c r="CL38" s="255"/>
      <c r="CM38" s="255"/>
      <c r="CN38" s="255"/>
      <c r="CO38" s="10"/>
      <c r="CU38" t="s">
        <v>181</v>
      </c>
      <c r="CV38" t="s">
        <v>172</v>
      </c>
      <c r="CW38" t="s">
        <v>172</v>
      </c>
      <c r="CX38" t="s">
        <v>150</v>
      </c>
      <c r="CY38" s="193" t="s">
        <v>88</v>
      </c>
      <c r="CZ38" s="10" t="s">
        <v>239</v>
      </c>
      <c r="DA38" s="10"/>
      <c r="DB38" s="10"/>
      <c r="DC38" s="10"/>
      <c r="DD38" s="10"/>
      <c r="DE38" s="195"/>
      <c r="DF38" s="10"/>
      <c r="DQ38" s="140"/>
      <c r="DR38" s="10"/>
      <c r="DS38" s="10"/>
      <c r="DT38" s="10"/>
      <c r="DU38" s="10"/>
      <c r="DV38" s="10"/>
      <c r="DW38" s="10"/>
      <c r="DX38" s="10"/>
      <c r="DY38" s="10"/>
      <c r="DZ38" s="194"/>
    </row>
    <row r="39" spans="89:130" x14ac:dyDescent="0.25">
      <c r="CK39" s="255"/>
      <c r="CL39" s="255"/>
      <c r="CM39" s="255"/>
      <c r="CN39" s="255"/>
      <c r="CO39" s="10"/>
      <c r="CY39" s="193" t="s">
        <v>88</v>
      </c>
      <c r="CZ39" s="10" t="s">
        <v>226</v>
      </c>
      <c r="DA39" s="10"/>
      <c r="DB39" s="10"/>
      <c r="DC39" s="10"/>
      <c r="DD39" s="10"/>
      <c r="DE39" s="10"/>
      <c r="DF39" s="10"/>
      <c r="DR39" s="10"/>
      <c r="DS39" s="10"/>
      <c r="DT39" s="10"/>
      <c r="DU39" s="10"/>
      <c r="DV39" s="10"/>
      <c r="DW39" s="10"/>
      <c r="DX39" s="10"/>
      <c r="DY39" s="10"/>
      <c r="DZ39" s="194"/>
    </row>
    <row r="40" spans="89:130" x14ac:dyDescent="0.25">
      <c r="CK40" s="255"/>
      <c r="CL40" s="255"/>
      <c r="CM40" s="255"/>
      <c r="CN40" s="255"/>
      <c r="CO40" s="10"/>
      <c r="CY40" s="193" t="s">
        <v>88</v>
      </c>
      <c r="CZ40" s="10" t="s">
        <v>52</v>
      </c>
      <c r="DA40" s="10"/>
      <c r="DB40" s="10"/>
      <c r="DC40" s="10"/>
      <c r="DD40" s="10"/>
      <c r="DE40" s="10"/>
      <c r="DF40" s="10"/>
      <c r="DR40" s="10"/>
      <c r="DS40" s="10"/>
      <c r="DT40" s="10"/>
      <c r="DU40" s="10"/>
      <c r="DV40" s="10"/>
      <c r="DW40" s="10"/>
      <c r="DX40" s="10"/>
      <c r="DY40" s="10"/>
      <c r="DZ40" s="194"/>
    </row>
    <row r="41" spans="89:130" x14ac:dyDescent="0.25">
      <c r="CK41" s="255" t="s">
        <v>181</v>
      </c>
      <c r="CL41" s="255" t="s">
        <v>240</v>
      </c>
      <c r="CM41" s="255" t="s">
        <v>240</v>
      </c>
      <c r="CN41" s="255" t="s">
        <v>172</v>
      </c>
      <c r="CO41" s="10" t="s">
        <v>172</v>
      </c>
      <c r="CP41" t="s">
        <v>172</v>
      </c>
      <c r="CQ41" t="s">
        <v>172</v>
      </c>
      <c r="CR41" t="s">
        <v>150</v>
      </c>
      <c r="CS41" t="s">
        <v>150</v>
      </c>
      <c r="CT41" t="s">
        <v>123</v>
      </c>
      <c r="CU41" t="s">
        <v>123</v>
      </c>
      <c r="CV41" t="s">
        <v>37</v>
      </c>
      <c r="CW41" t="s">
        <v>37</v>
      </c>
      <c r="CX41" t="s">
        <v>37</v>
      </c>
      <c r="CY41" s="193"/>
      <c r="CZ41" s="10" t="str">
        <f>BN122</f>
        <v>Almacen insumos/mp</v>
      </c>
      <c r="DA41" s="10"/>
      <c r="DB41" s="10"/>
      <c r="DC41" s="10"/>
      <c r="DD41" s="48"/>
      <c r="DE41" s="10"/>
      <c r="DF41" s="47"/>
      <c r="DG41">
        <f>BQ117+BG357</f>
        <v>2663.4320458527554</v>
      </c>
      <c r="DR41" s="10"/>
      <c r="DS41" s="10"/>
      <c r="DT41" s="10"/>
      <c r="DU41" s="214"/>
      <c r="DV41" s="10"/>
      <c r="DW41" s="10"/>
      <c r="DX41" s="10"/>
      <c r="DY41" s="10"/>
      <c r="DZ41" s="194"/>
    </row>
    <row r="42" spans="89:130" x14ac:dyDescent="0.25">
      <c r="CK42" s="255"/>
      <c r="CL42" s="255"/>
      <c r="CM42" s="255"/>
      <c r="CN42" s="255"/>
      <c r="CO42" s="10"/>
      <c r="CV42" t="s">
        <v>172</v>
      </c>
      <c r="CW42" t="s">
        <v>150</v>
      </c>
      <c r="CX42" t="s">
        <v>37</v>
      </c>
      <c r="CY42" s="196" t="s">
        <v>88</v>
      </c>
      <c r="CZ42" s="197" t="s">
        <v>232</v>
      </c>
      <c r="DA42" s="197"/>
      <c r="DB42" s="197"/>
      <c r="DC42" s="197"/>
      <c r="DD42" s="197"/>
      <c r="DE42" s="197"/>
      <c r="DF42" s="197"/>
      <c r="DR42" s="197"/>
      <c r="DS42" s="197"/>
      <c r="DT42" s="197"/>
      <c r="DU42" s="198"/>
      <c r="DV42" s="197"/>
      <c r="DW42" s="197"/>
      <c r="DX42" s="197"/>
      <c r="DY42" s="197"/>
      <c r="DZ42" s="199"/>
    </row>
    <row r="43" spans="89:130" x14ac:dyDescent="0.25">
      <c r="CK43" s="255"/>
      <c r="CL43" s="255"/>
      <c r="CM43" s="255"/>
      <c r="CN43" s="255"/>
      <c r="CO43" s="10"/>
    </row>
    <row r="44" spans="89:130" x14ac:dyDescent="0.25">
      <c r="CK44" s="255"/>
      <c r="CL44" s="255"/>
      <c r="CM44" s="255"/>
      <c r="CN44" s="255"/>
      <c r="CO44" s="10"/>
      <c r="DD44" s="14" t="s">
        <v>67</v>
      </c>
      <c r="DE44" s="14"/>
      <c r="DF44" s="14"/>
    </row>
    <row r="45" spans="89:130" x14ac:dyDescent="0.25">
      <c r="CK45" s="255"/>
      <c r="CL45" s="255"/>
      <c r="CM45" s="255"/>
      <c r="CN45" s="255"/>
      <c r="CO45" s="10"/>
      <c r="DD45" s="14"/>
      <c r="DE45" s="14"/>
      <c r="DF45" s="14"/>
    </row>
    <row r="46" spans="89:130" x14ac:dyDescent="0.25">
      <c r="CK46" s="255"/>
      <c r="CL46" s="255"/>
      <c r="CM46" s="255"/>
      <c r="CN46" s="255"/>
      <c r="CO46" s="10"/>
      <c r="DD46" s="14" t="s">
        <v>151</v>
      </c>
      <c r="DE46" s="14"/>
      <c r="DF46" s="14"/>
      <c r="DQ46" s="188" t="s">
        <v>176</v>
      </c>
    </row>
    <row r="47" spans="89:130" x14ac:dyDescent="0.25">
      <c r="CK47" s="255"/>
      <c r="CL47" s="255"/>
      <c r="CM47" s="255"/>
      <c r="CN47" s="255"/>
      <c r="CO47" s="10"/>
      <c r="DQ47" s="188" t="s">
        <v>234</v>
      </c>
    </row>
    <row r="48" spans="89:130" x14ac:dyDescent="0.25">
      <c r="CK48" s="255"/>
      <c r="CL48" s="255"/>
      <c r="CM48" s="255"/>
      <c r="CN48" s="255"/>
      <c r="CO48" s="10"/>
      <c r="DQ48" s="188" t="s">
        <v>186</v>
      </c>
    </row>
    <row r="49" spans="89:121" x14ac:dyDescent="0.25">
      <c r="CK49" s="255"/>
      <c r="CL49" s="255"/>
      <c r="CM49" s="255"/>
      <c r="CN49" s="255"/>
      <c r="CO49" s="10"/>
      <c r="DD49" s="187" t="s">
        <v>230</v>
      </c>
      <c r="DQ49" s="188" t="s">
        <v>212</v>
      </c>
    </row>
    <row r="50" spans="89:121" x14ac:dyDescent="0.25">
      <c r="DD50" s="187" t="s">
        <v>231</v>
      </c>
      <c r="DK50">
        <v>200.55935174287677</v>
      </c>
      <c r="DL50">
        <v>707.87200623879335</v>
      </c>
      <c r="DM50" t="s">
        <v>245</v>
      </c>
      <c r="DQ50" s="188" t="s">
        <v>206</v>
      </c>
    </row>
    <row r="51" spans="89:121" ht="15" customHeight="1" x14ac:dyDescent="0.25">
      <c r="CQ51" s="10"/>
      <c r="DK51" t="s">
        <v>246</v>
      </c>
      <c r="DL51" t="s">
        <v>139</v>
      </c>
      <c r="DQ51" s="188" t="s">
        <v>55</v>
      </c>
    </row>
    <row r="52" spans="89:121" x14ac:dyDescent="0.25">
      <c r="CQ52" s="10"/>
    </row>
    <row r="53" spans="89:121" x14ac:dyDescent="0.25">
      <c r="CQ53" s="10"/>
    </row>
    <row r="54" spans="89:121" ht="18.75" customHeight="1" x14ac:dyDescent="0.25">
      <c r="CQ54" s="10"/>
    </row>
    <row r="55" spans="89:121" ht="22.5" customHeight="1" x14ac:dyDescent="0.25">
      <c r="CQ55" s="10"/>
    </row>
    <row r="56" spans="89:121" x14ac:dyDescent="0.25">
      <c r="CQ56" s="10"/>
    </row>
    <row r="57" spans="89:121" x14ac:dyDescent="0.25">
      <c r="CQ57" s="10"/>
    </row>
    <row r="58" spans="89:121" x14ac:dyDescent="0.25">
      <c r="CQ58" s="10"/>
    </row>
    <row r="59" spans="89:121" x14ac:dyDescent="0.25">
      <c r="CQ59" s="10"/>
    </row>
    <row r="60" spans="89:121" x14ac:dyDescent="0.25">
      <c r="CQ60" s="10"/>
    </row>
    <row r="61" spans="89:121" x14ac:dyDescent="0.25">
      <c r="CK61" s="255"/>
      <c r="CL61" s="255"/>
      <c r="CM61" s="255"/>
      <c r="CN61" s="255"/>
      <c r="CO61" s="10"/>
      <c r="CP61" s="10"/>
      <c r="CQ61" s="10"/>
    </row>
    <row r="62" spans="89:121" x14ac:dyDescent="0.25">
      <c r="CK62" s="255"/>
      <c r="CL62" s="255"/>
      <c r="CM62" s="255"/>
      <c r="CN62" s="255"/>
      <c r="CO62" s="10"/>
      <c r="CP62" s="10"/>
      <c r="CQ62" s="10"/>
    </row>
    <row r="63" spans="89:121" x14ac:dyDescent="0.25">
      <c r="CK63" s="255"/>
      <c r="CL63" s="255"/>
      <c r="CM63" s="255"/>
      <c r="CN63" s="255"/>
      <c r="CO63" s="10"/>
      <c r="CP63" s="10"/>
      <c r="CQ63" s="10"/>
    </row>
    <row r="64" spans="89:121" x14ac:dyDescent="0.25">
      <c r="CK64" s="255"/>
      <c r="CL64" s="255"/>
      <c r="CM64" s="255"/>
      <c r="CN64" s="255"/>
      <c r="CO64" s="10"/>
    </row>
    <row r="65" spans="89:93" x14ac:dyDescent="0.25">
      <c r="CK65" s="255"/>
      <c r="CL65" s="255"/>
      <c r="CM65" s="255"/>
      <c r="CN65" s="255"/>
      <c r="CO65" s="10"/>
    </row>
    <row r="66" spans="89:93" x14ac:dyDescent="0.25">
      <c r="CK66" s="255"/>
      <c r="CL66" s="255"/>
      <c r="CM66" s="255"/>
      <c r="CN66" s="255"/>
      <c r="CO66" s="10"/>
    </row>
    <row r="67" spans="89:93" x14ac:dyDescent="0.25">
      <c r="CK67" s="255"/>
      <c r="CL67" s="255"/>
      <c r="CM67" s="255"/>
      <c r="CN67" s="255"/>
      <c r="CO67" s="10"/>
    </row>
    <row r="68" spans="89:93" x14ac:dyDescent="0.25">
      <c r="CK68" s="255"/>
      <c r="CL68" s="255"/>
      <c r="CM68" s="255"/>
      <c r="CN68" s="255"/>
      <c r="CO68" s="10"/>
    </row>
    <row r="69" spans="89:93" x14ac:dyDescent="0.25">
      <c r="CK69" s="255"/>
      <c r="CL69" s="255"/>
      <c r="CM69" s="255"/>
      <c r="CN69" s="255"/>
      <c r="CO69" s="10"/>
    </row>
    <row r="70" spans="89:93" x14ac:dyDescent="0.25">
      <c r="CK70" s="219"/>
      <c r="CL70" s="219"/>
      <c r="CM70" s="219"/>
      <c r="CN70" s="219"/>
    </row>
    <row r="71" spans="89:93" x14ac:dyDescent="0.25">
      <c r="CK71" s="219"/>
      <c r="CL71" s="219"/>
      <c r="CM71" s="219"/>
      <c r="CN71" s="219"/>
    </row>
    <row r="72" spans="89:93" x14ac:dyDescent="0.25">
      <c r="CK72" s="219"/>
      <c r="CL72" s="219"/>
      <c r="CM72" s="219"/>
      <c r="CN72" s="219"/>
    </row>
    <row r="73" spans="89:93" x14ac:dyDescent="0.25">
      <c r="CK73" s="219"/>
      <c r="CL73" s="219"/>
      <c r="CM73" s="219"/>
      <c r="CN73" s="219"/>
    </row>
    <row r="74" spans="89:93" x14ac:dyDescent="0.25">
      <c r="CK74" s="219"/>
      <c r="CL74" s="219"/>
      <c r="CM74" s="219"/>
      <c r="CN74" s="219"/>
    </row>
    <row r="75" spans="89:93" x14ac:dyDescent="0.25">
      <c r="CK75" s="219"/>
      <c r="CL75" s="219"/>
      <c r="CM75" s="219"/>
      <c r="CN75" s="219"/>
    </row>
    <row r="76" spans="89:93" x14ac:dyDescent="0.25">
      <c r="CK76" s="219"/>
      <c r="CL76" s="219"/>
      <c r="CM76" s="219"/>
      <c r="CN76" s="219"/>
    </row>
    <row r="77" spans="89:93" x14ac:dyDescent="0.25">
      <c r="CK77" s="219"/>
      <c r="CL77" s="219"/>
      <c r="CM77" s="219"/>
      <c r="CN77" s="219"/>
    </row>
    <row r="78" spans="89:93" x14ac:dyDescent="0.25">
      <c r="CK78" s="219"/>
      <c r="CL78" s="219"/>
      <c r="CM78" s="219"/>
      <c r="CN78" s="219"/>
    </row>
    <row r="79" spans="89:93" x14ac:dyDescent="0.25">
      <c r="CK79" s="219"/>
      <c r="CL79" s="219"/>
      <c r="CM79" s="219"/>
      <c r="CN79" s="219"/>
    </row>
    <row r="80" spans="89:93" x14ac:dyDescent="0.25">
      <c r="CK80" s="219"/>
      <c r="CL80" s="219"/>
      <c r="CM80" s="219"/>
      <c r="CN80" s="219"/>
    </row>
    <row r="81" spans="89:92" x14ac:dyDescent="0.25">
      <c r="CK81" s="219"/>
      <c r="CL81" s="219"/>
      <c r="CM81" s="219"/>
      <c r="CN81" s="219"/>
    </row>
    <row r="82" spans="89:92" x14ac:dyDescent="0.25">
      <c r="CK82" s="219"/>
      <c r="CL82" s="219"/>
      <c r="CM82" s="219"/>
      <c r="CN82" s="219"/>
    </row>
    <row r="83" spans="89:92" x14ac:dyDescent="0.25">
      <c r="CK83" s="219"/>
      <c r="CL83" s="219"/>
      <c r="CM83" s="219"/>
      <c r="CN83" s="219"/>
    </row>
    <row r="84" spans="89:92" x14ac:dyDescent="0.25">
      <c r="CK84" s="219"/>
      <c r="CL84" s="219"/>
      <c r="CM84" s="219"/>
      <c r="CN84" s="219"/>
    </row>
    <row r="85" spans="89:92" x14ac:dyDescent="0.25">
      <c r="CK85" s="219"/>
      <c r="CL85" s="219"/>
      <c r="CM85" s="219"/>
      <c r="CN85" s="219"/>
    </row>
    <row r="86" spans="89:92" x14ac:dyDescent="0.25">
      <c r="CK86" s="219"/>
      <c r="CL86" s="219"/>
      <c r="CM86" s="219"/>
      <c r="CN86" s="219"/>
    </row>
    <row r="110" spans="89:89" x14ac:dyDescent="0.25">
      <c r="CK110" s="10"/>
    </row>
    <row r="111" spans="89:89" x14ac:dyDescent="0.25">
      <c r="CK111" s="10"/>
    </row>
    <row r="112" spans="89:89" x14ac:dyDescent="0.25">
      <c r="CK112" s="10"/>
    </row>
    <row r="114" spans="65:92" x14ac:dyDescent="0.25">
      <c r="CL114" s="416" t="s">
        <v>52</v>
      </c>
      <c r="CM114" s="416"/>
    </row>
    <row r="115" spans="65:92" ht="15.75" customHeight="1" thickBot="1" x14ac:dyDescent="0.3">
      <c r="CL115" s="436" t="s">
        <v>90</v>
      </c>
      <c r="CM115" s="417"/>
      <c r="CN115" s="200" t="s">
        <v>37</v>
      </c>
    </row>
    <row r="116" spans="65:92" x14ac:dyDescent="0.25">
      <c r="BQ116" s="18"/>
      <c r="BZ116" s="478" t="s">
        <v>105</v>
      </c>
      <c r="CA116" s="479"/>
      <c r="CL116" s="202">
        <v>186</v>
      </c>
      <c r="CM116" s="4" t="s">
        <v>27</v>
      </c>
    </row>
    <row r="117" spans="65:92" x14ac:dyDescent="0.25">
      <c r="BQ117" s="1">
        <f>SUM(BO124:BO131)</f>
        <v>124.14205439999995</v>
      </c>
      <c r="BZ117" s="480"/>
      <c r="CA117" s="481"/>
      <c r="CG117" s="410" t="s">
        <v>95</v>
      </c>
      <c r="CH117" s="410"/>
      <c r="CL117" s="4">
        <f>CH119</f>
        <v>116.06399999999999</v>
      </c>
      <c r="CM117" s="4" t="s">
        <v>28</v>
      </c>
    </row>
    <row r="118" spans="65:92" x14ac:dyDescent="0.25">
      <c r="BQ118" s="13" t="s">
        <v>34</v>
      </c>
      <c r="BZ118" s="480"/>
      <c r="CA118" s="481"/>
      <c r="CC118" s="1" t="s">
        <v>106</v>
      </c>
      <c r="CG118" s="101" t="s">
        <v>4</v>
      </c>
      <c r="CH118" s="101" t="s">
        <v>1</v>
      </c>
      <c r="CL118" s="14">
        <f>CL116*CI142-CH119</f>
        <v>10.08285636425569</v>
      </c>
    </row>
    <row r="119" spans="65:92" x14ac:dyDescent="0.25">
      <c r="BQ119" s="109" t="s">
        <v>119</v>
      </c>
      <c r="BX119" s="18" t="s">
        <v>36</v>
      </c>
      <c r="BZ119" s="480"/>
      <c r="CA119" s="481"/>
      <c r="CC119" s="18" t="s">
        <v>36</v>
      </c>
      <c r="CG119" s="101">
        <f>CL116</f>
        <v>186</v>
      </c>
      <c r="CH119" s="4">
        <f>CG119*(CH136)</f>
        <v>116.06399999999999</v>
      </c>
    </row>
    <row r="120" spans="65:92" x14ac:dyDescent="0.25">
      <c r="BQ120" s="14" t="s">
        <v>35</v>
      </c>
      <c r="BX120" s="19">
        <v>1E-4</v>
      </c>
      <c r="BZ120" s="480"/>
      <c r="CA120" s="481"/>
      <c r="CC120" s="19">
        <v>6.9599999999999995E-2</v>
      </c>
    </row>
    <row r="121" spans="65:92" ht="15.75" thickBot="1" x14ac:dyDescent="0.3">
      <c r="BQ121" s="1">
        <f>SUM(BW130:BW137)</f>
        <v>124.14205439999995</v>
      </c>
      <c r="BX121" s="18"/>
      <c r="BZ121" s="482"/>
      <c r="CA121" s="483"/>
      <c r="CC121" s="18">
        <f>CG119*CH136*CC120</f>
        <v>8.0780543999999992</v>
      </c>
    </row>
    <row r="122" spans="65:92" x14ac:dyDescent="0.25">
      <c r="BN122" s="24" t="s">
        <v>51</v>
      </c>
      <c r="BO122" s="24"/>
      <c r="BQ122" s="15" t="s">
        <v>36</v>
      </c>
      <c r="BX122" s="1">
        <f>SUM(BW130:BW137)</f>
        <v>124.14205439999995</v>
      </c>
      <c r="CC122" s="1">
        <f>CA130</f>
        <v>124.14205439999999</v>
      </c>
    </row>
    <row r="123" spans="65:92" x14ac:dyDescent="0.25">
      <c r="BN123" s="475" t="s">
        <v>120</v>
      </c>
      <c r="BO123" s="476"/>
      <c r="BP123" s="101" t="s">
        <v>2</v>
      </c>
      <c r="BQ123" s="17">
        <f>IF(BQ116=BQ117,BQ117-BQ121,BQ116-BQ121)</f>
        <v>-124.14205439999995</v>
      </c>
      <c r="BX123" s="13" t="s">
        <v>34</v>
      </c>
      <c r="CC123" s="13" t="s">
        <v>34</v>
      </c>
    </row>
    <row r="124" spans="65:92" x14ac:dyDescent="0.25">
      <c r="BM124" s="477" t="s">
        <v>121</v>
      </c>
      <c r="BN124" s="12" t="str">
        <f>BU130</f>
        <v>Agua</v>
      </c>
      <c r="BO124" s="4">
        <f>BW130</f>
        <v>3.7242616319999997</v>
      </c>
      <c r="BP124" s="102" t="s">
        <v>18</v>
      </c>
      <c r="BQ124" s="28" t="s">
        <v>45</v>
      </c>
      <c r="BX124" s="109" t="s">
        <v>84</v>
      </c>
      <c r="CC124" s="109" t="s">
        <v>85</v>
      </c>
    </row>
    <row r="125" spans="65:92" x14ac:dyDescent="0.25">
      <c r="BM125" s="477"/>
      <c r="BN125" s="12" t="str">
        <f t="shared" ref="BN125:BN130" si="0">BU131</f>
        <v>Poliol</v>
      </c>
      <c r="BO125" s="4">
        <f t="shared" ref="BO125:BO131" si="1">BW131</f>
        <v>78.830204543999997</v>
      </c>
      <c r="BP125" s="102" t="s">
        <v>18</v>
      </c>
      <c r="BX125" s="14" t="s">
        <v>35</v>
      </c>
      <c r="CC125" s="14" t="s">
        <v>35</v>
      </c>
    </row>
    <row r="126" spans="65:92" x14ac:dyDescent="0.25">
      <c r="BM126" s="477"/>
      <c r="BN126" s="12" t="str">
        <f t="shared" si="0"/>
        <v>TDI</v>
      </c>
      <c r="BO126" s="4">
        <f t="shared" si="1"/>
        <v>40.346167680000001</v>
      </c>
      <c r="BP126" s="102" t="s">
        <v>18</v>
      </c>
      <c r="BX126" s="1">
        <f>CA130</f>
        <v>124.14205439999999</v>
      </c>
      <c r="CC126">
        <f>CH119</f>
        <v>116.06399999999999</v>
      </c>
      <c r="CM126" t="s">
        <v>91</v>
      </c>
    </row>
    <row r="127" spans="65:92" x14ac:dyDescent="0.25">
      <c r="BM127" s="477"/>
      <c r="BN127" s="12" t="str">
        <f t="shared" si="0"/>
        <v>Amina</v>
      </c>
      <c r="BO127" s="4">
        <f t="shared" si="1"/>
        <v>0.24828410879999999</v>
      </c>
      <c r="BP127" s="102" t="s">
        <v>18</v>
      </c>
      <c r="BQ127" s="21">
        <f>SUM(BO124:BO131)-SUM(BW130:BW137)</f>
        <v>0</v>
      </c>
      <c r="BU127" s="410" t="s">
        <v>107</v>
      </c>
      <c r="BV127" s="410"/>
      <c r="BX127" s="15" t="s">
        <v>36</v>
      </c>
      <c r="BZ127" s="410" t="s">
        <v>103</v>
      </c>
      <c r="CA127" s="410"/>
      <c r="CC127" s="15" t="s">
        <v>36</v>
      </c>
    </row>
    <row r="128" spans="65:92" x14ac:dyDescent="0.25">
      <c r="BM128" s="477"/>
      <c r="BN128" s="12" t="str">
        <f t="shared" si="0"/>
        <v>Estaño</v>
      </c>
      <c r="BO128" s="4">
        <f t="shared" si="1"/>
        <v>0.24828410879999999</v>
      </c>
      <c r="BP128" s="102" t="s">
        <v>18</v>
      </c>
      <c r="BU128" s="410"/>
      <c r="BV128" s="410"/>
      <c r="BX128" s="17">
        <f>IF(BX121=BX122,BX122-BX126,BX121-BX126)</f>
        <v>-124.14205439999999</v>
      </c>
      <c r="BZ128" s="410"/>
      <c r="CA128" s="410"/>
      <c r="CC128" s="17"/>
    </row>
    <row r="129" spans="65:88" x14ac:dyDescent="0.25">
      <c r="BM129" s="477"/>
      <c r="BN129" s="12" t="str">
        <f t="shared" si="0"/>
        <v>Siliciona</v>
      </c>
      <c r="BO129" s="4">
        <f t="shared" si="1"/>
        <v>0.24828410879999999</v>
      </c>
      <c r="BP129" s="102" t="s">
        <v>18</v>
      </c>
      <c r="BU129" s="101" t="s">
        <v>108</v>
      </c>
      <c r="BV129" s="101" t="s">
        <v>118</v>
      </c>
      <c r="BW129" s="101" t="s">
        <v>117</v>
      </c>
      <c r="BX129" s="28" t="s">
        <v>45</v>
      </c>
      <c r="BZ129" s="101" t="s">
        <v>50</v>
      </c>
      <c r="CA129" s="101" t="s">
        <v>1</v>
      </c>
      <c r="CB129" s="101" t="s">
        <v>42</v>
      </c>
      <c r="CC129" s="28"/>
    </row>
    <row r="130" spans="65:88" x14ac:dyDescent="0.25">
      <c r="BM130" s="477"/>
      <c r="BN130" s="12" t="str">
        <f t="shared" si="0"/>
        <v>Polimérico</v>
      </c>
      <c r="BO130" s="4">
        <f t="shared" si="1"/>
        <v>0.24828410879999999</v>
      </c>
      <c r="BP130" s="102" t="s">
        <v>18</v>
      </c>
      <c r="BU130" s="101" t="s">
        <v>109</v>
      </c>
      <c r="BV130" s="105">
        <v>0.03</v>
      </c>
      <c r="BW130" s="101">
        <f>$CA$130*BV130</f>
        <v>3.7242616319999997</v>
      </c>
      <c r="BZ130" s="27">
        <f>CA130*(1/1005)</f>
        <v>0.12352443223880595</v>
      </c>
      <c r="CA130" s="4">
        <f>CH136*CG119+CC120*CH136*CG119</f>
        <v>124.14205439999999</v>
      </c>
      <c r="CB130" s="101">
        <f>IF(CC128&gt;0,CA130+CC128/2,CA130)</f>
        <v>124.14205439999999</v>
      </c>
      <c r="CC130" s="16"/>
    </row>
    <row r="131" spans="65:88" x14ac:dyDescent="0.25">
      <c r="BM131" s="477"/>
      <c r="BN131" s="12" t="str">
        <f>BU137</f>
        <v>Cloruro de Metilo</v>
      </c>
      <c r="BO131" s="4">
        <f t="shared" si="1"/>
        <v>0.24828410879999999</v>
      </c>
      <c r="BP131" s="102" t="s">
        <v>18</v>
      </c>
      <c r="BU131" s="4" t="s">
        <v>110</v>
      </c>
      <c r="BV131" s="105">
        <v>0.63500000000000001</v>
      </c>
      <c r="BW131" s="101">
        <f t="shared" ref="BW131:BW137" si="2">$CA$130*BV131</f>
        <v>78.830204543999997</v>
      </c>
      <c r="BZ131" s="14" t="s">
        <v>104</v>
      </c>
    </row>
    <row r="132" spans="65:88" x14ac:dyDescent="0.25">
      <c r="BU132" s="4" t="s">
        <v>111</v>
      </c>
      <c r="BV132" s="105">
        <v>0.32500000000000001</v>
      </c>
      <c r="BW132" s="101">
        <f t="shared" si="2"/>
        <v>40.346167680000001</v>
      </c>
      <c r="BX132" s="21">
        <f>BX122-BX126</f>
        <v>0</v>
      </c>
      <c r="CC132" s="22">
        <f>CA130-CH119</f>
        <v>8.0780543999999992</v>
      </c>
    </row>
    <row r="133" spans="65:88" x14ac:dyDescent="0.25">
      <c r="BU133" s="4" t="s">
        <v>112</v>
      </c>
      <c r="BV133" s="105">
        <v>2E-3</v>
      </c>
      <c r="BW133" s="101">
        <f t="shared" si="2"/>
        <v>0.24828410879999999</v>
      </c>
    </row>
    <row r="134" spans="65:88" x14ac:dyDescent="0.25">
      <c r="BU134" s="4" t="s">
        <v>113</v>
      </c>
      <c r="BV134" s="105">
        <v>2E-3</v>
      </c>
      <c r="BW134" s="101">
        <f t="shared" si="2"/>
        <v>0.24828410879999999</v>
      </c>
      <c r="CA134" s="415" t="s">
        <v>125</v>
      </c>
      <c r="CB134" s="415"/>
      <c r="CC134" s="4" t="s">
        <v>19</v>
      </c>
      <c r="CD134" s="101" t="s">
        <v>20</v>
      </c>
      <c r="CE134" s="101" t="s">
        <v>2</v>
      </c>
      <c r="CF134" s="101" t="s">
        <v>21</v>
      </c>
      <c r="CG134" s="101" t="s">
        <v>2</v>
      </c>
      <c r="CH134" s="11" t="s">
        <v>24</v>
      </c>
    </row>
    <row r="135" spans="65:88" x14ac:dyDescent="0.25">
      <c r="BU135" s="4" t="s">
        <v>114</v>
      </c>
      <c r="BV135" s="105">
        <v>2E-3</v>
      </c>
      <c r="BW135" s="101">
        <f t="shared" si="2"/>
        <v>0.24828410879999999</v>
      </c>
      <c r="BZ135" s="101"/>
      <c r="CA135" s="104"/>
      <c r="CB135" s="104"/>
      <c r="CC135" s="23"/>
      <c r="CD135" s="23"/>
      <c r="CE135" s="23"/>
      <c r="CF135" s="23"/>
      <c r="CG135" s="23"/>
      <c r="CH135" s="39"/>
    </row>
    <row r="136" spans="65:88" x14ac:dyDescent="0.25">
      <c r="BU136" s="4" t="s">
        <v>115</v>
      </c>
      <c r="BV136" s="105">
        <v>2E-3</v>
      </c>
      <c r="BW136" s="101">
        <f t="shared" si="2"/>
        <v>0.24828410879999999</v>
      </c>
      <c r="BZ136" s="101" t="s">
        <v>96</v>
      </c>
      <c r="CA136" s="104">
        <f>13*60*40</f>
        <v>31200</v>
      </c>
      <c r="CB136" s="104" t="s">
        <v>26</v>
      </c>
      <c r="CC136" s="23">
        <v>9.9999999999999995E-7</v>
      </c>
      <c r="CD136" s="23">
        <f>CA136*CC136</f>
        <v>3.1199999999999999E-2</v>
      </c>
      <c r="CE136" s="23" t="s">
        <v>15</v>
      </c>
      <c r="CF136" s="23">
        <v>20</v>
      </c>
      <c r="CG136" s="23" t="s">
        <v>13</v>
      </c>
      <c r="CH136" s="23">
        <f>CD136*CF136</f>
        <v>0.624</v>
      </c>
    </row>
    <row r="137" spans="65:88" x14ac:dyDescent="0.25">
      <c r="BU137" s="4" t="s">
        <v>116</v>
      </c>
      <c r="BV137" s="105">
        <v>2E-3</v>
      </c>
      <c r="BW137" s="101">
        <f t="shared" si="2"/>
        <v>0.24828410879999999</v>
      </c>
      <c r="BZ137" s="101"/>
      <c r="CA137" s="104"/>
      <c r="CB137" s="104"/>
      <c r="CC137" s="23"/>
      <c r="CD137" s="23"/>
      <c r="CE137" s="23"/>
      <c r="CF137" s="23"/>
      <c r="CG137" s="23"/>
      <c r="CH137" s="40"/>
    </row>
    <row r="138" spans="65:88" x14ac:dyDescent="0.25">
      <c r="BZ138" s="101" t="s">
        <v>92</v>
      </c>
      <c r="CA138" s="104">
        <f>62.5*40</f>
        <v>2500</v>
      </c>
      <c r="CB138" s="104" t="s">
        <v>9</v>
      </c>
      <c r="CC138" s="23">
        <f>0.0001</f>
        <v>1E-4</v>
      </c>
      <c r="CD138" s="23">
        <f>CA138*CC138</f>
        <v>0.25</v>
      </c>
      <c r="CE138" s="23" t="s">
        <v>17</v>
      </c>
      <c r="CF138" s="23">
        <v>0.1</v>
      </c>
      <c r="CG138" s="23" t="s">
        <v>23</v>
      </c>
      <c r="CH138" s="66">
        <f t="shared" ref="CH138:CH140" si="3">CF138*CD138</f>
        <v>2.5000000000000001E-2</v>
      </c>
      <c r="CI138" s="67">
        <f>CH138*2</f>
        <v>0.05</v>
      </c>
    </row>
    <row r="139" spans="65:88" x14ac:dyDescent="0.25">
      <c r="BZ139" s="101" t="s">
        <v>33</v>
      </c>
      <c r="CA139" s="104">
        <v>1146.8</v>
      </c>
      <c r="CB139" s="104" t="s">
        <v>10</v>
      </c>
      <c r="CC139" s="23">
        <f>1/100</f>
        <v>0.01</v>
      </c>
      <c r="CD139" s="23">
        <f>CA139*CC139</f>
        <v>11.468</v>
      </c>
      <c r="CE139" s="23" t="s">
        <v>16</v>
      </c>
      <c r="CF139" s="23">
        <v>7.7585999999999999E-5</v>
      </c>
      <c r="CG139" s="23" t="s">
        <v>22</v>
      </c>
      <c r="CH139" s="23">
        <f t="shared" si="3"/>
        <v>8.89756248E-4</v>
      </c>
    </row>
    <row r="140" spans="65:88" x14ac:dyDescent="0.25">
      <c r="BZ140" s="101" t="s">
        <v>93</v>
      </c>
      <c r="CA140" s="104">
        <v>39</v>
      </c>
      <c r="CB140" s="104" t="s">
        <v>10</v>
      </c>
      <c r="CC140" s="23">
        <f>1/100</f>
        <v>0.01</v>
      </c>
      <c r="CD140" s="23">
        <f>CA140*CC140</f>
        <v>0.39</v>
      </c>
      <c r="CE140" s="23" t="s">
        <v>16</v>
      </c>
      <c r="CF140" s="23">
        <f>1/117.5</f>
        <v>8.5106382978723406E-3</v>
      </c>
      <c r="CG140" s="23" t="s">
        <v>22</v>
      </c>
      <c r="CH140" s="23">
        <f t="shared" si="3"/>
        <v>3.319148936170213E-3</v>
      </c>
    </row>
    <row r="141" spans="65:88" x14ac:dyDescent="0.25">
      <c r="CI141" s="408" t="s">
        <v>25</v>
      </c>
      <c r="CJ141" s="408"/>
    </row>
    <row r="142" spans="65:88" x14ac:dyDescent="0.25">
      <c r="CI142" s="4">
        <f>CH136+CI138+CH139+CH140</f>
        <v>0.67820890518417032</v>
      </c>
      <c r="CJ142" s="4" t="s">
        <v>18</v>
      </c>
    </row>
    <row r="147" spans="72:76" x14ac:dyDescent="0.25">
      <c r="BT147" s="10"/>
      <c r="BU147" s="10"/>
      <c r="BV147" s="10"/>
      <c r="BW147" s="10"/>
      <c r="BX147" s="10"/>
    </row>
    <row r="148" spans="72:76" x14ac:dyDescent="0.25">
      <c r="BT148" s="10"/>
      <c r="BU148" s="10"/>
      <c r="BV148" s="10"/>
      <c r="BW148" s="10"/>
      <c r="BX148" s="10"/>
    </row>
    <row r="149" spans="72:76" x14ac:dyDescent="0.25">
      <c r="BT149" s="10"/>
      <c r="BU149" s="10"/>
      <c r="BV149" s="10"/>
      <c r="BW149" s="10"/>
      <c r="BX149" s="10"/>
    </row>
    <row r="175" spans="90:92" x14ac:dyDescent="0.25">
      <c r="CL175" s="416" t="s">
        <v>52</v>
      </c>
      <c r="CM175" s="416"/>
    </row>
    <row r="176" spans="90:92" x14ac:dyDescent="0.25">
      <c r="CL176" s="436" t="s">
        <v>124</v>
      </c>
      <c r="CM176" s="417"/>
      <c r="CN176" s="127" t="s">
        <v>123</v>
      </c>
    </row>
    <row r="177" spans="75:91" x14ac:dyDescent="0.25">
      <c r="CL177" s="184">
        <v>439</v>
      </c>
      <c r="CM177" s="4" t="s">
        <v>27</v>
      </c>
    </row>
    <row r="178" spans="75:91" x14ac:dyDescent="0.25">
      <c r="CG178" s="410" t="s">
        <v>134</v>
      </c>
      <c r="CH178" s="410"/>
      <c r="CL178" s="4">
        <f>CH180</f>
        <v>1501.3799999999999</v>
      </c>
      <c r="CM178" s="4" t="s">
        <v>28</v>
      </c>
    </row>
    <row r="179" spans="75:91" x14ac:dyDescent="0.25">
      <c r="CC179" s="1"/>
      <c r="CG179" s="101" t="s">
        <v>4</v>
      </c>
      <c r="CH179" s="101" t="s">
        <v>1</v>
      </c>
      <c r="CL179" s="14">
        <f>CL177*CI203-CH180</f>
        <v>269.60348998755626</v>
      </c>
    </row>
    <row r="180" spans="75:91" x14ac:dyDescent="0.25">
      <c r="CC180" s="18" t="s">
        <v>36</v>
      </c>
      <c r="CG180" s="101">
        <f>CL177</f>
        <v>439</v>
      </c>
      <c r="CH180" s="4">
        <f>CG180*(CH197)</f>
        <v>1501.3799999999999</v>
      </c>
    </row>
    <row r="181" spans="75:91" x14ac:dyDescent="0.25">
      <c r="CC181" s="19">
        <v>1.0000000000000001E-5</v>
      </c>
    </row>
    <row r="182" spans="75:91" x14ac:dyDescent="0.25">
      <c r="BW182" s="473" t="s">
        <v>87</v>
      </c>
      <c r="BX182" s="473"/>
      <c r="CC182" s="18">
        <f>CC183-CC187</f>
        <v>0</v>
      </c>
    </row>
    <row r="183" spans="75:91" x14ac:dyDescent="0.25">
      <c r="BW183" s="447" t="str">
        <f>BZ188</f>
        <v>Bloque de espuma</v>
      </c>
      <c r="BX183" s="448"/>
      <c r="CC183" s="1">
        <f>CA192</f>
        <v>1501.3799999999999</v>
      </c>
    </row>
    <row r="184" spans="75:91" x14ac:dyDescent="0.25">
      <c r="BW184" s="12"/>
      <c r="BX184" s="4" t="s">
        <v>18</v>
      </c>
      <c r="CC184" s="13" t="s">
        <v>34</v>
      </c>
    </row>
    <row r="185" spans="75:91" ht="15" customHeight="1" x14ac:dyDescent="0.25">
      <c r="BW185" s="12"/>
      <c r="BX185" s="4" t="s">
        <v>16</v>
      </c>
      <c r="CC185" s="109" t="s">
        <v>142</v>
      </c>
    </row>
    <row r="186" spans="75:91" x14ac:dyDescent="0.25">
      <c r="CC186" s="14" t="s">
        <v>35</v>
      </c>
    </row>
    <row r="187" spans="75:91" x14ac:dyDescent="0.25">
      <c r="CC187">
        <f>CH180</f>
        <v>1501.3799999999999</v>
      </c>
      <c r="CM187" t="s">
        <v>91</v>
      </c>
    </row>
    <row r="188" spans="75:91" x14ac:dyDescent="0.25">
      <c r="BZ188" s="474" t="s">
        <v>143</v>
      </c>
      <c r="CA188" s="474"/>
      <c r="CC188" s="15" t="s">
        <v>36</v>
      </c>
    </row>
    <row r="189" spans="75:91" x14ac:dyDescent="0.25">
      <c r="BZ189" s="474"/>
      <c r="CA189" s="474"/>
      <c r="CC189" s="28" t="s">
        <v>45</v>
      </c>
    </row>
    <row r="190" spans="75:91" x14ac:dyDescent="0.25">
      <c r="BZ190" s="101" t="s">
        <v>50</v>
      </c>
      <c r="CA190" s="101" t="s">
        <v>1</v>
      </c>
      <c r="CB190" s="101" t="s">
        <v>42</v>
      </c>
      <c r="CC190" s="28"/>
    </row>
    <row r="191" spans="75:91" x14ac:dyDescent="0.25">
      <c r="BZ191" s="27"/>
      <c r="CA191" s="4"/>
      <c r="CB191" s="101"/>
      <c r="CC191" s="16"/>
    </row>
    <row r="192" spans="75:91" x14ac:dyDescent="0.25">
      <c r="BY192" s="14" t="s">
        <v>144</v>
      </c>
      <c r="BZ192" s="14">
        <f>CD197*CG180</f>
        <v>83.41</v>
      </c>
      <c r="CA192" s="14">
        <f>CH197*CG180</f>
        <v>1501.3799999999999</v>
      </c>
    </row>
    <row r="193" spans="78:88" x14ac:dyDescent="0.25">
      <c r="CC193" s="22">
        <f>CA192-CH180</f>
        <v>0</v>
      </c>
    </row>
    <row r="195" spans="78:88" x14ac:dyDescent="0.25">
      <c r="CA195" s="415" t="s">
        <v>126</v>
      </c>
      <c r="CB195" s="415"/>
      <c r="CC195" s="4" t="s">
        <v>19</v>
      </c>
      <c r="CD195" s="101" t="s">
        <v>20</v>
      </c>
      <c r="CE195" s="101" t="s">
        <v>2</v>
      </c>
      <c r="CF195" s="101" t="s">
        <v>21</v>
      </c>
      <c r="CG195" s="101" t="s">
        <v>2</v>
      </c>
      <c r="CH195" s="11" t="s">
        <v>24</v>
      </c>
    </row>
    <row r="196" spans="78:88" x14ac:dyDescent="0.25">
      <c r="BZ196" s="101"/>
      <c r="CA196" s="104"/>
      <c r="CB196" s="104"/>
      <c r="CC196" s="23"/>
      <c r="CD196" s="23"/>
      <c r="CE196" s="23"/>
      <c r="CF196" s="23"/>
      <c r="CG196" s="23"/>
      <c r="CH196" s="39"/>
    </row>
    <row r="197" spans="78:88" x14ac:dyDescent="0.25">
      <c r="BZ197" s="101" t="s">
        <v>128</v>
      </c>
      <c r="CA197" s="104">
        <f>100*190*10</f>
        <v>190000</v>
      </c>
      <c r="CB197" s="104" t="s">
        <v>26</v>
      </c>
      <c r="CC197" s="23">
        <v>9.9999999999999995E-7</v>
      </c>
      <c r="CD197" s="23">
        <f t="shared" ref="CD197:CD203" si="4">CA197*CC197</f>
        <v>0.19</v>
      </c>
      <c r="CE197" s="23" t="s">
        <v>15</v>
      </c>
      <c r="CF197" s="23">
        <v>18</v>
      </c>
      <c r="CG197" s="23" t="s">
        <v>13</v>
      </c>
      <c r="CH197" s="23">
        <f>CD197*CF197</f>
        <v>3.42</v>
      </c>
    </row>
    <row r="198" spans="78:88" x14ac:dyDescent="0.25">
      <c r="BZ198" s="101" t="s">
        <v>129</v>
      </c>
      <c r="CA198" s="104">
        <f>3708.8</f>
        <v>3708.8</v>
      </c>
      <c r="CB198" s="104" t="s">
        <v>10</v>
      </c>
      <c r="CC198" s="23">
        <f>1/100</f>
        <v>0.01</v>
      </c>
      <c r="CD198" s="23">
        <f t="shared" si="4"/>
        <v>37.088000000000001</v>
      </c>
      <c r="CE198" s="23" t="s">
        <v>16</v>
      </c>
      <c r="CF198" s="23">
        <v>7.7585999999999999E-5</v>
      </c>
      <c r="CG198" s="23" t="s">
        <v>22</v>
      </c>
      <c r="CH198" s="23">
        <f t="shared" ref="CH198:CH200" si="5">CD198*CF198</f>
        <v>2.8775095680000002E-3</v>
      </c>
    </row>
    <row r="199" spans="78:88" x14ac:dyDescent="0.25">
      <c r="BZ199" s="101" t="s">
        <v>131</v>
      </c>
      <c r="CA199" s="104">
        <f>210*210*0.3</f>
        <v>13230</v>
      </c>
      <c r="CB199" s="104" t="s">
        <v>26</v>
      </c>
      <c r="CC199" s="23">
        <v>9.9999999999999995E-7</v>
      </c>
      <c r="CD199" s="23">
        <f t="shared" si="4"/>
        <v>1.3229999999999999E-2</v>
      </c>
      <c r="CE199" s="23" t="s">
        <v>15</v>
      </c>
      <c r="CF199" s="23">
        <v>12</v>
      </c>
      <c r="CG199" s="23" t="s">
        <v>13</v>
      </c>
      <c r="CH199" s="23">
        <f t="shared" si="5"/>
        <v>0.15875999999999998</v>
      </c>
    </row>
    <row r="200" spans="78:88" x14ac:dyDescent="0.25">
      <c r="BZ200" s="101" t="s">
        <v>127</v>
      </c>
      <c r="CA200" s="104">
        <f>560</f>
        <v>560</v>
      </c>
      <c r="CB200" s="104" t="s">
        <v>9</v>
      </c>
      <c r="CC200" s="23">
        <f>0.0001</f>
        <v>1E-4</v>
      </c>
      <c r="CD200" s="23">
        <f t="shared" si="4"/>
        <v>5.6000000000000001E-2</v>
      </c>
      <c r="CE200" s="23" t="s">
        <v>17</v>
      </c>
      <c r="CF200" s="23">
        <f>20/1000</f>
        <v>0.02</v>
      </c>
      <c r="CG200" s="23" t="s">
        <v>23</v>
      </c>
      <c r="CH200" s="23">
        <f t="shared" si="5"/>
        <v>1.1200000000000001E-3</v>
      </c>
    </row>
    <row r="201" spans="78:88" x14ac:dyDescent="0.25">
      <c r="BZ201" s="101" t="s">
        <v>93</v>
      </c>
      <c r="CA201" s="104">
        <v>100</v>
      </c>
      <c r="CB201" s="104" t="s">
        <v>10</v>
      </c>
      <c r="CC201" s="23">
        <f>1/100</f>
        <v>0.01</v>
      </c>
      <c r="CD201" s="23">
        <f t="shared" si="4"/>
        <v>1</v>
      </c>
      <c r="CE201" s="23" t="s">
        <v>16</v>
      </c>
      <c r="CF201" s="23">
        <f>1/117.5</f>
        <v>8.5106382978723406E-3</v>
      </c>
      <c r="CG201" s="23" t="s">
        <v>22</v>
      </c>
      <c r="CH201" s="23">
        <f>CD201*CF201</f>
        <v>8.5106382978723406E-3</v>
      </c>
    </row>
    <row r="202" spans="78:88" x14ac:dyDescent="0.25">
      <c r="BZ202" s="11" t="s">
        <v>130</v>
      </c>
      <c r="CA202" s="104">
        <f>2400.96</f>
        <v>2400.96</v>
      </c>
      <c r="CB202" s="104" t="s">
        <v>10</v>
      </c>
      <c r="CC202" s="23">
        <f>1/100</f>
        <v>0.01</v>
      </c>
      <c r="CD202" s="23">
        <f t="shared" si="4"/>
        <v>24.009600000000002</v>
      </c>
      <c r="CE202" s="23" t="s">
        <v>16</v>
      </c>
      <c r="CF202" s="23">
        <v>7.7585999999999999E-5</v>
      </c>
      <c r="CG202" s="23" t="s">
        <v>22</v>
      </c>
      <c r="CH202" s="23">
        <f>CD202*CF202</f>
        <v>1.8628088256000001E-3</v>
      </c>
      <c r="CI202" s="408" t="s">
        <v>133</v>
      </c>
      <c r="CJ202" s="408"/>
    </row>
    <row r="203" spans="78:88" x14ac:dyDescent="0.25">
      <c r="BZ203" s="11" t="s">
        <v>132</v>
      </c>
      <c r="CA203" s="104">
        <f>210*210</f>
        <v>44100</v>
      </c>
      <c r="CB203" s="104" t="s">
        <v>9</v>
      </c>
      <c r="CC203" s="23">
        <f>0.0001</f>
        <v>1E-4</v>
      </c>
      <c r="CD203" s="23">
        <f t="shared" si="4"/>
        <v>4.41</v>
      </c>
      <c r="CE203" s="23" t="s">
        <v>17</v>
      </c>
      <c r="CF203" s="23">
        <v>0.1</v>
      </c>
      <c r="CG203" s="23" t="s">
        <v>23</v>
      </c>
      <c r="CH203" s="23">
        <f>CD203*CF203</f>
        <v>0.44100000000000006</v>
      </c>
      <c r="CI203" s="4">
        <f>CH197+CH198+CH199+CH200+CH201+CH202+CH203</f>
        <v>4.034130956691472</v>
      </c>
      <c r="CJ203" s="4" t="s">
        <v>18</v>
      </c>
    </row>
    <row r="231" spans="75:92" x14ac:dyDescent="0.25">
      <c r="CL231" s="416" t="s">
        <v>52</v>
      </c>
      <c r="CM231" s="416"/>
    </row>
    <row r="232" spans="75:92" x14ac:dyDescent="0.25">
      <c r="CL232" s="436" t="s">
        <v>162</v>
      </c>
      <c r="CM232" s="417"/>
      <c r="CN232" s="127" t="s">
        <v>150</v>
      </c>
    </row>
    <row r="233" spans="75:92" x14ac:dyDescent="0.25">
      <c r="CL233" s="184">
        <v>135</v>
      </c>
      <c r="CM233" s="4" t="s">
        <v>27</v>
      </c>
    </row>
    <row r="234" spans="75:92" x14ac:dyDescent="0.25">
      <c r="CG234" s="410" t="s">
        <v>134</v>
      </c>
      <c r="CH234" s="410"/>
      <c r="CL234" s="4">
        <f>CH236</f>
        <v>692.55</v>
      </c>
      <c r="CM234" s="4" t="s">
        <v>28</v>
      </c>
    </row>
    <row r="235" spans="75:92" x14ac:dyDescent="0.25">
      <c r="CC235" s="1"/>
      <c r="CG235" s="101" t="s">
        <v>50</v>
      </c>
      <c r="CH235" s="101" t="s">
        <v>1</v>
      </c>
      <c r="CL235" s="14">
        <f>CL233*CI259-CH236</f>
        <v>127.95112358735491</v>
      </c>
    </row>
    <row r="236" spans="75:92" x14ac:dyDescent="0.25">
      <c r="CC236" s="18" t="s">
        <v>36</v>
      </c>
      <c r="CG236" s="101">
        <f>CL233*CD253</f>
        <v>38.474999999999994</v>
      </c>
      <c r="CH236" s="4">
        <f>CL233*(CH253)</f>
        <v>692.55</v>
      </c>
    </row>
    <row r="237" spans="75:92" x14ac:dyDescent="0.25">
      <c r="CC237" s="19">
        <v>1.0000000000000001E-5</v>
      </c>
    </row>
    <row r="238" spans="75:92" x14ac:dyDescent="0.25">
      <c r="BW238" s="473" t="s">
        <v>87</v>
      </c>
      <c r="BX238" s="473"/>
      <c r="CC238" s="18">
        <f>CC239-CC243</f>
        <v>0</v>
      </c>
    </row>
    <row r="239" spans="75:92" x14ac:dyDescent="0.25">
      <c r="BW239" s="447" t="str">
        <f>BZ244</f>
        <v>Bloque de espuma</v>
      </c>
      <c r="BX239" s="448"/>
      <c r="CC239" s="1">
        <f>CA248</f>
        <v>692.55</v>
      </c>
    </row>
    <row r="240" spans="75:92" x14ac:dyDescent="0.25">
      <c r="BW240" s="12"/>
      <c r="BX240" s="4" t="s">
        <v>18</v>
      </c>
      <c r="CC240" s="13" t="s">
        <v>34</v>
      </c>
    </row>
    <row r="241" spans="75:91" x14ac:dyDescent="0.25">
      <c r="BW241" s="12"/>
      <c r="BX241" s="4" t="s">
        <v>16</v>
      </c>
      <c r="CC241" s="109" t="s">
        <v>142</v>
      </c>
    </row>
    <row r="242" spans="75:91" x14ac:dyDescent="0.25">
      <c r="CC242" s="14" t="s">
        <v>35</v>
      </c>
    </row>
    <row r="243" spans="75:91" x14ac:dyDescent="0.25">
      <c r="CC243">
        <f>CH236</f>
        <v>692.55</v>
      </c>
      <c r="CM243" t="s">
        <v>91</v>
      </c>
    </row>
    <row r="244" spans="75:91" x14ac:dyDescent="0.25">
      <c r="BZ244" s="474" t="s">
        <v>143</v>
      </c>
      <c r="CA244" s="474"/>
      <c r="CC244" s="15" t="s">
        <v>36</v>
      </c>
    </row>
    <row r="245" spans="75:91" x14ac:dyDescent="0.25">
      <c r="BZ245" s="474"/>
      <c r="CA245" s="474"/>
      <c r="CC245" s="28" t="s">
        <v>45</v>
      </c>
    </row>
    <row r="246" spans="75:91" x14ac:dyDescent="0.25">
      <c r="BZ246" s="101" t="s">
        <v>50</v>
      </c>
      <c r="CA246" s="101" t="s">
        <v>1</v>
      </c>
      <c r="CB246" s="101" t="s">
        <v>42</v>
      </c>
      <c r="CC246" s="28"/>
    </row>
    <row r="247" spans="75:91" x14ac:dyDescent="0.25">
      <c r="BZ247" s="27"/>
      <c r="CA247" s="4"/>
      <c r="CB247" s="101"/>
      <c r="CC247" s="16"/>
    </row>
    <row r="248" spans="75:91" x14ac:dyDescent="0.25">
      <c r="BY248" s="14" t="s">
        <v>170</v>
      </c>
      <c r="BZ248" s="14">
        <f>CG236</f>
        <v>38.474999999999994</v>
      </c>
      <c r="CA248" s="14">
        <f>CH236</f>
        <v>692.55</v>
      </c>
    </row>
    <row r="249" spans="75:91" x14ac:dyDescent="0.25">
      <c r="CC249" s="22">
        <f>CA248-CH236</f>
        <v>0</v>
      </c>
    </row>
    <row r="251" spans="75:91" x14ac:dyDescent="0.25">
      <c r="CA251" s="415" t="str">
        <f>CL232</f>
        <v>Sensaflex de 190 x 100 (C15)</v>
      </c>
      <c r="CB251" s="415"/>
      <c r="CC251" s="4" t="s">
        <v>19</v>
      </c>
      <c r="CD251" s="101" t="s">
        <v>20</v>
      </c>
      <c r="CE251" s="101" t="s">
        <v>2</v>
      </c>
      <c r="CF251" s="101" t="s">
        <v>21</v>
      </c>
      <c r="CG251" s="101" t="s">
        <v>2</v>
      </c>
      <c r="CH251" s="11" t="s">
        <v>24</v>
      </c>
    </row>
    <row r="252" spans="75:91" x14ac:dyDescent="0.25">
      <c r="BZ252" s="101"/>
      <c r="CA252" s="104"/>
      <c r="CB252" s="104"/>
      <c r="CC252" s="23"/>
      <c r="CD252" s="23"/>
      <c r="CE252" s="23"/>
      <c r="CF252" s="23"/>
      <c r="CG252" s="23"/>
      <c r="CH252" s="39"/>
    </row>
    <row r="253" spans="75:91" x14ac:dyDescent="0.25">
      <c r="BZ253" s="27" t="s">
        <v>128</v>
      </c>
      <c r="CA253" s="104">
        <f>100*190*15</f>
        <v>285000</v>
      </c>
      <c r="CB253" s="104" t="s">
        <v>26</v>
      </c>
      <c r="CC253" s="23">
        <v>9.9999999999999995E-7</v>
      </c>
      <c r="CD253" s="23">
        <f t="shared" ref="CD253:CD260" si="6">CA253*CC253</f>
        <v>0.28499999999999998</v>
      </c>
      <c r="CE253" s="23" t="s">
        <v>15</v>
      </c>
      <c r="CF253" s="23">
        <v>18</v>
      </c>
      <c r="CG253" s="23" t="s">
        <v>13</v>
      </c>
      <c r="CH253" s="23">
        <f>CD253*CF253</f>
        <v>5.13</v>
      </c>
    </row>
    <row r="254" spans="75:91" x14ac:dyDescent="0.25">
      <c r="BZ254" s="27" t="s">
        <v>130</v>
      </c>
      <c r="CA254" s="104">
        <f>5621.76</f>
        <v>5621.76</v>
      </c>
      <c r="CB254" s="104" t="s">
        <v>10</v>
      </c>
      <c r="CC254" s="23">
        <f>1/100</f>
        <v>0.01</v>
      </c>
      <c r="CD254" s="23">
        <f t="shared" si="6"/>
        <v>56.217600000000004</v>
      </c>
      <c r="CE254" s="23" t="s">
        <v>16</v>
      </c>
      <c r="CF254" s="23">
        <v>7.7585999999999999E-5</v>
      </c>
      <c r="CG254" s="23" t="s">
        <v>22</v>
      </c>
      <c r="CH254" s="23">
        <f t="shared" ref="CH254:CH256" si="7">CD254*CF254</f>
        <v>4.3616987136000001E-3</v>
      </c>
    </row>
    <row r="255" spans="75:91" x14ac:dyDescent="0.25">
      <c r="BZ255" s="27" t="s">
        <v>164</v>
      </c>
      <c r="CA255" s="104">
        <f>210*210*0.3</f>
        <v>13230</v>
      </c>
      <c r="CB255" s="104" t="s">
        <v>26</v>
      </c>
      <c r="CC255" s="23">
        <v>9.9999999999999995E-7</v>
      </c>
      <c r="CD255" s="23">
        <f t="shared" si="6"/>
        <v>1.3229999999999999E-2</v>
      </c>
      <c r="CE255" s="23" t="s">
        <v>15</v>
      </c>
      <c r="CF255" s="23">
        <v>12</v>
      </c>
      <c r="CG255" s="23" t="s">
        <v>13</v>
      </c>
      <c r="CH255" s="23">
        <f t="shared" si="7"/>
        <v>0.15875999999999998</v>
      </c>
    </row>
    <row r="256" spans="75:91" x14ac:dyDescent="0.25">
      <c r="BZ256" s="27" t="s">
        <v>127</v>
      </c>
      <c r="CA256" s="104">
        <f>56000</f>
        <v>56000</v>
      </c>
      <c r="CB256" s="104" t="s">
        <v>9</v>
      </c>
      <c r="CC256" s="23">
        <f>0.0001</f>
        <v>1E-4</v>
      </c>
      <c r="CD256" s="23">
        <f t="shared" si="6"/>
        <v>5.6000000000000005</v>
      </c>
      <c r="CE256" s="23" t="s">
        <v>17</v>
      </c>
      <c r="CF256" s="23">
        <f>20/1000</f>
        <v>0.02</v>
      </c>
      <c r="CG256" s="23" t="s">
        <v>23</v>
      </c>
      <c r="CH256" s="23">
        <f t="shared" si="7"/>
        <v>0.11200000000000002</v>
      </c>
    </row>
    <row r="257" spans="78:88" x14ac:dyDescent="0.25">
      <c r="BZ257" s="27" t="s">
        <v>93</v>
      </c>
      <c r="CA257" s="104">
        <v>100</v>
      </c>
      <c r="CB257" s="104" t="s">
        <v>10</v>
      </c>
      <c r="CC257" s="23">
        <f>1/100</f>
        <v>0.01</v>
      </c>
      <c r="CD257" s="23">
        <f t="shared" si="6"/>
        <v>1</v>
      </c>
      <c r="CE257" s="23" t="s">
        <v>16</v>
      </c>
      <c r="CF257" s="23">
        <f>1/117.5</f>
        <v>8.5106382978723406E-3</v>
      </c>
      <c r="CG257" s="23" t="s">
        <v>22</v>
      </c>
      <c r="CH257" s="23">
        <f>CD257*CF257</f>
        <v>8.5106382978723406E-3</v>
      </c>
    </row>
    <row r="258" spans="78:88" x14ac:dyDescent="0.25">
      <c r="BZ258" s="132" t="s">
        <v>130</v>
      </c>
      <c r="CA258" s="104">
        <f>2400.96</f>
        <v>2400.96</v>
      </c>
      <c r="CB258" s="104" t="s">
        <v>10</v>
      </c>
      <c r="CC258" s="23">
        <f>1/100</f>
        <v>0.01</v>
      </c>
      <c r="CD258" s="23">
        <f t="shared" si="6"/>
        <v>24.009600000000002</v>
      </c>
      <c r="CE258" s="23" t="s">
        <v>16</v>
      </c>
      <c r="CF258" s="23">
        <v>7.7585999999999999E-5</v>
      </c>
      <c r="CG258" s="23" t="s">
        <v>22</v>
      </c>
      <c r="CH258" s="23">
        <f>CD258*CF258</f>
        <v>1.8628088256000001E-3</v>
      </c>
      <c r="CI258" s="408" t="s">
        <v>163</v>
      </c>
      <c r="CJ258" s="408"/>
    </row>
    <row r="259" spans="78:88" x14ac:dyDescent="0.25">
      <c r="BZ259" s="132" t="s">
        <v>132</v>
      </c>
      <c r="CA259" s="131">
        <f>227*227</f>
        <v>51529</v>
      </c>
      <c r="CB259" s="131" t="s">
        <v>9</v>
      </c>
      <c r="CC259" s="39">
        <f>0.0001</f>
        <v>1E-4</v>
      </c>
      <c r="CD259" s="39">
        <f t="shared" si="6"/>
        <v>5.1528999999999998</v>
      </c>
      <c r="CE259" s="39" t="s">
        <v>17</v>
      </c>
      <c r="CF259" s="39">
        <v>0.1</v>
      </c>
      <c r="CG259" s="39" t="s">
        <v>23</v>
      </c>
      <c r="CH259" s="39">
        <f>CD259*CF259</f>
        <v>0.51529000000000003</v>
      </c>
      <c r="CI259" s="4">
        <f>CH253+CH254+CH255+CH256+CH257+CH258+CH259+CH260+CH261+CH262</f>
        <v>6.0777861006470735</v>
      </c>
      <c r="CJ259" s="4" t="s">
        <v>18</v>
      </c>
    </row>
    <row r="260" spans="78:88" x14ac:dyDescent="0.25">
      <c r="BZ260" s="108" t="s">
        <v>165</v>
      </c>
      <c r="CA260" s="71">
        <f>0.515*0.515*0.3</f>
        <v>7.9567499999999999E-2</v>
      </c>
      <c r="CB260" s="127" t="s">
        <v>26</v>
      </c>
      <c r="CC260" s="71">
        <v>9.9999999999999995E-7</v>
      </c>
      <c r="CD260" s="71">
        <f t="shared" si="6"/>
        <v>7.9567500000000001E-8</v>
      </c>
      <c r="CE260" s="71" t="s">
        <v>15</v>
      </c>
      <c r="CF260" s="71">
        <v>12</v>
      </c>
      <c r="CG260" s="71" t="s">
        <v>13</v>
      </c>
      <c r="CH260" s="71">
        <f>CD260*CF260</f>
        <v>9.5481000000000001E-7</v>
      </c>
    </row>
    <row r="261" spans="78:88" x14ac:dyDescent="0.25">
      <c r="BZ261" s="134" t="s">
        <v>166</v>
      </c>
      <c r="CA261" s="135"/>
      <c r="CB261" s="135"/>
      <c r="CC261" s="135"/>
      <c r="CD261" s="136">
        <v>1.23</v>
      </c>
      <c r="CE261" s="136" t="s">
        <v>17</v>
      </c>
      <c r="CF261" s="136">
        <v>0.1</v>
      </c>
      <c r="CG261" s="136" t="s">
        <v>22</v>
      </c>
      <c r="CH261" s="136">
        <f>CD261*CF261</f>
        <v>0.123</v>
      </c>
    </row>
    <row r="262" spans="78:88" x14ac:dyDescent="0.25">
      <c r="BZ262" s="137" t="s">
        <v>167</v>
      </c>
      <c r="CA262" s="71">
        <f>6*4</f>
        <v>24</v>
      </c>
      <c r="CB262" s="138" t="s">
        <v>5</v>
      </c>
      <c r="CC262" s="71"/>
      <c r="CD262" s="71"/>
      <c r="CE262" s="71"/>
      <c r="CF262" s="71">
        <f>1/1000</f>
        <v>1E-3</v>
      </c>
      <c r="CG262" s="139" t="s">
        <v>18</v>
      </c>
      <c r="CH262" s="139">
        <f>CA262*CF262</f>
        <v>2.4E-2</v>
      </c>
    </row>
    <row r="325" spans="27:77" x14ac:dyDescent="0.25">
      <c r="AZ325" s="18" t="s">
        <v>36</v>
      </c>
      <c r="BH325" s="18" t="s">
        <v>36</v>
      </c>
      <c r="BY325" s="10"/>
    </row>
    <row r="326" spans="27:77" x14ac:dyDescent="0.25">
      <c r="AE326" s="18" t="s">
        <v>36</v>
      </c>
      <c r="AZ326" s="19">
        <v>1E-4</v>
      </c>
      <c r="BH326" s="19">
        <v>1E-4</v>
      </c>
      <c r="BY326" s="10"/>
    </row>
    <row r="327" spans="27:77" ht="15.75" thickBot="1" x14ac:dyDescent="0.3">
      <c r="AE327" s="19">
        <v>1E-4</v>
      </c>
      <c r="AZ327" s="175">
        <f>AZ317</f>
        <v>0</v>
      </c>
      <c r="BH327" s="18"/>
      <c r="BY327" s="10"/>
    </row>
    <row r="328" spans="27:77" x14ac:dyDescent="0.25">
      <c r="AE328" s="18"/>
      <c r="AN328" s="453" t="s">
        <v>208</v>
      </c>
      <c r="AO328" s="454"/>
      <c r="AU328" s="473" t="s">
        <v>87</v>
      </c>
      <c r="AV328" s="473"/>
      <c r="AZ328" s="1">
        <f>AU330*AU332</f>
        <v>128.25237849999999</v>
      </c>
      <c r="BH328" s="1">
        <f>AZ332</f>
        <v>128.25237849999999</v>
      </c>
      <c r="BY328" s="10"/>
    </row>
    <row r="329" spans="27:77" x14ac:dyDescent="0.25">
      <c r="AE329" s="179">
        <f>SUM(AC336:AC343)</f>
        <v>136.49285032338193</v>
      </c>
      <c r="AN329" s="455"/>
      <c r="AO329" s="456"/>
      <c r="AU329" s="447">
        <f>AX334</f>
        <v>0</v>
      </c>
      <c r="AV329" s="448"/>
      <c r="AZ329" s="13" t="s">
        <v>34</v>
      </c>
      <c r="BH329" s="13" t="s">
        <v>34</v>
      </c>
      <c r="BY329" s="10"/>
    </row>
    <row r="330" spans="27:77" x14ac:dyDescent="0.25">
      <c r="AE330" s="13" t="s">
        <v>34</v>
      </c>
      <c r="AN330" s="455"/>
      <c r="AO330" s="456"/>
      <c r="AQ330" s="1" t="s">
        <v>106</v>
      </c>
      <c r="AU330" s="42">
        <v>64.126189249999996</v>
      </c>
      <c r="AV330" s="4" t="s">
        <v>18</v>
      </c>
      <c r="AZ330" s="109" t="s">
        <v>222</v>
      </c>
      <c r="BH330" s="109" t="s">
        <v>218</v>
      </c>
      <c r="BY330" s="10"/>
    </row>
    <row r="331" spans="27:77" x14ac:dyDescent="0.25">
      <c r="AE331" s="109" t="s">
        <v>119</v>
      </c>
      <c r="AL331" s="18" t="s">
        <v>36</v>
      </c>
      <c r="AN331" s="455"/>
      <c r="AO331" s="456"/>
      <c r="AQ331" s="18" t="s">
        <v>36</v>
      </c>
      <c r="AU331" s="42">
        <v>5.3438489999999996</v>
      </c>
      <c r="AV331" s="4" t="s">
        <v>15</v>
      </c>
      <c r="AZ331" s="14" t="s">
        <v>35</v>
      </c>
      <c r="BH331" s="14" t="s">
        <v>35</v>
      </c>
      <c r="BJ331" s="421" t="s">
        <v>260</v>
      </c>
      <c r="BK331" s="421"/>
      <c r="BY331" s="10"/>
    </row>
    <row r="332" spans="27:77" ht="18.75" x14ac:dyDescent="0.3">
      <c r="AE332" s="14" t="s">
        <v>35</v>
      </c>
      <c r="AL332" s="19">
        <v>1E-4</v>
      </c>
      <c r="AN332" s="455"/>
      <c r="AO332" s="456"/>
      <c r="AQ332" s="19">
        <v>6.9599999999999995E-2</v>
      </c>
      <c r="AU332" s="165">
        <f>ROUNDUP(BH332/AU330,0)</f>
        <v>2</v>
      </c>
      <c r="AV332" s="165" t="s">
        <v>217</v>
      </c>
      <c r="AZ332" s="1">
        <f>AZ328</f>
        <v>128.25237849999999</v>
      </c>
      <c r="BH332" s="1">
        <f>SUM(BY336:BY343)+BW340</f>
        <v>109.25593815642839</v>
      </c>
      <c r="BJ332" s="421"/>
      <c r="BK332" s="421"/>
      <c r="BY332" s="10"/>
    </row>
    <row r="333" spans="27:77" ht="15.75" thickBot="1" x14ac:dyDescent="0.3">
      <c r="AE333" s="1">
        <f>AE329</f>
        <v>136.49285032338193</v>
      </c>
      <c r="AL333" s="18"/>
      <c r="AN333" s="457"/>
      <c r="AO333" s="458"/>
      <c r="AQ333" s="18">
        <f>AQ334-AQ338</f>
        <v>8.9263655435999851</v>
      </c>
      <c r="AZ333" s="15" t="s">
        <v>36</v>
      </c>
      <c r="BD333" s="410" t="s">
        <v>219</v>
      </c>
      <c r="BE333" s="410"/>
      <c r="BH333" s="15" t="s">
        <v>36</v>
      </c>
      <c r="BJ333" s="154" t="s">
        <v>1</v>
      </c>
      <c r="BK333" s="120" t="s">
        <v>1</v>
      </c>
      <c r="BY333" s="10"/>
    </row>
    <row r="334" spans="27:77" ht="18.75" x14ac:dyDescent="0.3">
      <c r="AB334" s="24" t="s">
        <v>51</v>
      </c>
      <c r="AC334" s="24"/>
      <c r="AE334" s="15" t="s">
        <v>36</v>
      </c>
      <c r="AL334" s="1">
        <f>AO342</f>
        <v>137.17874404359998</v>
      </c>
      <c r="AQ334" s="1">
        <f>AQ338+AQ338*AQ332</f>
        <v>137.17874404359998</v>
      </c>
      <c r="AU334" s="165"/>
      <c r="AV334" s="166"/>
      <c r="AZ334" s="17"/>
      <c r="BD334" s="410"/>
      <c r="BE334" s="410"/>
      <c r="BH334" s="17">
        <f>IF(BH327=BH328,BH328-BH332,BH327-BH332)</f>
        <v>-109.25593815642839</v>
      </c>
      <c r="BJ334" s="171">
        <f>BH332</f>
        <v>109.25593815642839</v>
      </c>
      <c r="BK334" s="67">
        <f>BJ334</f>
        <v>109.25593815642839</v>
      </c>
      <c r="BY334" s="10"/>
    </row>
    <row r="335" spans="27:77" ht="18.75" x14ac:dyDescent="0.3">
      <c r="AB335" s="475" t="s">
        <v>120</v>
      </c>
      <c r="AC335" s="476"/>
      <c r="AD335" s="101" t="s">
        <v>2</v>
      </c>
      <c r="AE335" s="17">
        <f>IF(AE328=AE329,AE329-AE333,AE328-AE333)</f>
        <v>-136.49285032338193</v>
      </c>
      <c r="AL335" s="13" t="s">
        <v>34</v>
      </c>
      <c r="AQ335" s="13" t="s">
        <v>34</v>
      </c>
      <c r="AU335" s="165"/>
      <c r="AV335" s="165"/>
      <c r="AZ335" s="20"/>
      <c r="BD335" s="101" t="s">
        <v>1</v>
      </c>
      <c r="BE335" s="101" t="s">
        <v>1</v>
      </c>
      <c r="BF335" s="101" t="s">
        <v>42</v>
      </c>
      <c r="BH335" s="28" t="s">
        <v>45</v>
      </c>
      <c r="BJ335" s="423"/>
      <c r="BK335" s="117"/>
      <c r="BY335" s="10" t="s">
        <v>243</v>
      </c>
    </row>
    <row r="336" spans="27:77" x14ac:dyDescent="0.25">
      <c r="AA336" s="477" t="s">
        <v>121</v>
      </c>
      <c r="AB336" s="12" t="str">
        <f>AI342</f>
        <v>Agua</v>
      </c>
      <c r="AC336" s="4">
        <f>AK342</f>
        <v>4.1153623213079991</v>
      </c>
      <c r="AD336" s="102" t="s">
        <v>18</v>
      </c>
      <c r="AE336" s="28" t="s">
        <v>45</v>
      </c>
      <c r="AL336" s="109" t="s">
        <v>84</v>
      </c>
      <c r="AQ336" s="29" t="s">
        <v>85</v>
      </c>
      <c r="BD336" s="27">
        <f>BE336</f>
        <v>128.25237849999999</v>
      </c>
      <c r="BE336" s="4">
        <f>AZ332</f>
        <v>128.25237849999999</v>
      </c>
      <c r="BF336" s="101"/>
      <c r="BJ336" s="423"/>
      <c r="BK336" s="117"/>
      <c r="BY336" s="10">
        <f>CN352*(CJ374+CJ379)</f>
        <v>7.8080899956623995</v>
      </c>
    </row>
    <row r="337" spans="27:94" x14ac:dyDescent="0.25">
      <c r="AA337" s="477"/>
      <c r="AB337" s="12" t="str">
        <f t="shared" ref="AB337:AB342" si="8">AI343</f>
        <v>Poliol</v>
      </c>
      <c r="AC337" s="4">
        <f t="shared" ref="AC337:AC343" si="9">AK343</f>
        <v>86.42260874746799</v>
      </c>
      <c r="AD337" s="102" t="s">
        <v>18</v>
      </c>
      <c r="AL337" s="14" t="s">
        <v>35</v>
      </c>
      <c r="AQ337" s="14" t="s">
        <v>35</v>
      </c>
      <c r="BD337" s="14"/>
      <c r="BJ337" s="117"/>
      <c r="BK337" s="117"/>
      <c r="BY337" s="10">
        <f>CN426*(CJ448+CJ453)</f>
        <v>0</v>
      </c>
    </row>
    <row r="338" spans="27:94" x14ac:dyDescent="0.25">
      <c r="AA338" s="477"/>
      <c r="AB338" s="12" t="str">
        <f t="shared" si="8"/>
        <v>TDI</v>
      </c>
      <c r="AC338" s="4">
        <f t="shared" si="9"/>
        <v>44.583091814169997</v>
      </c>
      <c r="AD338" s="102" t="s">
        <v>18</v>
      </c>
      <c r="AL338" s="1">
        <f>AO342</f>
        <v>137.17874404359998</v>
      </c>
      <c r="AQ338">
        <f>AU330*AU332</f>
        <v>128.25237849999999</v>
      </c>
      <c r="AZ338" s="216">
        <f>BH338</f>
        <v>18.996440343571606</v>
      </c>
      <c r="BA338" s="14"/>
      <c r="BB338" s="14"/>
      <c r="BC338" s="14"/>
      <c r="BD338" s="14"/>
      <c r="BE338" s="14"/>
      <c r="BF338" s="14"/>
      <c r="BG338" s="14"/>
      <c r="BH338" s="216">
        <f>BH328-BH332</f>
        <v>18.996440343571606</v>
      </c>
      <c r="BJ338" s="117"/>
      <c r="BK338" s="117"/>
      <c r="BY338" s="10">
        <f>CN502*(CJ524+CJ529)</f>
        <v>0</v>
      </c>
    </row>
    <row r="339" spans="27:94" x14ac:dyDescent="0.25">
      <c r="AA339" s="477"/>
      <c r="AB339" s="12" t="str">
        <f t="shared" si="8"/>
        <v>Amina</v>
      </c>
      <c r="AC339" s="4">
        <f t="shared" si="9"/>
        <v>0.27435748808719995</v>
      </c>
      <c r="AD339" s="102" t="s">
        <v>18</v>
      </c>
      <c r="AE339" s="21">
        <f>SUM(AC336:AC343)-SUM(AK342:AK349)</f>
        <v>0</v>
      </c>
      <c r="AI339" s="410" t="s">
        <v>107</v>
      </c>
      <c r="AJ339" s="410"/>
      <c r="AL339" s="15" t="s">
        <v>36</v>
      </c>
      <c r="AN339" s="410" t="s">
        <v>103</v>
      </c>
      <c r="AO339" s="410"/>
      <c r="AQ339" s="15" t="s">
        <v>36</v>
      </c>
      <c r="AZ339" s="14" t="s">
        <v>244</v>
      </c>
      <c r="BA339" s="14"/>
      <c r="BB339" s="14"/>
      <c r="BC339" s="14"/>
      <c r="BD339" s="14"/>
      <c r="BE339" s="14"/>
      <c r="BF339" s="14"/>
      <c r="BG339" s="14"/>
      <c r="BH339" s="14"/>
      <c r="BJ339" s="117"/>
      <c r="BK339" s="117"/>
      <c r="BY339" s="10">
        <f>CN580*(CJ602+CJ607)</f>
        <v>0</v>
      </c>
    </row>
    <row r="340" spans="27:94" x14ac:dyDescent="0.25">
      <c r="AA340" s="477"/>
      <c r="AB340" s="12" t="str">
        <f t="shared" si="8"/>
        <v>Estaño</v>
      </c>
      <c r="AC340" s="4">
        <f t="shared" si="9"/>
        <v>0.27435748808719995</v>
      </c>
      <c r="AD340" s="102" t="s">
        <v>18</v>
      </c>
      <c r="AI340" s="410"/>
      <c r="AJ340" s="410"/>
      <c r="AL340" s="17">
        <f>IF(AL333=AL334,AL334-AL338,AL333-AL338)</f>
        <v>-137.17874404359998</v>
      </c>
      <c r="AN340" s="410"/>
      <c r="AO340" s="410"/>
      <c r="AQ340" s="17"/>
      <c r="BJ340" s="117"/>
      <c r="BK340" s="117"/>
      <c r="BY340" s="48"/>
    </row>
    <row r="341" spans="27:94" x14ac:dyDescent="0.25">
      <c r="AA341" s="477"/>
      <c r="AB341" s="12" t="str">
        <f t="shared" si="8"/>
        <v>Siliciona</v>
      </c>
      <c r="AC341" s="4">
        <f t="shared" si="9"/>
        <v>0.27435748808719995</v>
      </c>
      <c r="AD341" s="102" t="s">
        <v>18</v>
      </c>
      <c r="AI341" s="101" t="s">
        <v>108</v>
      </c>
      <c r="AJ341" s="101" t="s">
        <v>118</v>
      </c>
      <c r="AK341" s="101" t="s">
        <v>117</v>
      </c>
      <c r="AL341" s="28" t="s">
        <v>45</v>
      </c>
      <c r="AN341" s="101" t="s">
        <v>50</v>
      </c>
      <c r="AO341" s="101" t="s">
        <v>1</v>
      </c>
      <c r="AP341" s="101" t="s">
        <v>42</v>
      </c>
      <c r="AQ341" s="28"/>
      <c r="BY341">
        <f>CL233*(CH255+CH260)</f>
        <v>21.43272889935</v>
      </c>
    </row>
    <row r="342" spans="27:94" x14ac:dyDescent="0.25">
      <c r="AA342" s="477"/>
      <c r="AB342" s="12" t="str">
        <f t="shared" si="8"/>
        <v>Polimérico</v>
      </c>
      <c r="AC342" s="4">
        <f t="shared" si="9"/>
        <v>0.27435748808719995</v>
      </c>
      <c r="AD342" s="102" t="s">
        <v>18</v>
      </c>
      <c r="AI342" s="101" t="s">
        <v>109</v>
      </c>
      <c r="AJ342" s="105">
        <v>0.03</v>
      </c>
      <c r="AK342" s="101">
        <f>AJ342*$AL$334</f>
        <v>4.1153623213079991</v>
      </c>
      <c r="AN342" s="27">
        <f>AO342*(1/1005)</f>
        <v>0.13649626272995022</v>
      </c>
      <c r="AO342" s="4">
        <f>AQ334</f>
        <v>137.17874404359998</v>
      </c>
      <c r="AP342" s="101">
        <f>IF(AQ340&gt;0,AO342+AQ340/2,AO342)</f>
        <v>137.17874404359998</v>
      </c>
      <c r="AQ342" s="16"/>
      <c r="BY342">
        <f>CL177*(CH199)</f>
        <v>69.695639999999997</v>
      </c>
    </row>
    <row r="343" spans="27:94" x14ac:dyDescent="0.25">
      <c r="AA343" s="477"/>
      <c r="AB343" s="12" t="str">
        <f>AI349</f>
        <v>Cloruro de Metilo</v>
      </c>
      <c r="AC343" s="4">
        <f t="shared" si="9"/>
        <v>0.27435748808719995</v>
      </c>
      <c r="AD343" s="102" t="s">
        <v>18</v>
      </c>
      <c r="AI343" s="4" t="s">
        <v>110</v>
      </c>
      <c r="AJ343" s="105">
        <v>0.63</v>
      </c>
      <c r="AK343" s="101">
        <f t="shared" ref="AK343:AK349" si="10">AJ343*$AL$334</f>
        <v>86.42260874746799</v>
      </c>
      <c r="AN343" s="14" t="s">
        <v>104</v>
      </c>
      <c r="BY343">
        <f>CM702*(CI724+CJ379)</f>
        <v>10.319479261415999</v>
      </c>
    </row>
    <row r="344" spans="27:94" x14ac:dyDescent="0.25">
      <c r="AI344" s="4" t="s">
        <v>111</v>
      </c>
      <c r="AJ344" s="105">
        <v>0.32500000000000001</v>
      </c>
      <c r="AK344" s="101">
        <f t="shared" si="10"/>
        <v>44.583091814169997</v>
      </c>
      <c r="AL344" s="21">
        <f>AL334-AL338</f>
        <v>0</v>
      </c>
      <c r="AQ344" s="22">
        <f>AQ334-AQ338</f>
        <v>8.9263655435999851</v>
      </c>
    </row>
    <row r="345" spans="27:94" x14ac:dyDescent="0.25">
      <c r="AI345" s="4" t="s">
        <v>112</v>
      </c>
      <c r="AJ345" s="105">
        <v>2E-3</v>
      </c>
      <c r="AK345" s="101">
        <f t="shared" si="10"/>
        <v>0.27435748808719995</v>
      </c>
    </row>
    <row r="346" spans="27:94" x14ac:dyDescent="0.25">
      <c r="AI346" s="4" t="s">
        <v>113</v>
      </c>
      <c r="AJ346" s="105">
        <v>2E-3</v>
      </c>
      <c r="AK346" s="101">
        <f t="shared" si="10"/>
        <v>0.27435748808719995</v>
      </c>
    </row>
    <row r="347" spans="27:94" x14ac:dyDescent="0.25">
      <c r="AI347" s="4" t="s">
        <v>114</v>
      </c>
      <c r="AJ347" s="105">
        <v>2E-3</v>
      </c>
      <c r="AK347" s="101">
        <f t="shared" si="10"/>
        <v>0.27435748808719995</v>
      </c>
    </row>
    <row r="348" spans="27:94" x14ac:dyDescent="0.25">
      <c r="AI348" s="4" t="s">
        <v>115</v>
      </c>
      <c r="AJ348" s="105">
        <v>2E-3</v>
      </c>
      <c r="AK348" s="101">
        <f t="shared" si="10"/>
        <v>0.27435748808719995</v>
      </c>
    </row>
    <row r="349" spans="27:94" x14ac:dyDescent="0.25">
      <c r="AI349" s="4" t="s">
        <v>116</v>
      </c>
      <c r="AJ349" s="105">
        <v>2E-3</v>
      </c>
      <c r="AK349" s="101">
        <f t="shared" si="10"/>
        <v>0.27435748808719995</v>
      </c>
    </row>
    <row r="350" spans="27:94" ht="15.75" thickBot="1" x14ac:dyDescent="0.3">
      <c r="AZ350" s="19">
        <v>1E-4</v>
      </c>
      <c r="CN350" s="430" t="s">
        <v>52</v>
      </c>
      <c r="CO350" s="431"/>
    </row>
    <row r="351" spans="27:94" x14ac:dyDescent="0.25">
      <c r="AZ351" s="18"/>
      <c r="BI351" s="453" t="s">
        <v>208</v>
      </c>
      <c r="BJ351" s="454"/>
      <c r="CN351" s="417" t="s">
        <v>201</v>
      </c>
      <c r="CO351" s="418"/>
      <c r="CP351" s="127" t="s">
        <v>172</v>
      </c>
    </row>
    <row r="352" spans="27:94" x14ac:dyDescent="0.25">
      <c r="AZ352" s="34">
        <f>BG357</f>
        <v>2539.2899914527557</v>
      </c>
      <c r="BI352" s="455"/>
      <c r="BJ352" s="456"/>
      <c r="BX352" s="473" t="s">
        <v>87</v>
      </c>
      <c r="BY352" s="473"/>
      <c r="CN352" s="184">
        <v>41</v>
      </c>
      <c r="CO352" s="4" t="s">
        <v>27</v>
      </c>
    </row>
    <row r="353" spans="48:93" x14ac:dyDescent="0.25">
      <c r="AZ353" s="13" t="s">
        <v>34</v>
      </c>
      <c r="BI353" s="455"/>
      <c r="BJ353" s="456"/>
      <c r="BL353" s="1" t="s">
        <v>106</v>
      </c>
      <c r="BX353" s="447" t="str">
        <f>CA358</f>
        <v>Bloque de espuma</v>
      </c>
      <c r="BY353" s="448"/>
      <c r="CI353" s="428" t="s">
        <v>134</v>
      </c>
      <c r="CJ353" s="429"/>
      <c r="CN353" s="4">
        <f>CJ355+BK334</f>
        <v>151.32193815642836</v>
      </c>
      <c r="CO353" s="4" t="s">
        <v>28</v>
      </c>
    </row>
    <row r="354" spans="48:93" x14ac:dyDescent="0.25">
      <c r="AZ354" s="109" t="s">
        <v>119</v>
      </c>
      <c r="BG354" s="18" t="s">
        <v>36</v>
      </c>
      <c r="BI354" s="455"/>
      <c r="BJ354" s="456"/>
      <c r="BL354" s="18" t="s">
        <v>36</v>
      </c>
      <c r="BX354" s="42">
        <v>94.962228550963189</v>
      </c>
      <c r="BY354" s="4" t="s">
        <v>18</v>
      </c>
      <c r="CI354" s="101" t="s">
        <v>50</v>
      </c>
      <c r="CJ354" s="101" t="s">
        <v>1</v>
      </c>
      <c r="CN354" s="14">
        <f>CN352*CK378-CN353</f>
        <v>724.10345809484443</v>
      </c>
    </row>
    <row r="355" spans="48:93" x14ac:dyDescent="0.25">
      <c r="AZ355" s="14" t="s">
        <v>35</v>
      </c>
      <c r="BG355" s="19">
        <v>1E-4</v>
      </c>
      <c r="BI355" s="455"/>
      <c r="BJ355" s="456"/>
      <c r="BL355" s="19">
        <v>6.9599999999999995E-2</v>
      </c>
      <c r="BX355" s="42">
        <v>5.2756793639423991</v>
      </c>
      <c r="BY355" s="4" t="s">
        <v>15</v>
      </c>
      <c r="CI355" s="101">
        <f>CN352*CF372</f>
        <v>2.3369999999999997</v>
      </c>
      <c r="CJ355" s="4">
        <f>CN352*(CJ372)</f>
        <v>42.065999999999988</v>
      </c>
    </row>
    <row r="356" spans="48:93" ht="19.5" thickBot="1" x14ac:dyDescent="0.35">
      <c r="AZ356" s="1">
        <f>AZ352</f>
        <v>2539.2899914527557</v>
      </c>
      <c r="BG356" s="18"/>
      <c r="BI356" s="457"/>
      <c r="BJ356" s="458"/>
      <c r="BL356" s="18">
        <f>BL357-BL361</f>
        <v>165.23427767867588</v>
      </c>
      <c r="BX356" s="165">
        <f>ROUNDUP(CB361/BX354,0)</f>
        <v>25</v>
      </c>
      <c r="BY356" s="165" t="s">
        <v>209</v>
      </c>
    </row>
    <row r="357" spans="48:93" x14ac:dyDescent="0.25">
      <c r="AW357" s="24" t="s">
        <v>51</v>
      </c>
      <c r="AX357" s="24"/>
      <c r="AZ357" s="15" t="s">
        <v>36</v>
      </c>
      <c r="BG357" s="1">
        <f>BJ365</f>
        <v>2539.2899914527557</v>
      </c>
      <c r="BL357" s="1">
        <f>BL361+BL361*BL355</f>
        <v>2539.2899914527557</v>
      </c>
    </row>
    <row r="358" spans="48:93" ht="18.75" x14ac:dyDescent="0.3">
      <c r="AW358" s="475" t="s">
        <v>120</v>
      </c>
      <c r="AX358" s="476"/>
      <c r="AY358" s="101" t="s">
        <v>2</v>
      </c>
      <c r="AZ358" s="17">
        <f>IF(AZ351=AZ352,AZ352-AZ356,AZ351-AZ356)</f>
        <v>-2539.2899914527557</v>
      </c>
      <c r="BG358" s="13" t="s">
        <v>34</v>
      </c>
      <c r="BL358" s="13" t="s">
        <v>34</v>
      </c>
      <c r="BX358" s="165" t="s">
        <v>210</v>
      </c>
      <c r="BY358" s="166"/>
      <c r="CA358" s="474" t="s">
        <v>143</v>
      </c>
      <c r="CB358" s="474"/>
    </row>
    <row r="359" spans="48:93" ht="18.75" x14ac:dyDescent="0.3">
      <c r="AV359" s="477" t="s">
        <v>121</v>
      </c>
      <c r="AW359" s="12" t="str">
        <f>BD365</f>
        <v>Agua</v>
      </c>
      <c r="AX359" s="4">
        <f>BF365</f>
        <v>76.178699743582669</v>
      </c>
      <c r="AY359" s="102" t="s">
        <v>18</v>
      </c>
      <c r="AZ359" s="28" t="s">
        <v>45</v>
      </c>
      <c r="BG359" s="109" t="s">
        <v>84</v>
      </c>
      <c r="BL359" s="109" t="s">
        <v>85</v>
      </c>
      <c r="BX359" s="165">
        <f>BX356*BX354-CB361</f>
        <v>4.6797137740795733</v>
      </c>
      <c r="BY359" s="165" t="s">
        <v>102</v>
      </c>
      <c r="CA359" s="474"/>
      <c r="CB359" s="474"/>
    </row>
    <row r="360" spans="48:93" x14ac:dyDescent="0.25">
      <c r="AV360" s="477"/>
      <c r="AW360" s="12" t="str">
        <f t="shared" ref="AW360:AW365" si="11">BD366</f>
        <v>Poliol</v>
      </c>
      <c r="AX360" s="4">
        <f t="shared" ref="AX360:AX366" si="12">BF366</f>
        <v>1599.7526946152361</v>
      </c>
      <c r="AY360" s="102" t="s">
        <v>18</v>
      </c>
      <c r="BG360" s="14" t="s">
        <v>35</v>
      </c>
      <c r="BL360" s="14" t="s">
        <v>35</v>
      </c>
      <c r="CA360" s="101" t="s">
        <v>50</v>
      </c>
      <c r="CB360" s="101" t="s">
        <v>1</v>
      </c>
      <c r="CC360" s="167" t="s">
        <v>211</v>
      </c>
    </row>
    <row r="361" spans="48:93" x14ac:dyDescent="0.25">
      <c r="AV361" s="477"/>
      <c r="AW361" s="12" t="str">
        <f t="shared" si="11"/>
        <v>TDI</v>
      </c>
      <c r="AX361" s="4">
        <f t="shared" si="12"/>
        <v>825.26924722214562</v>
      </c>
      <c r="AY361" s="102" t="s">
        <v>18</v>
      </c>
      <c r="BG361" s="1">
        <f>BJ365</f>
        <v>2539.2899914527557</v>
      </c>
      <c r="BL361">
        <f>BX354*BX356</f>
        <v>2374.0557137740798</v>
      </c>
      <c r="CA361" s="4">
        <f>SUM(CA362:CA365)</f>
        <v>131.63200000000001</v>
      </c>
      <c r="CB361" s="4">
        <f>SUM(CB362:CB365)</f>
        <v>2369.3760000000002</v>
      </c>
      <c r="CC361" s="167">
        <f>CB361/SUM(CB362:CB365)*100</f>
        <v>100</v>
      </c>
    </row>
    <row r="362" spans="48:93" x14ac:dyDescent="0.25">
      <c r="AV362" s="477"/>
      <c r="AW362" s="12" t="str">
        <f t="shared" si="11"/>
        <v>Amina</v>
      </c>
      <c r="AX362" s="4">
        <f t="shared" si="12"/>
        <v>5.0785799829055112</v>
      </c>
      <c r="AY362" s="102" t="s">
        <v>18</v>
      </c>
      <c r="AZ362" s="21">
        <f>SUM(AX359:AX366)-SUM(BF365:BF372)</f>
        <v>0</v>
      </c>
      <c r="BD362" s="410" t="s">
        <v>107</v>
      </c>
      <c r="BE362" s="410"/>
      <c r="BG362" s="15" t="s">
        <v>36</v>
      </c>
      <c r="BI362" s="410" t="s">
        <v>103</v>
      </c>
      <c r="BJ362" s="410"/>
      <c r="BL362" s="15" t="s">
        <v>36</v>
      </c>
      <c r="BZ362" s="14" t="s">
        <v>177</v>
      </c>
      <c r="CA362" s="14">
        <f>CF372*CN352</f>
        <v>2.3369999999999997</v>
      </c>
      <c r="CB362" s="14">
        <f>CJ372*CN352</f>
        <v>42.065999999999988</v>
      </c>
      <c r="CC362" s="164">
        <f>CB362/$CB$361*100</f>
        <v>1.7754041570438792</v>
      </c>
      <c r="CO362" t="s">
        <v>91</v>
      </c>
    </row>
    <row r="363" spans="48:93" x14ac:dyDescent="0.25">
      <c r="AV363" s="477"/>
      <c r="AW363" s="12" t="str">
        <f t="shared" si="11"/>
        <v>Estaño</v>
      </c>
      <c r="AX363" s="4">
        <f t="shared" si="12"/>
        <v>5.0785799829055112</v>
      </c>
      <c r="AY363" s="102" t="s">
        <v>18</v>
      </c>
      <c r="BD363" s="410"/>
      <c r="BE363" s="410"/>
      <c r="BG363" s="17">
        <f>IF(BG356=BG357,BG357-BG361,BG356-BG361)</f>
        <v>-2539.2899914527557</v>
      </c>
      <c r="BI363" s="410"/>
      <c r="BJ363" s="410"/>
      <c r="BL363" s="17"/>
      <c r="BZ363" s="14" t="str">
        <f>BY248</f>
        <v>Sensaflex</v>
      </c>
      <c r="CA363" s="14">
        <f>BZ248</f>
        <v>38.474999999999994</v>
      </c>
      <c r="CB363" s="14">
        <f t="shared" ref="CB363" si="13">CA248</f>
        <v>692.55</v>
      </c>
      <c r="CC363" s="164">
        <f t="shared" ref="CC363:CC365" si="14">CB363/$CB$361*100</f>
        <v>29.229214780600461</v>
      </c>
    </row>
    <row r="364" spans="48:93" x14ac:dyDescent="0.25">
      <c r="AV364" s="477"/>
      <c r="AW364" s="12" t="str">
        <f t="shared" si="11"/>
        <v>Siliciona</v>
      </c>
      <c r="AX364" s="4">
        <f>BF370</f>
        <v>5.0785799829055112</v>
      </c>
      <c r="AY364" s="102" t="s">
        <v>18</v>
      </c>
      <c r="BD364" s="101" t="s">
        <v>108</v>
      </c>
      <c r="BE364" s="101" t="s">
        <v>118</v>
      </c>
      <c r="BF364" s="101" t="s">
        <v>117</v>
      </c>
      <c r="BG364" s="28" t="s">
        <v>45</v>
      </c>
      <c r="BI364" s="101" t="s">
        <v>50</v>
      </c>
      <c r="BJ364" s="101" t="s">
        <v>1</v>
      </c>
      <c r="BK364" s="101" t="s">
        <v>42</v>
      </c>
      <c r="BL364" s="28"/>
      <c r="BZ364" s="14" t="str">
        <f>BY192</f>
        <v>Colchonetas</v>
      </c>
      <c r="CA364" s="14">
        <f t="shared" ref="CA364:CB364" si="15">BZ192</f>
        <v>83.41</v>
      </c>
      <c r="CB364" s="14">
        <f t="shared" si="15"/>
        <v>1501.3799999999999</v>
      </c>
      <c r="CC364" s="164">
        <f t="shared" si="14"/>
        <v>63.366050808314078</v>
      </c>
    </row>
    <row r="365" spans="48:93" x14ac:dyDescent="0.25">
      <c r="AV365" s="477"/>
      <c r="AW365" s="12" t="str">
        <f t="shared" si="11"/>
        <v>Polimérico</v>
      </c>
      <c r="AX365" s="4">
        <f t="shared" si="12"/>
        <v>5.0785799829055112</v>
      </c>
      <c r="AY365" s="102" t="s">
        <v>18</v>
      </c>
      <c r="BD365" s="101" t="s">
        <v>109</v>
      </c>
      <c r="BE365" s="105">
        <v>0.03</v>
      </c>
      <c r="BF365" s="101">
        <f>BE365*$BG$357</f>
        <v>76.178699743582669</v>
      </c>
      <c r="BI365" s="27">
        <f>BJ365*(1/1005)</f>
        <v>2.5266567079131894</v>
      </c>
      <c r="BJ365" s="4">
        <f>BL357</f>
        <v>2539.2899914527557</v>
      </c>
      <c r="BK365" s="101">
        <f>IF(BL363&gt;0,BJ365+BL363/2,BJ365)</f>
        <v>2539.2899914527557</v>
      </c>
      <c r="BL365" s="16"/>
      <c r="BZ365" s="14" t="str">
        <f t="shared" ref="BZ365:CA365" si="16">BZ717</f>
        <v>Colchón Cassata</v>
      </c>
      <c r="CA365" s="14">
        <f t="shared" si="16"/>
        <v>7.4099999999999993</v>
      </c>
      <c r="CB365" s="14">
        <f>CB717</f>
        <v>133.37999999999997</v>
      </c>
      <c r="CC365" s="164">
        <f t="shared" si="14"/>
        <v>5.6293302540415686</v>
      </c>
    </row>
    <row r="366" spans="48:93" x14ac:dyDescent="0.25">
      <c r="AV366" s="477"/>
      <c r="AW366" s="12" t="str">
        <f>BD372</f>
        <v>Cloruro de Metilo</v>
      </c>
      <c r="AX366" s="4">
        <f t="shared" si="12"/>
        <v>5.0785799829055112</v>
      </c>
      <c r="AY366" s="102" t="s">
        <v>18</v>
      </c>
      <c r="BD366" s="4" t="s">
        <v>110</v>
      </c>
      <c r="BE366" s="105">
        <v>0.63</v>
      </c>
      <c r="BF366" s="101">
        <f t="shared" ref="BF366:BF371" si="17">BE366*$BG$357</f>
        <v>1599.7526946152361</v>
      </c>
      <c r="BI366" s="14" t="s">
        <v>104</v>
      </c>
    </row>
    <row r="367" spans="48:93" x14ac:dyDescent="0.25">
      <c r="BD367" s="4" t="s">
        <v>111</v>
      </c>
      <c r="BE367" s="105">
        <v>0.32500000000000001</v>
      </c>
      <c r="BF367" s="101">
        <f t="shared" si="17"/>
        <v>825.26924722214562</v>
      </c>
      <c r="BG367" s="21">
        <f>BG357-BG361</f>
        <v>0</v>
      </c>
      <c r="BL367" s="22">
        <f>BL357-BL361</f>
        <v>165.23427767867588</v>
      </c>
    </row>
    <row r="368" spans="48:93" x14ac:dyDescent="0.25">
      <c r="BD368" s="4" t="s">
        <v>112</v>
      </c>
      <c r="BE368" s="105">
        <v>2E-3</v>
      </c>
      <c r="BF368" s="101">
        <f t="shared" si="17"/>
        <v>5.0785799829055112</v>
      </c>
    </row>
    <row r="369" spans="56:90" x14ac:dyDescent="0.25">
      <c r="BD369" s="4" t="s">
        <v>113</v>
      </c>
      <c r="BE369" s="105">
        <v>2E-3</v>
      </c>
      <c r="BF369" s="101">
        <f t="shared" si="17"/>
        <v>5.0785799829055112</v>
      </c>
    </row>
    <row r="370" spans="56:90" x14ac:dyDescent="0.25">
      <c r="BD370" s="4" t="s">
        <v>114</v>
      </c>
      <c r="BE370" s="105">
        <v>2E-3</v>
      </c>
      <c r="BF370" s="101">
        <f t="shared" si="17"/>
        <v>5.0785799829055112</v>
      </c>
      <c r="CC370" s="415" t="s">
        <v>188</v>
      </c>
      <c r="CD370" s="415"/>
      <c r="CE370" s="4" t="s">
        <v>19</v>
      </c>
      <c r="CF370" s="101" t="s">
        <v>20</v>
      </c>
      <c r="CG370" s="101" t="s">
        <v>2</v>
      </c>
      <c r="CH370" s="101" t="s">
        <v>21</v>
      </c>
      <c r="CI370" s="101" t="s">
        <v>2</v>
      </c>
      <c r="CJ370" s="11" t="s">
        <v>24</v>
      </c>
    </row>
    <row r="371" spans="56:90" x14ac:dyDescent="0.25">
      <c r="BD371" s="4" t="s">
        <v>115</v>
      </c>
      <c r="BE371" s="105">
        <v>2E-3</v>
      </c>
      <c r="BF371" s="101">
        <f t="shared" si="17"/>
        <v>5.0785799829055112</v>
      </c>
      <c r="CB371" s="153"/>
      <c r="CC371" s="104"/>
      <c r="CD371" s="104"/>
      <c r="CE371" s="23"/>
      <c r="CF371" s="23"/>
      <c r="CG371" s="23"/>
      <c r="CH371" s="23"/>
      <c r="CI371" s="23"/>
      <c r="CJ371" s="39"/>
    </row>
    <row r="372" spans="56:90" x14ac:dyDescent="0.25">
      <c r="BD372" s="4" t="s">
        <v>116</v>
      </c>
      <c r="BE372" s="105">
        <v>2E-3</v>
      </c>
      <c r="BF372" s="101">
        <f>BE372*$BG$357</f>
        <v>5.0785799829055112</v>
      </c>
      <c r="CB372" s="149" t="s">
        <v>128</v>
      </c>
      <c r="CC372" s="158">
        <f>100*190*3</f>
        <v>57000</v>
      </c>
      <c r="CD372" s="104" t="s">
        <v>26</v>
      </c>
      <c r="CE372" s="23">
        <v>9.9999999999999995E-7</v>
      </c>
      <c r="CF372" s="23">
        <f t="shared" ref="CF372:CF379" si="18">CC372*CE372</f>
        <v>5.6999999999999995E-2</v>
      </c>
      <c r="CG372" s="23" t="s">
        <v>15</v>
      </c>
      <c r="CH372" s="23">
        <v>18</v>
      </c>
      <c r="CI372" s="23" t="s">
        <v>13</v>
      </c>
      <c r="CJ372" s="23">
        <f>CF372*CH372</f>
        <v>1.0259999999999998</v>
      </c>
    </row>
    <row r="373" spans="56:90" x14ac:dyDescent="0.25">
      <c r="CB373" s="149" t="s">
        <v>130</v>
      </c>
      <c r="CC373" s="158">
        <f>5782.8</f>
        <v>5782.8</v>
      </c>
      <c r="CD373" s="104" t="s">
        <v>10</v>
      </c>
      <c r="CE373" s="23">
        <f>1/100</f>
        <v>0.01</v>
      </c>
      <c r="CF373" s="23">
        <f t="shared" si="18"/>
        <v>57.828000000000003</v>
      </c>
      <c r="CG373" s="23" t="s">
        <v>16</v>
      </c>
      <c r="CH373" s="23">
        <v>7.7585999999999999E-5</v>
      </c>
      <c r="CI373" s="23" t="s">
        <v>22</v>
      </c>
      <c r="CJ373" s="23">
        <f t="shared" ref="CJ373:CJ375" si="19">CF373*CH373</f>
        <v>4.4866432080000003E-3</v>
      </c>
    </row>
    <row r="374" spans="56:90" x14ac:dyDescent="0.25">
      <c r="CB374" s="149" t="s">
        <v>164</v>
      </c>
      <c r="CC374" s="158">
        <f>230*230*0.3</f>
        <v>15870</v>
      </c>
      <c r="CD374" s="104" t="s">
        <v>26</v>
      </c>
      <c r="CE374" s="23">
        <v>9.9999999999999995E-7</v>
      </c>
      <c r="CF374" s="23">
        <f t="shared" si="18"/>
        <v>1.5869999999999999E-2</v>
      </c>
      <c r="CG374" s="23" t="s">
        <v>15</v>
      </c>
      <c r="CH374" s="23">
        <v>12</v>
      </c>
      <c r="CI374" s="23" t="s">
        <v>13</v>
      </c>
      <c r="CJ374" s="23">
        <f t="shared" si="19"/>
        <v>0.19044</v>
      </c>
    </row>
    <row r="375" spans="56:90" x14ac:dyDescent="0.25">
      <c r="CB375" s="149" t="s">
        <v>127</v>
      </c>
      <c r="CC375" s="158">
        <v>59400</v>
      </c>
      <c r="CD375" s="104" t="s">
        <v>9</v>
      </c>
      <c r="CE375" s="23">
        <f>0.0001</f>
        <v>1E-4</v>
      </c>
      <c r="CF375" s="23">
        <f t="shared" si="18"/>
        <v>5.94</v>
      </c>
      <c r="CG375" s="23" t="s">
        <v>17</v>
      </c>
      <c r="CH375" s="23">
        <f>20/1000</f>
        <v>0.02</v>
      </c>
      <c r="CI375" s="23" t="s">
        <v>23</v>
      </c>
      <c r="CJ375" s="23">
        <f t="shared" si="19"/>
        <v>0.11880000000000002</v>
      </c>
    </row>
    <row r="376" spans="56:90" x14ac:dyDescent="0.25">
      <c r="CB376" s="149" t="s">
        <v>93</v>
      </c>
      <c r="CC376" s="158">
        <v>100</v>
      </c>
      <c r="CD376" s="104" t="s">
        <v>10</v>
      </c>
      <c r="CE376" s="23">
        <f>1/100</f>
        <v>0.01</v>
      </c>
      <c r="CF376" s="23">
        <f t="shared" si="18"/>
        <v>1</v>
      </c>
      <c r="CG376" s="23" t="s">
        <v>16</v>
      </c>
      <c r="CH376" s="23">
        <f>1/117.5</f>
        <v>8.5106382978723406E-3</v>
      </c>
      <c r="CI376" s="23" t="s">
        <v>22</v>
      </c>
      <c r="CJ376" s="23">
        <f>CF376*CH376</f>
        <v>8.5106382978723406E-3</v>
      </c>
    </row>
    <row r="377" spans="56:90" x14ac:dyDescent="0.25">
      <c r="CB377" s="137" t="s">
        <v>130</v>
      </c>
      <c r="CC377" s="158">
        <f>26177.96</f>
        <v>26177.96</v>
      </c>
      <c r="CD377" s="104" t="s">
        <v>10</v>
      </c>
      <c r="CE377" s="23">
        <f>1/100</f>
        <v>0.01</v>
      </c>
      <c r="CF377" s="23">
        <f t="shared" si="18"/>
        <v>261.77960000000002</v>
      </c>
      <c r="CG377" s="23" t="s">
        <v>16</v>
      </c>
      <c r="CH377" s="23">
        <v>7.7585999999999999E-5</v>
      </c>
      <c r="CI377" s="23" t="s">
        <v>22</v>
      </c>
      <c r="CJ377" s="23">
        <f>CF377*CH377</f>
        <v>2.0310432045599999E-2</v>
      </c>
      <c r="CK377" s="408" t="s">
        <v>204</v>
      </c>
      <c r="CL377" s="408"/>
    </row>
    <row r="378" spans="56:90" x14ac:dyDescent="0.25">
      <c r="CB378" s="137" t="s">
        <v>132</v>
      </c>
      <c r="CC378" s="151">
        <f>227*227</f>
        <v>51529</v>
      </c>
      <c r="CD378" s="131" t="s">
        <v>9</v>
      </c>
      <c r="CE378" s="39">
        <f>0.0001</f>
        <v>1E-4</v>
      </c>
      <c r="CF378" s="39">
        <f t="shared" si="18"/>
        <v>5.1528999999999998</v>
      </c>
      <c r="CG378" s="39" t="s">
        <v>17</v>
      </c>
      <c r="CH378" s="39">
        <v>0.1</v>
      </c>
      <c r="CI378" s="39" t="s">
        <v>23</v>
      </c>
      <c r="CJ378" s="39">
        <f>CF378*CH378</f>
        <v>0.51529000000000003</v>
      </c>
      <c r="CK378" s="4">
        <f>CJ372+CJ373+CJ374+CJ375+CJ376+CJ377+CJ378+CJ379+CJ380+CJ381</f>
        <v>21.351838932957872</v>
      </c>
      <c r="CL378" s="4" t="s">
        <v>18</v>
      </c>
    </row>
    <row r="379" spans="56:90" x14ac:dyDescent="0.25">
      <c r="CB379" s="149" t="s">
        <v>165</v>
      </c>
      <c r="CC379" s="152">
        <f>0.582*0.582*0.3</f>
        <v>0.10161719999999999</v>
      </c>
      <c r="CD379" s="127" t="s">
        <v>26</v>
      </c>
      <c r="CE379" s="71">
        <v>9.9999999999999995E-7</v>
      </c>
      <c r="CF379" s="71">
        <f t="shared" si="18"/>
        <v>1.0161719999999999E-7</v>
      </c>
      <c r="CG379" s="71" t="s">
        <v>15</v>
      </c>
      <c r="CH379" s="71">
        <v>12</v>
      </c>
      <c r="CI379" s="71" t="s">
        <v>13</v>
      </c>
      <c r="CJ379" s="71">
        <f>CF379*CH379</f>
        <v>1.2194063999999998E-6</v>
      </c>
    </row>
    <row r="380" spans="56:90" x14ac:dyDescent="0.25">
      <c r="CB380" s="137" t="s">
        <v>174</v>
      </c>
      <c r="CC380" s="155">
        <v>1</v>
      </c>
      <c r="CD380" s="156" t="s">
        <v>2</v>
      </c>
      <c r="CE380" s="67"/>
      <c r="CF380" s="67"/>
      <c r="CG380" s="139" t="s">
        <v>18</v>
      </c>
      <c r="CH380" s="67"/>
      <c r="CI380" s="139" t="s">
        <v>18</v>
      </c>
      <c r="CJ380" s="71">
        <f>19.44</f>
        <v>19.440000000000001</v>
      </c>
    </row>
    <row r="381" spans="56:90" x14ac:dyDescent="0.25">
      <c r="CB381" s="137" t="s">
        <v>175</v>
      </c>
      <c r="CC381" s="152">
        <f>7*4</f>
        <v>28</v>
      </c>
      <c r="CD381" s="138" t="s">
        <v>5</v>
      </c>
      <c r="CE381" s="71"/>
      <c r="CF381" s="71"/>
      <c r="CG381" s="71"/>
      <c r="CH381" s="71">
        <f>1/1000</f>
        <v>1E-3</v>
      </c>
      <c r="CI381" s="139" t="s">
        <v>18</v>
      </c>
      <c r="CJ381" s="139">
        <f>CC381*CH381</f>
        <v>2.8000000000000001E-2</v>
      </c>
    </row>
    <row r="692" spans="82:93" x14ac:dyDescent="0.25">
      <c r="CN692" s="14" t="s">
        <v>247</v>
      </c>
    </row>
    <row r="693" spans="82:93" x14ac:dyDescent="0.25">
      <c r="CN693" s="14">
        <f>CJ684+CI709+CJ713</f>
        <v>0</v>
      </c>
    </row>
    <row r="700" spans="82:93" x14ac:dyDescent="0.25">
      <c r="CM700" s="416" t="s">
        <v>52</v>
      </c>
      <c r="CN700" s="416"/>
    </row>
    <row r="701" spans="82:93" x14ac:dyDescent="0.25">
      <c r="CM701" s="417" t="s">
        <v>248</v>
      </c>
      <c r="CN701" s="418"/>
      <c r="CO701" s="127" t="s">
        <v>249</v>
      </c>
    </row>
    <row r="702" spans="82:93" x14ac:dyDescent="0.25">
      <c r="CM702" s="223">
        <v>65</v>
      </c>
      <c r="CN702" s="4" t="s">
        <v>27</v>
      </c>
    </row>
    <row r="703" spans="82:93" x14ac:dyDescent="0.25">
      <c r="CH703" s="410" t="s">
        <v>134</v>
      </c>
      <c r="CI703" s="410"/>
      <c r="CM703" s="4">
        <f>CI705</f>
        <v>133.37999999999997</v>
      </c>
      <c r="CN703" s="4" t="s">
        <v>28</v>
      </c>
    </row>
    <row r="704" spans="82:93" x14ac:dyDescent="0.25">
      <c r="CD704" s="1"/>
      <c r="CH704" s="101" t="s">
        <v>50</v>
      </c>
      <c r="CI704" s="101" t="s">
        <v>1</v>
      </c>
      <c r="CM704" s="14">
        <f>CM702*CJ728-CI705</f>
        <v>1642.4060965420597</v>
      </c>
    </row>
    <row r="705" spans="76:92" x14ac:dyDescent="0.25">
      <c r="CD705" s="18" t="s">
        <v>36</v>
      </c>
      <c r="CH705" s="101">
        <f>CM702*CE722</f>
        <v>7.4099999999999993</v>
      </c>
      <c r="CI705" s="4">
        <f>CM702*(CI722)</f>
        <v>133.37999999999997</v>
      </c>
    </row>
    <row r="706" spans="76:92" x14ac:dyDescent="0.25">
      <c r="CD706" s="19">
        <v>1.0000000000000001E-5</v>
      </c>
    </row>
    <row r="707" spans="76:92" x14ac:dyDescent="0.25">
      <c r="BX707" s="473" t="s">
        <v>87</v>
      </c>
      <c r="BY707" s="473"/>
      <c r="CD707" s="18">
        <f>CD708-CD712</f>
        <v>0</v>
      </c>
    </row>
    <row r="708" spans="76:92" x14ac:dyDescent="0.25">
      <c r="BX708" s="447" t="str">
        <f>CA713</f>
        <v>Bloque de espuma</v>
      </c>
      <c r="BY708" s="448"/>
      <c r="CD708" s="1">
        <f>CB717</f>
        <v>133.37999999999997</v>
      </c>
    </row>
    <row r="709" spans="76:92" x14ac:dyDescent="0.25">
      <c r="BX709" s="12"/>
      <c r="BY709" s="4" t="s">
        <v>18</v>
      </c>
      <c r="CD709" s="13" t="s">
        <v>34</v>
      </c>
    </row>
    <row r="710" spans="76:92" x14ac:dyDescent="0.25">
      <c r="BX710" s="12"/>
      <c r="BY710" s="4" t="s">
        <v>16</v>
      </c>
      <c r="CD710" s="109" t="s">
        <v>142</v>
      </c>
    </row>
    <row r="711" spans="76:92" x14ac:dyDescent="0.25">
      <c r="CD711" s="14" t="s">
        <v>35</v>
      </c>
    </row>
    <row r="712" spans="76:92" x14ac:dyDescent="0.25">
      <c r="CD712">
        <f>CI705</f>
        <v>133.37999999999997</v>
      </c>
      <c r="CM712" s="140"/>
      <c r="CN712" t="s">
        <v>91</v>
      </c>
    </row>
    <row r="713" spans="76:92" x14ac:dyDescent="0.25">
      <c r="CA713" s="474" t="s">
        <v>143</v>
      </c>
      <c r="CB713" s="474"/>
      <c r="CD713" s="15" t="s">
        <v>36</v>
      </c>
    </row>
    <row r="714" spans="76:92" x14ac:dyDescent="0.25">
      <c r="CA714" s="474"/>
      <c r="CB714" s="474"/>
      <c r="CD714" s="28" t="s">
        <v>45</v>
      </c>
    </row>
    <row r="715" spans="76:92" x14ac:dyDescent="0.25">
      <c r="CA715" s="101" t="s">
        <v>50</v>
      </c>
      <c r="CB715" s="101" t="s">
        <v>1</v>
      </c>
      <c r="CC715" s="101" t="s">
        <v>42</v>
      </c>
      <c r="CD715" s="28"/>
    </row>
    <row r="716" spans="76:92" x14ac:dyDescent="0.25">
      <c r="CA716" s="27"/>
      <c r="CB716" s="4"/>
      <c r="CC716" s="101"/>
      <c r="CD716" s="16"/>
    </row>
    <row r="717" spans="76:92" x14ac:dyDescent="0.25">
      <c r="BZ717" s="14" t="s">
        <v>252</v>
      </c>
      <c r="CA717" s="14">
        <f>CH705</f>
        <v>7.4099999999999993</v>
      </c>
      <c r="CB717" s="14">
        <f>CI705</f>
        <v>133.37999999999997</v>
      </c>
    </row>
    <row r="718" spans="76:92" x14ac:dyDescent="0.25">
      <c r="CD718" s="22">
        <f>CB717-CI705</f>
        <v>0</v>
      </c>
    </row>
    <row r="720" spans="76:92" x14ac:dyDescent="0.25">
      <c r="CB720" s="415" t="str">
        <f>CM701</f>
        <v>C. Cassata 100 x190</v>
      </c>
      <c r="CC720" s="415"/>
      <c r="CD720" s="4" t="s">
        <v>19</v>
      </c>
      <c r="CE720" s="101" t="s">
        <v>20</v>
      </c>
      <c r="CF720" s="101" t="s">
        <v>2</v>
      </c>
      <c r="CG720" s="101" t="s">
        <v>21</v>
      </c>
      <c r="CH720" s="101" t="s">
        <v>2</v>
      </c>
      <c r="CI720" s="11" t="s">
        <v>24</v>
      </c>
    </row>
    <row r="721" spans="79:89" x14ac:dyDescent="0.25">
      <c r="CA721" s="101"/>
      <c r="CB721" s="104"/>
      <c r="CC721" s="104"/>
      <c r="CD721" s="23"/>
      <c r="CE721" s="23"/>
      <c r="CF721" s="23"/>
      <c r="CG721" s="23"/>
      <c r="CH721" s="23"/>
      <c r="CI721" s="39"/>
    </row>
    <row r="722" spans="79:89" x14ac:dyDescent="0.25">
      <c r="CA722" s="27" t="s">
        <v>128</v>
      </c>
      <c r="CB722" s="104">
        <f>(100*190*3)*2</f>
        <v>114000</v>
      </c>
      <c r="CC722" s="104" t="s">
        <v>26</v>
      </c>
      <c r="CD722" s="23">
        <v>9.9999999999999995E-7</v>
      </c>
      <c r="CE722" s="23">
        <f t="shared" ref="CE722:CE729" si="20">CB722*CD722</f>
        <v>0.11399999999999999</v>
      </c>
      <c r="CF722" s="23" t="s">
        <v>15</v>
      </c>
      <c r="CG722" s="23">
        <v>18</v>
      </c>
      <c r="CH722" s="23" t="s">
        <v>13</v>
      </c>
      <c r="CI722" s="23">
        <f>CE722*CG722</f>
        <v>2.0519999999999996</v>
      </c>
    </row>
    <row r="723" spans="79:89" x14ac:dyDescent="0.25">
      <c r="CA723" s="27" t="s">
        <v>130</v>
      </c>
      <c r="CB723" s="104">
        <f>5621.76</f>
        <v>5621.76</v>
      </c>
      <c r="CC723" s="104" t="s">
        <v>10</v>
      </c>
      <c r="CD723" s="23">
        <f>1/100</f>
        <v>0.01</v>
      </c>
      <c r="CE723" s="23">
        <f t="shared" si="20"/>
        <v>56.217600000000004</v>
      </c>
      <c r="CF723" s="23" t="s">
        <v>16</v>
      </c>
      <c r="CG723" s="23">
        <v>7.7585999999999999E-5</v>
      </c>
      <c r="CH723" s="23" t="s">
        <v>22</v>
      </c>
      <c r="CI723" s="23">
        <f t="shared" ref="CI723:CI725" si="21">CE723*CG723</f>
        <v>4.3616987136000001E-3</v>
      </c>
    </row>
    <row r="724" spans="79:89" x14ac:dyDescent="0.25">
      <c r="CA724" s="27" t="s">
        <v>164</v>
      </c>
      <c r="CB724" s="104">
        <f>210*210*0.3</f>
        <v>13230</v>
      </c>
      <c r="CC724" s="104" t="s">
        <v>26</v>
      </c>
      <c r="CD724" s="23">
        <v>9.9999999999999995E-7</v>
      </c>
      <c r="CE724" s="23">
        <f t="shared" si="20"/>
        <v>1.3229999999999999E-2</v>
      </c>
      <c r="CF724" s="23" t="s">
        <v>15</v>
      </c>
      <c r="CG724" s="23">
        <v>12</v>
      </c>
      <c r="CH724" s="23" t="s">
        <v>13</v>
      </c>
      <c r="CI724" s="23">
        <f t="shared" si="21"/>
        <v>0.15875999999999998</v>
      </c>
    </row>
    <row r="725" spans="79:89" x14ac:dyDescent="0.25">
      <c r="CA725" s="27" t="s">
        <v>127</v>
      </c>
      <c r="CB725" s="104">
        <f>56000</f>
        <v>56000</v>
      </c>
      <c r="CC725" s="104" t="s">
        <v>9</v>
      </c>
      <c r="CD725" s="23">
        <f>0.0001</f>
        <v>1E-4</v>
      </c>
      <c r="CE725" s="23">
        <f t="shared" si="20"/>
        <v>5.6000000000000005</v>
      </c>
      <c r="CF725" s="23" t="s">
        <v>17</v>
      </c>
      <c r="CG725" s="23">
        <f>20/1000</f>
        <v>0.02</v>
      </c>
      <c r="CH725" s="23" t="s">
        <v>23</v>
      </c>
      <c r="CI725" s="23">
        <f t="shared" si="21"/>
        <v>0.11200000000000002</v>
      </c>
    </row>
    <row r="726" spans="79:89" x14ac:dyDescent="0.25">
      <c r="CA726" s="27" t="s">
        <v>93</v>
      </c>
      <c r="CB726" s="104">
        <v>100</v>
      </c>
      <c r="CC726" s="104" t="s">
        <v>10</v>
      </c>
      <c r="CD726" s="23">
        <f>1/100</f>
        <v>0.01</v>
      </c>
      <c r="CE726" s="23">
        <f t="shared" si="20"/>
        <v>1</v>
      </c>
      <c r="CF726" s="23" t="s">
        <v>16</v>
      </c>
      <c r="CG726" s="23">
        <f>1/117.5</f>
        <v>8.5106382978723406E-3</v>
      </c>
      <c r="CH726" s="23" t="s">
        <v>22</v>
      </c>
      <c r="CI726" s="23">
        <f>CE726*CG726</f>
        <v>8.5106382978723406E-3</v>
      </c>
    </row>
    <row r="727" spans="79:89" x14ac:dyDescent="0.25">
      <c r="CA727" s="132" t="s">
        <v>130</v>
      </c>
      <c r="CB727" s="104">
        <f>2400.96</f>
        <v>2400.96</v>
      </c>
      <c r="CC727" s="104" t="s">
        <v>10</v>
      </c>
      <c r="CD727" s="23">
        <f>1/100</f>
        <v>0.01</v>
      </c>
      <c r="CE727" s="23">
        <f t="shared" si="20"/>
        <v>24.009600000000002</v>
      </c>
      <c r="CF727" s="23" t="s">
        <v>16</v>
      </c>
      <c r="CG727" s="23">
        <v>7.7585999999999999E-5</v>
      </c>
      <c r="CH727" s="23" t="s">
        <v>22</v>
      </c>
      <c r="CI727" s="23">
        <f>CE727*CG727</f>
        <v>1.8628088256000001E-3</v>
      </c>
      <c r="CJ727" s="408" t="s">
        <v>250</v>
      </c>
      <c r="CK727" s="408"/>
    </row>
    <row r="728" spans="79:89" x14ac:dyDescent="0.25">
      <c r="CA728" s="132" t="s">
        <v>132</v>
      </c>
      <c r="CB728" s="131">
        <f>227*227</f>
        <v>51529</v>
      </c>
      <c r="CC728" s="131" t="s">
        <v>9</v>
      </c>
      <c r="CD728" s="39">
        <f>0.0001</f>
        <v>1E-4</v>
      </c>
      <c r="CE728" s="39">
        <f t="shared" si="20"/>
        <v>5.1528999999999998</v>
      </c>
      <c r="CF728" s="39" t="s">
        <v>17</v>
      </c>
      <c r="CG728" s="39">
        <v>0.1</v>
      </c>
      <c r="CH728" s="39" t="s">
        <v>23</v>
      </c>
      <c r="CI728" s="39">
        <f>CE728*CG728</f>
        <v>0.51529000000000003</v>
      </c>
      <c r="CJ728" s="4">
        <f>CI722+CI723+CI724+CI725+CI726+CI727+CI728+CI729+CI730+CI731+CI732</f>
        <v>27.319786100647072</v>
      </c>
      <c r="CK728" s="4" t="s">
        <v>18</v>
      </c>
    </row>
    <row r="729" spans="79:89" x14ac:dyDescent="0.25">
      <c r="CA729" s="108" t="s">
        <v>165</v>
      </c>
      <c r="CB729" s="71">
        <f>0.515*0.515*0.3</f>
        <v>7.9567499999999999E-2</v>
      </c>
      <c r="CC729" s="127" t="s">
        <v>26</v>
      </c>
      <c r="CD729" s="71">
        <v>9.9999999999999995E-7</v>
      </c>
      <c r="CE729" s="71">
        <f t="shared" si="20"/>
        <v>7.9567500000000001E-8</v>
      </c>
      <c r="CF729" s="71" t="s">
        <v>15</v>
      </c>
      <c r="CG729" s="71">
        <v>12</v>
      </c>
      <c r="CH729" s="71" t="s">
        <v>13</v>
      </c>
      <c r="CI729" s="71">
        <f>CE729*CG729</f>
        <v>9.5481000000000001E-7</v>
      </c>
    </row>
    <row r="730" spans="79:89" x14ac:dyDescent="0.25">
      <c r="CA730" s="134" t="s">
        <v>166</v>
      </c>
      <c r="CB730" s="135"/>
      <c r="CC730" s="135"/>
      <c r="CD730" s="135"/>
      <c r="CE730" s="136">
        <v>1.23</v>
      </c>
      <c r="CF730" s="136" t="s">
        <v>17</v>
      </c>
      <c r="CG730" s="136">
        <v>0.1</v>
      </c>
      <c r="CH730" s="136" t="s">
        <v>22</v>
      </c>
      <c r="CI730" s="136">
        <f>CE730*CG730</f>
        <v>0.123</v>
      </c>
    </row>
    <row r="731" spans="79:89" x14ac:dyDescent="0.25">
      <c r="CA731" s="137" t="s">
        <v>182</v>
      </c>
      <c r="CB731" s="14">
        <f>190*100*8</f>
        <v>152000</v>
      </c>
      <c r="CC731" s="104" t="s">
        <v>26</v>
      </c>
      <c r="CD731" s="23">
        <v>9.9999999999999995E-7</v>
      </c>
      <c r="CE731" s="23">
        <f>CB731*CD731</f>
        <v>0.152</v>
      </c>
      <c r="CF731" s="23" t="s">
        <v>15</v>
      </c>
      <c r="CG731" s="23">
        <v>80</v>
      </c>
      <c r="CH731" s="133" t="s">
        <v>13</v>
      </c>
      <c r="CI731" s="133">
        <f>CG731*CE731*2</f>
        <v>24.32</v>
      </c>
    </row>
    <row r="732" spans="79:89" x14ac:dyDescent="0.25">
      <c r="CA732" s="137" t="s">
        <v>167</v>
      </c>
      <c r="CB732" s="71">
        <f>6*4</f>
        <v>24</v>
      </c>
      <c r="CC732" s="138" t="s">
        <v>5</v>
      </c>
      <c r="CD732" s="71"/>
      <c r="CE732" s="71"/>
      <c r="CF732" s="71"/>
      <c r="CG732" s="71">
        <f>1/1000</f>
        <v>1E-3</v>
      </c>
      <c r="CH732" s="139" t="s">
        <v>18</v>
      </c>
      <c r="CI732" s="139">
        <f>CB732*CG732</f>
        <v>2.4E-2</v>
      </c>
    </row>
    <row r="766" spans="75:96" x14ac:dyDescent="0.25">
      <c r="BW766" s="219"/>
      <c r="BX766" s="219"/>
      <c r="BY766" s="219"/>
      <c r="BZ766" s="219"/>
      <c r="CA766" s="219"/>
      <c r="CB766" s="219"/>
      <c r="CC766" s="219"/>
      <c r="CD766" s="219"/>
      <c r="CE766" s="219"/>
      <c r="CF766" s="219"/>
      <c r="CG766" s="219"/>
      <c r="CH766" s="219"/>
      <c r="CI766" s="219"/>
      <c r="CJ766" s="219"/>
      <c r="CK766" s="219"/>
      <c r="CL766" s="219"/>
      <c r="CM766" s="219"/>
      <c r="CN766" s="219"/>
      <c r="CO766" s="219"/>
      <c r="CP766" s="219"/>
      <c r="CQ766" s="219"/>
      <c r="CR766" s="219"/>
    </row>
    <row r="767" spans="75:96" x14ac:dyDescent="0.25">
      <c r="BW767" s="219"/>
      <c r="BX767" s="219"/>
      <c r="BY767" s="219"/>
      <c r="BZ767" s="219"/>
      <c r="CA767" s="219"/>
      <c r="CB767" s="219"/>
      <c r="CC767" s="219"/>
      <c r="CD767" s="219"/>
      <c r="CE767" s="219"/>
      <c r="CF767" s="219"/>
      <c r="CG767" s="219"/>
      <c r="CH767" s="219"/>
      <c r="CI767" s="219"/>
      <c r="CJ767" s="219"/>
      <c r="CK767" s="219"/>
      <c r="CL767" s="219"/>
      <c r="CM767" s="219"/>
      <c r="CN767" s="220" t="s">
        <v>247</v>
      </c>
      <c r="CO767" s="219"/>
      <c r="CP767" s="219"/>
      <c r="CQ767" s="219"/>
      <c r="CR767" s="219"/>
    </row>
    <row r="768" spans="75:96" x14ac:dyDescent="0.25">
      <c r="BW768" s="219"/>
      <c r="BX768" s="219"/>
      <c r="BY768" s="219"/>
      <c r="BZ768" s="219"/>
      <c r="CA768" s="219"/>
      <c r="CB768" s="219"/>
      <c r="CC768" s="219"/>
      <c r="CD768" s="219"/>
      <c r="CE768" s="219"/>
      <c r="CF768" s="219"/>
      <c r="CG768" s="219"/>
      <c r="CH768" s="219"/>
      <c r="CI768" s="219"/>
      <c r="CJ768" s="219"/>
      <c r="CK768" s="219"/>
      <c r="CL768" s="219"/>
      <c r="CM768" s="219"/>
      <c r="CN768" s="220">
        <f>CJ759+CI784+CJ788</f>
        <v>5.6792952000000001E-3</v>
      </c>
      <c r="CO768" s="219"/>
      <c r="CP768" s="219"/>
      <c r="CQ768" s="219"/>
      <c r="CR768" s="219"/>
    </row>
    <row r="769" spans="75:96" x14ac:dyDescent="0.25">
      <c r="BW769" s="219"/>
      <c r="BX769" s="219"/>
      <c r="BY769" s="219"/>
      <c r="BZ769" s="219"/>
      <c r="CA769" s="219"/>
      <c r="CB769" s="219"/>
      <c r="CC769" s="219"/>
      <c r="CD769" s="219"/>
      <c r="CE769" s="219"/>
      <c r="CF769" s="219"/>
      <c r="CG769" s="219"/>
      <c r="CH769" s="219"/>
      <c r="CI769" s="219"/>
      <c r="CJ769" s="219"/>
      <c r="CK769" s="219"/>
      <c r="CL769" s="219"/>
      <c r="CM769" s="219"/>
      <c r="CN769" s="219"/>
      <c r="CO769" s="219"/>
      <c r="CP769" s="219"/>
      <c r="CQ769" s="219"/>
      <c r="CR769" s="219"/>
    </row>
    <row r="770" spans="75:96" x14ac:dyDescent="0.25">
      <c r="BW770" s="219"/>
      <c r="BX770" s="219"/>
      <c r="BY770" s="219"/>
      <c r="BZ770" s="219"/>
      <c r="CA770" s="219"/>
      <c r="CB770" s="219"/>
      <c r="CC770" s="219"/>
      <c r="CD770" s="219"/>
      <c r="CE770" s="219"/>
      <c r="CF770" s="219"/>
      <c r="CG770" s="219"/>
      <c r="CH770" s="219"/>
      <c r="CI770" s="219"/>
      <c r="CJ770" s="219"/>
      <c r="CK770" s="219"/>
      <c r="CL770" s="219"/>
      <c r="CM770" s="219"/>
      <c r="CN770" s="219"/>
      <c r="CO770" s="219"/>
      <c r="CP770" s="219"/>
      <c r="CQ770" s="219"/>
      <c r="CR770" s="219"/>
    </row>
    <row r="771" spans="75:96" x14ac:dyDescent="0.25">
      <c r="BW771" s="219"/>
      <c r="BX771" s="219"/>
      <c r="BY771" s="219"/>
      <c r="BZ771" s="219"/>
      <c r="CA771" s="219"/>
      <c r="CB771" s="219"/>
      <c r="CC771" s="219"/>
      <c r="CD771" s="219"/>
      <c r="CE771" s="219"/>
      <c r="CF771" s="219"/>
      <c r="CG771" s="219"/>
      <c r="CH771" s="219"/>
      <c r="CI771" s="219"/>
      <c r="CJ771" s="219"/>
      <c r="CK771" s="219"/>
      <c r="CL771" s="219"/>
      <c r="CM771" s="219"/>
      <c r="CN771" s="219"/>
      <c r="CO771" s="219"/>
      <c r="CP771" s="219"/>
      <c r="CQ771" s="219"/>
      <c r="CR771" s="219"/>
    </row>
    <row r="772" spans="75:96" x14ac:dyDescent="0.25">
      <c r="BW772" s="219"/>
      <c r="BX772" s="219"/>
      <c r="BY772" s="219"/>
      <c r="BZ772" s="219"/>
      <c r="CA772" s="219"/>
      <c r="CB772" s="219"/>
      <c r="CC772" s="219"/>
      <c r="CD772" s="219"/>
      <c r="CE772" s="219"/>
      <c r="CF772" s="219"/>
      <c r="CG772" s="219"/>
      <c r="CH772" s="219"/>
      <c r="CI772" s="219"/>
      <c r="CJ772" s="219"/>
      <c r="CK772" s="219"/>
      <c r="CL772" s="219"/>
      <c r="CM772" s="219"/>
      <c r="CN772" s="219"/>
      <c r="CO772" s="219"/>
      <c r="CP772" s="219"/>
      <c r="CQ772" s="219"/>
      <c r="CR772" s="219"/>
    </row>
    <row r="773" spans="75:96" x14ac:dyDescent="0.25">
      <c r="BW773" s="219"/>
      <c r="BX773" s="219"/>
      <c r="BY773" s="219"/>
      <c r="BZ773" s="219"/>
      <c r="CA773" s="219"/>
      <c r="CB773" s="219"/>
      <c r="CC773" s="219"/>
      <c r="CD773" s="219"/>
      <c r="CE773" s="219"/>
      <c r="CF773" s="219"/>
      <c r="CG773" s="219"/>
      <c r="CH773" s="219"/>
      <c r="CI773" s="219"/>
      <c r="CJ773" s="219"/>
      <c r="CK773" s="219"/>
      <c r="CL773" s="219"/>
      <c r="CM773" s="219"/>
      <c r="CN773" s="219"/>
      <c r="CO773" s="219"/>
      <c r="CP773" s="219"/>
      <c r="CQ773" s="219"/>
      <c r="CR773" s="219"/>
    </row>
    <row r="774" spans="75:96" x14ac:dyDescent="0.25">
      <c r="BW774" s="219"/>
      <c r="BX774" s="219"/>
      <c r="BY774" s="219"/>
      <c r="BZ774" s="219"/>
      <c r="CA774" s="219"/>
      <c r="CB774" s="219"/>
      <c r="CC774" s="219"/>
      <c r="CD774" s="219"/>
      <c r="CE774" s="219"/>
      <c r="CF774" s="219"/>
      <c r="CG774" s="219"/>
      <c r="CH774" s="219"/>
      <c r="CI774" s="219"/>
      <c r="CJ774" s="219"/>
      <c r="CK774" s="219"/>
      <c r="CL774" s="219"/>
      <c r="CM774" s="219"/>
      <c r="CN774" s="219"/>
      <c r="CO774" s="219"/>
      <c r="CP774" s="219"/>
      <c r="CQ774" s="219"/>
      <c r="CR774" s="219"/>
    </row>
    <row r="775" spans="75:96" x14ac:dyDescent="0.25">
      <c r="BW775" s="219"/>
      <c r="BX775" s="219"/>
      <c r="BY775" s="219"/>
      <c r="BZ775" s="219"/>
      <c r="CA775" s="219"/>
      <c r="CB775" s="219"/>
      <c r="CC775" s="219"/>
      <c r="CD775" s="219"/>
      <c r="CE775" s="219"/>
      <c r="CF775" s="219"/>
      <c r="CG775" s="219"/>
      <c r="CH775" s="219"/>
      <c r="CI775" s="219"/>
      <c r="CJ775" s="219"/>
      <c r="CK775" s="219"/>
      <c r="CL775" s="219"/>
      <c r="CM775" s="486" t="s">
        <v>52</v>
      </c>
      <c r="CN775" s="487"/>
      <c r="CO775" s="219"/>
      <c r="CP775" s="219"/>
      <c r="CQ775" s="219"/>
      <c r="CR775" s="219"/>
    </row>
    <row r="776" spans="75:96" x14ac:dyDescent="0.25">
      <c r="BW776" s="219"/>
      <c r="BX776" s="219"/>
      <c r="BY776" s="219"/>
      <c r="BZ776" s="219"/>
      <c r="CA776" s="219"/>
      <c r="CB776" s="219"/>
      <c r="CC776" s="219"/>
      <c r="CD776" s="219"/>
      <c r="CE776" s="219"/>
      <c r="CF776" s="219"/>
      <c r="CG776" s="219"/>
      <c r="CH776" s="219"/>
      <c r="CI776" s="219"/>
      <c r="CJ776" s="219"/>
      <c r="CK776" s="227" t="s">
        <v>34</v>
      </c>
      <c r="CL776" s="219"/>
      <c r="CM776" s="494" t="s">
        <v>248</v>
      </c>
      <c r="CN776" s="495"/>
      <c r="CO776" s="228" t="s">
        <v>249</v>
      </c>
      <c r="CP776" s="219"/>
      <c r="CQ776" s="219"/>
      <c r="CR776" s="219"/>
    </row>
    <row r="777" spans="75:96" x14ac:dyDescent="0.25">
      <c r="BW777" s="219"/>
      <c r="BX777" s="219"/>
      <c r="BY777" s="219"/>
      <c r="BZ777" s="219"/>
      <c r="CA777" s="219"/>
      <c r="CB777" s="219"/>
      <c r="CC777" s="219"/>
      <c r="CD777" s="219"/>
      <c r="CE777" s="219"/>
      <c r="CF777" s="219"/>
      <c r="CG777" s="219"/>
      <c r="CH777" s="219"/>
      <c r="CI777" s="219"/>
      <c r="CJ777" s="219"/>
      <c r="CK777" s="29" t="s">
        <v>256</v>
      </c>
      <c r="CL777" s="219"/>
      <c r="CM777" s="229">
        <v>169</v>
      </c>
      <c r="CN777" s="230" t="s">
        <v>27</v>
      </c>
      <c r="CO777" s="219"/>
      <c r="CP777" s="219"/>
      <c r="CQ777" s="219"/>
      <c r="CR777" s="219"/>
    </row>
    <row r="778" spans="75:96" x14ac:dyDescent="0.25">
      <c r="BW778" s="219"/>
      <c r="BX778" s="219"/>
      <c r="BY778" s="219"/>
      <c r="BZ778" s="219"/>
      <c r="CA778" s="219"/>
      <c r="CB778" s="219"/>
      <c r="CC778" s="219"/>
      <c r="CD778" s="219"/>
      <c r="CE778" s="219"/>
      <c r="CF778" s="219"/>
      <c r="CG778" s="219"/>
      <c r="CH778" s="486" t="s">
        <v>257</v>
      </c>
      <c r="CI778" s="487"/>
      <c r="CJ778" s="219"/>
      <c r="CK778" s="220" t="s">
        <v>35</v>
      </c>
      <c r="CL778" s="219"/>
      <c r="CM778" s="230">
        <f>CM777*CJ803</f>
        <v>3293.3029999999999</v>
      </c>
      <c r="CN778" s="230" t="s">
        <v>28</v>
      </c>
      <c r="CO778" s="219"/>
      <c r="CP778" s="219"/>
      <c r="CQ778" s="219"/>
      <c r="CR778" s="219"/>
    </row>
    <row r="779" spans="75:96" x14ac:dyDescent="0.25">
      <c r="BW779" s="219"/>
      <c r="BX779" s="219"/>
      <c r="BY779" s="219"/>
      <c r="BZ779" s="219"/>
      <c r="CA779" s="219"/>
      <c r="CB779" s="219"/>
      <c r="CC779" s="219"/>
      <c r="CD779" s="231"/>
      <c r="CE779" s="219"/>
      <c r="CF779" s="219"/>
      <c r="CG779" s="219"/>
      <c r="CH779" s="100" t="str">
        <f>CF803</f>
        <v>m^2</v>
      </c>
      <c r="CI779" s="100" t="s">
        <v>1</v>
      </c>
      <c r="CJ779" s="219"/>
      <c r="CK779" s="219">
        <f>CM778</f>
        <v>3293.3029999999999</v>
      </c>
      <c r="CL779" s="219"/>
      <c r="CM779" s="219"/>
      <c r="CN779" s="219"/>
      <c r="CO779" s="219"/>
      <c r="CP779" s="219"/>
      <c r="CQ779" s="219"/>
      <c r="CR779" s="219"/>
    </row>
    <row r="780" spans="75:96" x14ac:dyDescent="0.25">
      <c r="BW780" s="219"/>
      <c r="BX780" s="219"/>
      <c r="BY780" s="219"/>
      <c r="BZ780" s="219"/>
      <c r="CA780" s="219"/>
      <c r="CB780" s="219"/>
      <c r="CC780" s="219"/>
      <c r="CD780" s="231" t="s">
        <v>36</v>
      </c>
      <c r="CE780" s="219"/>
      <c r="CF780" s="219"/>
      <c r="CG780" s="219"/>
      <c r="CH780" s="100">
        <f>CE803*CM777</f>
        <v>692.05500000000006</v>
      </c>
      <c r="CI780" s="230">
        <f>CI803*CM777</f>
        <v>240.0738795</v>
      </c>
      <c r="CJ780" s="219"/>
      <c r="CK780" s="232" t="s">
        <v>36</v>
      </c>
      <c r="CL780" s="219"/>
      <c r="CM780" s="219"/>
      <c r="CN780" s="219"/>
      <c r="CO780" s="219"/>
      <c r="CP780" s="219"/>
      <c r="CQ780" s="219"/>
      <c r="CR780" s="219"/>
    </row>
    <row r="781" spans="75:96" x14ac:dyDescent="0.25">
      <c r="BW781" s="219"/>
      <c r="BX781" s="219"/>
      <c r="BY781" s="219"/>
      <c r="BZ781" s="219"/>
      <c r="CA781" s="219"/>
      <c r="CB781" s="219"/>
      <c r="CC781" s="219"/>
      <c r="CD781" s="233">
        <v>1.0000000000000001E-5</v>
      </c>
      <c r="CE781" s="219"/>
      <c r="CF781" s="219"/>
      <c r="CG781" s="219"/>
      <c r="CH781" s="219"/>
      <c r="CI781" s="219"/>
      <c r="CJ781" s="219"/>
      <c r="CK781" s="231">
        <f>CK775-CK779</f>
        <v>-3293.3029999999999</v>
      </c>
      <c r="CL781" s="219"/>
      <c r="CM781" s="219"/>
      <c r="CN781" s="219"/>
      <c r="CO781" s="219"/>
      <c r="CP781" s="219"/>
      <c r="CQ781" s="219"/>
      <c r="CR781" s="219"/>
    </row>
    <row r="782" spans="75:96" x14ac:dyDescent="0.25">
      <c r="BW782" s="219"/>
      <c r="BX782" s="488" t="s">
        <v>51</v>
      </c>
      <c r="BY782" s="489"/>
      <c r="BZ782" s="234"/>
      <c r="CA782" s="219"/>
      <c r="CB782" s="219"/>
      <c r="CC782" s="219"/>
      <c r="CD782" s="231">
        <f>CD783-CD787</f>
        <v>0</v>
      </c>
      <c r="CE782" s="219"/>
      <c r="CF782" s="219"/>
      <c r="CG782" s="219"/>
      <c r="CH782" s="219"/>
      <c r="CI782" s="219"/>
      <c r="CJ782" s="219"/>
      <c r="CK782" s="235" t="s">
        <v>45</v>
      </c>
      <c r="CL782" s="219"/>
      <c r="CM782" s="219"/>
      <c r="CN782" s="219"/>
      <c r="CO782" s="219"/>
      <c r="CP782" s="219"/>
      <c r="CQ782" s="219"/>
      <c r="CR782" s="219"/>
    </row>
    <row r="783" spans="75:96" x14ac:dyDescent="0.25">
      <c r="BW783" s="219"/>
      <c r="BX783" s="236" t="str">
        <f>CA788</f>
        <v>rollo tela dacrón</v>
      </c>
      <c r="BY783" s="237"/>
      <c r="BZ783" s="238"/>
      <c r="CA783" s="219"/>
      <c r="CB783" s="219"/>
      <c r="CC783" s="219"/>
      <c r="CD783" s="231">
        <f>CI780</f>
        <v>240.0738795</v>
      </c>
      <c r="CE783" s="219"/>
      <c r="CF783" s="219"/>
      <c r="CG783" s="219"/>
      <c r="CH783" s="219"/>
      <c r="CI783" s="219"/>
      <c r="CJ783" s="219"/>
      <c r="CK783" s="219"/>
      <c r="CL783" s="219"/>
      <c r="CM783" s="219"/>
      <c r="CN783" s="219"/>
      <c r="CO783" s="219"/>
      <c r="CP783" s="219"/>
      <c r="CQ783" s="219"/>
      <c r="CR783" s="219"/>
    </row>
    <row r="784" spans="75:96" x14ac:dyDescent="0.25">
      <c r="BW784" s="219"/>
      <c r="BX784" s="114"/>
      <c r="BY784" s="239">
        <f>CB791</f>
        <v>240.0738795</v>
      </c>
      <c r="BZ784" s="230" t="s">
        <v>18</v>
      </c>
      <c r="CA784" s="219"/>
      <c r="CB784" s="219"/>
      <c r="CC784" s="219"/>
      <c r="CD784" s="227" t="s">
        <v>34</v>
      </c>
      <c r="CE784" s="219"/>
      <c r="CF784" s="219"/>
      <c r="CG784" s="219"/>
      <c r="CH784" s="219"/>
      <c r="CI784" s="219"/>
      <c r="CJ784" s="219"/>
      <c r="CK784" s="219"/>
      <c r="CL784" s="219"/>
      <c r="CM784" s="219"/>
      <c r="CN784" s="219"/>
      <c r="CO784" s="219"/>
      <c r="CP784" s="219"/>
      <c r="CQ784" s="219"/>
      <c r="CR784" s="219"/>
    </row>
    <row r="785" spans="75:96" x14ac:dyDescent="0.25">
      <c r="BW785" s="219"/>
      <c r="BX785" s="114"/>
      <c r="BY785" s="239">
        <f>CA791</f>
        <v>692.05500000000006</v>
      </c>
      <c r="BZ785" s="230" t="s">
        <v>17</v>
      </c>
      <c r="CA785" s="219"/>
      <c r="CB785" s="219"/>
      <c r="CC785" s="219"/>
      <c r="CD785" s="29" t="s">
        <v>142</v>
      </c>
      <c r="CE785" s="219"/>
      <c r="CF785" s="219"/>
      <c r="CG785" s="219"/>
      <c r="CH785" s="219"/>
      <c r="CI785" s="219"/>
      <c r="CJ785" s="219"/>
      <c r="CK785" s="219"/>
      <c r="CL785" s="219"/>
      <c r="CM785" s="219"/>
      <c r="CN785" s="219"/>
      <c r="CO785" s="219"/>
      <c r="CP785" s="219"/>
      <c r="CQ785" s="219"/>
      <c r="CR785" s="219"/>
    </row>
    <row r="786" spans="75:96" x14ac:dyDescent="0.25">
      <c r="BW786" s="219"/>
      <c r="BX786" s="219"/>
      <c r="BY786" s="219"/>
      <c r="BZ786" s="219"/>
      <c r="CA786" s="219"/>
      <c r="CB786" s="219"/>
      <c r="CC786" s="219"/>
      <c r="CD786" s="220" t="s">
        <v>35</v>
      </c>
      <c r="CE786" s="488" t="s">
        <v>51</v>
      </c>
      <c r="CF786" s="489"/>
      <c r="CG786" s="234"/>
      <c r="CH786" s="219"/>
      <c r="CI786" s="486" t="s">
        <v>137</v>
      </c>
      <c r="CJ786" s="487"/>
      <c r="CK786" s="219"/>
      <c r="CL786" s="219"/>
      <c r="CM786" s="219"/>
      <c r="CN786" s="219"/>
      <c r="CO786" s="219"/>
      <c r="CP786" s="219"/>
      <c r="CQ786" s="219"/>
      <c r="CR786" s="219"/>
    </row>
    <row r="787" spans="75:96" x14ac:dyDescent="0.25">
      <c r="BW787" s="219"/>
      <c r="BX787" s="219"/>
      <c r="BY787" s="219"/>
      <c r="BZ787" s="219"/>
      <c r="CA787" s="219"/>
      <c r="CB787" s="219"/>
      <c r="CC787" s="219"/>
      <c r="CD787" s="219">
        <f>CI780</f>
        <v>240.0738795</v>
      </c>
      <c r="CE787" s="236" t="str">
        <f>CI786</f>
        <v>Hilo</v>
      </c>
      <c r="CF787" s="237"/>
      <c r="CG787" s="238"/>
      <c r="CH787" s="219"/>
      <c r="CI787" s="100" t="s">
        <v>30</v>
      </c>
      <c r="CJ787" s="100" t="s">
        <v>1</v>
      </c>
      <c r="CK787" s="219"/>
      <c r="CL787" s="219"/>
      <c r="CM787" s="240"/>
      <c r="CN787" s="219" t="s">
        <v>91</v>
      </c>
      <c r="CO787" s="219"/>
      <c r="CP787" s="219"/>
      <c r="CQ787" s="219"/>
      <c r="CR787" s="219"/>
    </row>
    <row r="788" spans="75:96" x14ac:dyDescent="0.25">
      <c r="BW788" s="219"/>
      <c r="BX788" s="219"/>
      <c r="BY788" s="219"/>
      <c r="BZ788" s="219"/>
      <c r="CA788" s="470" t="s">
        <v>259</v>
      </c>
      <c r="CB788" s="460"/>
      <c r="CC788" s="219"/>
      <c r="CD788" s="232" t="s">
        <v>36</v>
      </c>
      <c r="CE788" s="114"/>
      <c r="CF788" s="239">
        <f>CJ788</f>
        <v>5.6792952000000001E-3</v>
      </c>
      <c r="CG788" s="230" t="s">
        <v>18</v>
      </c>
      <c r="CH788" s="219"/>
      <c r="CI788" s="100">
        <f>CE802</f>
        <v>73.2</v>
      </c>
      <c r="CJ788" s="230">
        <f>CI802</f>
        <v>5.6792952000000001E-3</v>
      </c>
      <c r="CK788" s="219"/>
      <c r="CL788" s="219"/>
      <c r="CM788" s="219"/>
      <c r="CN788" s="219"/>
      <c r="CO788" s="219"/>
      <c r="CP788" s="219"/>
      <c r="CQ788" s="219"/>
      <c r="CR788" s="219"/>
    </row>
    <row r="789" spans="75:96" x14ac:dyDescent="0.25">
      <c r="BW789" s="219"/>
      <c r="BX789" s="219"/>
      <c r="BY789" s="219"/>
      <c r="BZ789" s="219"/>
      <c r="CA789" s="471"/>
      <c r="CB789" s="462"/>
      <c r="CC789" s="219"/>
      <c r="CD789" s="235" t="s">
        <v>45</v>
      </c>
      <c r="CE789" s="114"/>
      <c r="CF789" s="239">
        <f>CI788</f>
        <v>73.2</v>
      </c>
      <c r="CG789" s="230" t="s">
        <v>16</v>
      </c>
      <c r="CH789" s="219"/>
      <c r="CI789" s="219"/>
      <c r="CJ789" s="219"/>
      <c r="CK789" s="219"/>
      <c r="CL789" s="219"/>
      <c r="CM789" s="219"/>
      <c r="CN789" s="219"/>
      <c r="CO789" s="219"/>
      <c r="CP789" s="219"/>
      <c r="CQ789" s="219"/>
      <c r="CR789" s="219"/>
    </row>
    <row r="790" spans="75:96" x14ac:dyDescent="0.25">
      <c r="BW790" s="219"/>
      <c r="BX790" s="219"/>
      <c r="BY790" s="219"/>
      <c r="BZ790" s="219"/>
      <c r="CA790" s="100" t="str">
        <f>CH779</f>
        <v>m^2</v>
      </c>
      <c r="CB790" s="100" t="s">
        <v>1</v>
      </c>
      <c r="CC790" s="100" t="s">
        <v>42</v>
      </c>
      <c r="CD790" s="235"/>
      <c r="CE790" s="219"/>
      <c r="CF790" s="219"/>
      <c r="CG790" s="219"/>
      <c r="CH790" s="219"/>
      <c r="CI790" s="486" t="s">
        <v>258</v>
      </c>
      <c r="CJ790" s="487"/>
      <c r="CK790" s="219"/>
      <c r="CL790" s="219"/>
      <c r="CM790" s="219"/>
      <c r="CN790" s="219"/>
      <c r="CO790" s="219"/>
      <c r="CP790" s="219"/>
      <c r="CQ790" s="219"/>
      <c r="CR790" s="219"/>
    </row>
    <row r="791" spans="75:96" x14ac:dyDescent="0.25">
      <c r="BW791" s="219"/>
      <c r="BX791" s="219"/>
      <c r="BY791" s="219"/>
      <c r="BZ791" s="219"/>
      <c r="CA791" s="100">
        <f>CH780</f>
        <v>692.05500000000006</v>
      </c>
      <c r="CB791" s="230">
        <f>CD783</f>
        <v>240.0738795</v>
      </c>
      <c r="CC791" s="100"/>
      <c r="CD791" s="241"/>
      <c r="CE791" s="488" t="s">
        <v>51</v>
      </c>
      <c r="CF791" s="489"/>
      <c r="CG791" s="234"/>
      <c r="CH791" s="219"/>
      <c r="CI791" s="100"/>
      <c r="CJ791" s="100" t="s">
        <v>1</v>
      </c>
      <c r="CK791" s="219"/>
      <c r="CL791" s="219"/>
      <c r="CM791" s="219"/>
      <c r="CN791" s="219"/>
      <c r="CO791" s="219"/>
      <c r="CP791" s="219"/>
      <c r="CQ791" s="219"/>
      <c r="CR791" s="219"/>
    </row>
    <row r="792" spans="75:96" x14ac:dyDescent="0.25">
      <c r="BW792" s="219"/>
      <c r="BX792" s="219"/>
      <c r="BY792" s="219"/>
      <c r="BZ792" s="220"/>
      <c r="CA792" s="220"/>
      <c r="CB792" s="220"/>
      <c r="CC792" s="219"/>
      <c r="CD792" s="219"/>
      <c r="CE792" s="236" t="str">
        <f>CI790</f>
        <v>Algodón industrial</v>
      </c>
      <c r="CF792" s="237"/>
      <c r="CG792" s="238"/>
      <c r="CH792" s="219"/>
      <c r="CI792" s="100"/>
      <c r="CJ792" s="230">
        <f>CI801</f>
        <v>18.060765204799999</v>
      </c>
      <c r="CK792" s="219"/>
      <c r="CL792" s="219"/>
      <c r="CM792" s="219"/>
      <c r="CN792" s="219"/>
      <c r="CO792" s="219"/>
      <c r="CP792" s="219"/>
      <c r="CQ792" s="219"/>
      <c r="CR792" s="219"/>
    </row>
    <row r="793" spans="75:96" x14ac:dyDescent="0.25">
      <c r="BW793" s="219"/>
      <c r="BX793" s="219"/>
      <c r="BY793" s="219"/>
      <c r="BZ793" s="219"/>
      <c r="CA793" s="219"/>
      <c r="CB793" s="219"/>
      <c r="CC793" s="219"/>
      <c r="CD793" s="242">
        <f>CB791-CI780</f>
        <v>0</v>
      </c>
      <c r="CE793" s="114"/>
      <c r="CF793" s="239">
        <f>CJ792</f>
        <v>18.060765204799999</v>
      </c>
      <c r="CG793" s="230" t="s">
        <v>18</v>
      </c>
      <c r="CH793" s="219"/>
      <c r="CI793" s="219"/>
      <c r="CJ793" s="219"/>
      <c r="CK793" s="219"/>
      <c r="CL793" s="219"/>
      <c r="CM793" s="219"/>
      <c r="CN793" s="219"/>
      <c r="CO793" s="219"/>
      <c r="CP793" s="219"/>
      <c r="CQ793" s="219"/>
      <c r="CR793" s="219"/>
    </row>
    <row r="794" spans="75:96" x14ac:dyDescent="0.25">
      <c r="BW794" s="219"/>
      <c r="BX794" s="219"/>
      <c r="BY794" s="219"/>
      <c r="BZ794" s="219"/>
      <c r="CA794" s="219"/>
      <c r="CB794" s="219"/>
      <c r="CC794" s="219"/>
      <c r="CD794" s="219"/>
      <c r="CE794" s="114"/>
      <c r="CF794" s="239">
        <f>CF793</f>
        <v>18.060765204799999</v>
      </c>
      <c r="CG794" s="230" t="s">
        <v>18</v>
      </c>
      <c r="CH794" s="219"/>
      <c r="CI794" s="219"/>
      <c r="CJ794" s="219"/>
      <c r="CK794" s="219"/>
      <c r="CL794" s="219"/>
      <c r="CM794" s="219"/>
      <c r="CN794" s="219"/>
      <c r="CO794" s="219"/>
      <c r="CP794" s="219"/>
      <c r="CQ794" s="219"/>
      <c r="CR794" s="219"/>
    </row>
    <row r="795" spans="75:96" x14ac:dyDescent="0.25">
      <c r="BW795" s="219"/>
      <c r="BX795" s="219"/>
      <c r="BY795" s="219"/>
      <c r="BZ795" s="219"/>
      <c r="CA795" s="219"/>
      <c r="CB795" s="490" t="str">
        <f>CM776</f>
        <v>C. Cassata 100 x190</v>
      </c>
      <c r="CC795" s="491"/>
      <c r="CD795" s="230" t="s">
        <v>19</v>
      </c>
      <c r="CE795" s="100" t="s">
        <v>20</v>
      </c>
      <c r="CF795" s="100" t="s">
        <v>2</v>
      </c>
      <c r="CG795" s="100" t="s">
        <v>21</v>
      </c>
      <c r="CH795" s="100" t="s">
        <v>2</v>
      </c>
      <c r="CI795" s="100" t="s">
        <v>24</v>
      </c>
      <c r="CJ795" s="219"/>
      <c r="CK795" s="219"/>
      <c r="CL795" s="219"/>
      <c r="CM795" s="219"/>
      <c r="CN795" s="219"/>
      <c r="CO795" s="219"/>
      <c r="CP795" s="219"/>
      <c r="CQ795" s="219"/>
      <c r="CR795" s="219"/>
    </row>
    <row r="796" spans="75:96" x14ac:dyDescent="0.25">
      <c r="BW796" s="219"/>
      <c r="BX796" s="219"/>
      <c r="BY796" s="219"/>
      <c r="BZ796" s="219"/>
      <c r="CA796" s="100"/>
      <c r="CB796" s="243"/>
      <c r="CC796" s="243"/>
      <c r="CD796" s="244"/>
      <c r="CE796" s="244"/>
      <c r="CF796" s="244"/>
      <c r="CG796" s="244"/>
      <c r="CH796" s="244"/>
      <c r="CI796" s="245"/>
      <c r="CJ796" s="219"/>
      <c r="CK796" s="219"/>
      <c r="CL796" s="219"/>
      <c r="CM796" s="219"/>
      <c r="CN796" s="219"/>
      <c r="CO796" s="219"/>
      <c r="CP796" s="219"/>
      <c r="CQ796" s="219"/>
      <c r="CR796" s="219"/>
    </row>
    <row r="797" spans="75:96" x14ac:dyDescent="0.25">
      <c r="BW797" s="219"/>
      <c r="BX797" s="219"/>
      <c r="BY797" s="219"/>
      <c r="BZ797" s="219"/>
      <c r="CA797" s="246"/>
      <c r="CB797" s="243"/>
      <c r="CC797" s="243"/>
      <c r="CD797" s="244"/>
      <c r="CE797" s="244"/>
      <c r="CF797" s="244"/>
      <c r="CG797" s="244"/>
      <c r="CH797" s="244"/>
      <c r="CI797" s="244"/>
      <c r="CJ797" s="219"/>
      <c r="CK797" s="219"/>
      <c r="CL797" s="219"/>
      <c r="CM797" s="219"/>
      <c r="CN797" s="219"/>
      <c r="CO797" s="219"/>
      <c r="CP797" s="219"/>
      <c r="CQ797" s="219"/>
      <c r="CR797" s="219"/>
    </row>
    <row r="798" spans="75:96" x14ac:dyDescent="0.25">
      <c r="BW798" s="219"/>
      <c r="BX798" s="219"/>
      <c r="BY798" s="219"/>
      <c r="BZ798" s="219"/>
      <c r="CA798" s="246"/>
      <c r="CB798" s="243"/>
      <c r="CC798" s="243"/>
      <c r="CD798" s="244"/>
      <c r="CE798" s="244"/>
      <c r="CF798" s="244"/>
      <c r="CG798" s="244"/>
      <c r="CH798" s="244"/>
      <c r="CI798" s="244"/>
      <c r="CJ798" s="219"/>
      <c r="CK798" s="219"/>
      <c r="CL798" s="219"/>
      <c r="CM798" s="219"/>
      <c r="CN798" s="219"/>
      <c r="CO798" s="219"/>
      <c r="CP798" s="219"/>
      <c r="CQ798" s="219"/>
      <c r="CR798" s="219"/>
    </row>
    <row r="799" spans="75:96" x14ac:dyDescent="0.25">
      <c r="BW799" s="219"/>
      <c r="BX799" s="219"/>
      <c r="BY799" s="219"/>
      <c r="BZ799" s="219"/>
      <c r="CA799" s="246"/>
      <c r="CB799" s="243"/>
      <c r="CC799" s="243"/>
      <c r="CD799" s="244"/>
      <c r="CE799" s="244"/>
      <c r="CF799" s="244"/>
      <c r="CG799" s="244"/>
      <c r="CH799" s="244"/>
      <c r="CI799" s="244"/>
      <c r="CJ799" s="219"/>
      <c r="CK799" s="219"/>
      <c r="CL799" s="219"/>
      <c r="CM799" s="219"/>
      <c r="CN799" s="219"/>
      <c r="CO799" s="219"/>
      <c r="CP799" s="219"/>
      <c r="CQ799" s="219"/>
      <c r="CR799" s="219"/>
    </row>
    <row r="800" spans="75:96" x14ac:dyDescent="0.25">
      <c r="BW800" s="219"/>
      <c r="BX800" s="219"/>
      <c r="BY800" s="219"/>
      <c r="BZ800" s="219"/>
      <c r="CA800" s="246"/>
      <c r="CB800" s="243"/>
      <c r="CC800" s="243"/>
      <c r="CD800" s="244"/>
      <c r="CE800" s="244"/>
      <c r="CF800" s="244"/>
      <c r="CG800" s="244"/>
      <c r="CH800" s="244"/>
      <c r="CI800" s="244"/>
      <c r="CJ800" s="219"/>
      <c r="CK800" s="219"/>
      <c r="CL800" s="219"/>
      <c r="CM800" s="219"/>
      <c r="CN800" s="219"/>
      <c r="CO800" s="219"/>
      <c r="CP800" s="219"/>
      <c r="CQ800" s="219"/>
      <c r="CR800" s="219"/>
    </row>
    <row r="801" spans="75:96" x14ac:dyDescent="0.25">
      <c r="BW801" s="219"/>
      <c r="BX801" s="219"/>
      <c r="BY801" s="219"/>
      <c r="BZ801" s="219"/>
      <c r="CA801" s="246" t="s">
        <v>255</v>
      </c>
      <c r="CB801" s="243"/>
      <c r="CC801" s="243"/>
      <c r="CD801" s="244"/>
      <c r="CE801" s="244"/>
      <c r="CF801" s="244"/>
      <c r="CG801" s="244"/>
      <c r="CH801" s="244"/>
      <c r="CI801" s="244">
        <f>19.487-(CI802+CI803)</f>
        <v>18.060765204799999</v>
      </c>
      <c r="CJ801" s="219"/>
      <c r="CK801" s="219"/>
      <c r="CL801" s="219"/>
      <c r="CM801" s="219"/>
      <c r="CN801" s="219"/>
      <c r="CO801" s="219"/>
      <c r="CP801" s="219"/>
      <c r="CQ801" s="219"/>
      <c r="CR801" s="219"/>
    </row>
    <row r="802" spans="75:96" x14ac:dyDescent="0.25">
      <c r="BW802" s="219"/>
      <c r="BX802" s="219"/>
      <c r="BY802" s="219"/>
      <c r="BZ802" s="219"/>
      <c r="CA802" s="246" t="s">
        <v>130</v>
      </c>
      <c r="CB802" s="243">
        <f>7320</f>
        <v>7320</v>
      </c>
      <c r="CC802" s="243" t="s">
        <v>10</v>
      </c>
      <c r="CD802" s="244">
        <f>1/100</f>
        <v>0.01</v>
      </c>
      <c r="CE802" s="244">
        <f t="shared" ref="CE802:CE803" si="22">CB802*CD802</f>
        <v>73.2</v>
      </c>
      <c r="CF802" s="244" t="s">
        <v>16</v>
      </c>
      <c r="CG802" s="244">
        <v>7.7585999999999999E-5</v>
      </c>
      <c r="CH802" s="244" t="s">
        <v>22</v>
      </c>
      <c r="CI802" s="244">
        <f>CE802*CG802</f>
        <v>5.6792952000000001E-3</v>
      </c>
      <c r="CJ802" s="492" t="s">
        <v>250</v>
      </c>
      <c r="CK802" s="493"/>
      <c r="CL802" s="219"/>
      <c r="CM802" s="219"/>
      <c r="CN802" s="219"/>
      <c r="CO802" s="219"/>
      <c r="CP802" s="219"/>
      <c r="CQ802" s="219"/>
      <c r="CR802" s="219"/>
    </row>
    <row r="803" spans="75:96" x14ac:dyDescent="0.25">
      <c r="BW803" s="219"/>
      <c r="BX803" s="219"/>
      <c r="BY803" s="219"/>
      <c r="BZ803" s="219"/>
      <c r="CA803" s="246" t="s">
        <v>257</v>
      </c>
      <c r="CB803" s="247">
        <f>105*195*2</f>
        <v>40950</v>
      </c>
      <c r="CC803" s="247" t="s">
        <v>9</v>
      </c>
      <c r="CD803" s="245">
        <f>0.0001</f>
        <v>1E-4</v>
      </c>
      <c r="CE803" s="245">
        <f t="shared" si="22"/>
        <v>4.0950000000000006</v>
      </c>
      <c r="CF803" s="245" t="s">
        <v>17</v>
      </c>
      <c r="CG803" s="245">
        <v>0.34689999999999999</v>
      </c>
      <c r="CH803" s="245" t="s">
        <v>23</v>
      </c>
      <c r="CI803" s="245">
        <f>CE803*CG803</f>
        <v>1.4205555000000001</v>
      </c>
      <c r="CJ803" s="230">
        <f>CI797+CI798+CI799+CI800+CI801+CI802+CI803+CI804+CI805+CI806+CI807</f>
        <v>19.486999999999998</v>
      </c>
      <c r="CK803" s="230" t="s">
        <v>18</v>
      </c>
      <c r="CL803" s="219"/>
      <c r="CM803" s="219"/>
      <c r="CN803" s="219"/>
      <c r="CO803" s="219"/>
      <c r="CP803" s="219"/>
      <c r="CQ803" s="219"/>
      <c r="CR803" s="219"/>
    </row>
    <row r="804" spans="75:96" x14ac:dyDescent="0.25">
      <c r="BW804" s="219"/>
      <c r="BX804" s="219"/>
      <c r="BY804" s="219"/>
      <c r="BZ804" s="219"/>
      <c r="CA804" s="248"/>
      <c r="CB804" s="249"/>
      <c r="CC804" s="228"/>
      <c r="CD804" s="249"/>
      <c r="CE804" s="249"/>
      <c r="CF804" s="249"/>
      <c r="CG804" s="249"/>
      <c r="CH804" s="249"/>
      <c r="CI804" s="249"/>
      <c r="CJ804" s="219"/>
      <c r="CK804" s="219"/>
      <c r="CL804" s="219"/>
      <c r="CM804" s="219"/>
      <c r="CN804" s="219"/>
      <c r="CO804" s="219"/>
      <c r="CP804" s="219"/>
      <c r="CQ804" s="219"/>
      <c r="CR804" s="219"/>
    </row>
    <row r="805" spans="75:96" x14ac:dyDescent="0.25">
      <c r="BW805" s="219"/>
      <c r="BX805" s="219"/>
      <c r="BY805" s="219"/>
      <c r="BZ805" s="219"/>
      <c r="CA805" s="250"/>
      <c r="CB805" s="251"/>
      <c r="CC805" s="251"/>
      <c r="CD805" s="251"/>
      <c r="CE805" s="252"/>
      <c r="CF805" s="252"/>
      <c r="CG805" s="252"/>
      <c r="CH805" s="252"/>
      <c r="CI805" s="252"/>
      <c r="CJ805" s="219"/>
      <c r="CK805" s="219"/>
      <c r="CL805" s="219"/>
      <c r="CM805" s="219"/>
      <c r="CN805" s="219"/>
      <c r="CO805" s="219"/>
      <c r="CP805" s="219"/>
      <c r="CQ805" s="219"/>
      <c r="CR805" s="219"/>
    </row>
    <row r="806" spans="75:96" x14ac:dyDescent="0.25">
      <c r="BW806" s="219"/>
      <c r="BX806" s="219"/>
      <c r="BY806" s="219"/>
      <c r="BZ806" s="219"/>
      <c r="CA806" s="253"/>
      <c r="CB806" s="220"/>
      <c r="CC806" s="243"/>
      <c r="CD806" s="244"/>
      <c r="CE806" s="244"/>
      <c r="CF806" s="244"/>
      <c r="CG806" s="244"/>
      <c r="CH806" s="254"/>
      <c r="CI806" s="254"/>
      <c r="CJ806" s="219"/>
      <c r="CK806" s="219"/>
      <c r="CL806" s="219">
        <v>4</v>
      </c>
      <c r="CM806" s="219"/>
      <c r="CN806" s="219"/>
      <c r="CO806" s="219"/>
      <c r="CP806" s="219"/>
      <c r="CQ806" s="219"/>
      <c r="CR806" s="219"/>
    </row>
    <row r="807" spans="75:96" x14ac:dyDescent="0.25">
      <c r="BW807" s="219"/>
      <c r="BX807" s="219"/>
      <c r="BY807" s="219"/>
      <c r="BZ807" s="219"/>
      <c r="CA807" s="253"/>
      <c r="CB807" s="249"/>
      <c r="CC807" s="228"/>
      <c r="CD807" s="249"/>
      <c r="CE807" s="249"/>
      <c r="CF807" s="249"/>
      <c r="CG807" s="249"/>
      <c r="CH807" s="249"/>
      <c r="CI807" s="249"/>
      <c r="CJ807" s="219"/>
      <c r="CK807" s="219"/>
      <c r="CL807" s="219"/>
      <c r="CM807" s="219"/>
      <c r="CN807" s="219"/>
      <c r="CO807" s="219"/>
      <c r="CP807" s="219"/>
      <c r="CQ807" s="219"/>
      <c r="CR807" s="219"/>
    </row>
    <row r="808" spans="75:96" x14ac:dyDescent="0.25">
      <c r="BW808" s="219"/>
      <c r="BX808" s="219"/>
      <c r="BY808" s="219"/>
      <c r="BZ808" s="219"/>
      <c r="CA808" s="219"/>
      <c r="CB808" s="219"/>
      <c r="CC808" s="219"/>
      <c r="CD808" s="219"/>
      <c r="CE808" s="219"/>
      <c r="CF808" s="219"/>
      <c r="CG808" s="219"/>
      <c r="CH808" s="219"/>
      <c r="CI808" s="219"/>
      <c r="CJ808" s="219"/>
      <c r="CK808" s="219"/>
      <c r="CL808" s="219"/>
      <c r="CM808" s="219"/>
      <c r="CN808" s="219"/>
      <c r="CO808" s="219"/>
      <c r="CP808" s="219"/>
      <c r="CQ808" s="219"/>
      <c r="CR808" s="219"/>
    </row>
    <row r="809" spans="75:96" x14ac:dyDescent="0.25">
      <c r="BW809" s="219"/>
      <c r="BX809" s="219"/>
      <c r="BY809" s="219"/>
      <c r="BZ809" s="219"/>
      <c r="CA809" s="219"/>
      <c r="CB809" s="219"/>
      <c r="CC809" s="219"/>
      <c r="CD809" s="219"/>
      <c r="CE809" s="219"/>
      <c r="CF809" s="219"/>
      <c r="CG809" s="219"/>
      <c r="CH809" s="219"/>
      <c r="CI809" s="219"/>
      <c r="CJ809" s="219"/>
      <c r="CK809" s="219"/>
      <c r="CL809" s="219"/>
      <c r="CM809" s="219"/>
      <c r="CN809" s="219"/>
      <c r="CO809" s="219"/>
      <c r="CP809" s="219"/>
      <c r="CQ809" s="219"/>
      <c r="CR809" s="219"/>
    </row>
  </sheetData>
  <mergeCells count="68">
    <mergeCell ref="CL114:CM114"/>
    <mergeCell ref="CL115:CM115"/>
    <mergeCell ref="BZ116:CA121"/>
    <mergeCell ref="CG117:CH117"/>
    <mergeCell ref="CL175:CM175"/>
    <mergeCell ref="CL176:CM176"/>
    <mergeCell ref="BN123:BO123"/>
    <mergeCell ref="BM124:BM131"/>
    <mergeCell ref="BU127:BV128"/>
    <mergeCell ref="BZ127:CA128"/>
    <mergeCell ref="CA134:CB134"/>
    <mergeCell ref="CI141:CJ141"/>
    <mergeCell ref="BW238:BX238"/>
    <mergeCell ref="BW239:BX239"/>
    <mergeCell ref="CI202:CJ202"/>
    <mergeCell ref="CL231:CM231"/>
    <mergeCell ref="CG178:CH178"/>
    <mergeCell ref="BW182:BX182"/>
    <mergeCell ref="BW183:BX183"/>
    <mergeCell ref="BZ188:CA189"/>
    <mergeCell ref="CA195:CB195"/>
    <mergeCell ref="BZ244:CA245"/>
    <mergeCell ref="CA251:CB251"/>
    <mergeCell ref="CI258:CJ258"/>
    <mergeCell ref="CL232:CM232"/>
    <mergeCell ref="CG234:CH234"/>
    <mergeCell ref="AA336:AA343"/>
    <mergeCell ref="AI339:AJ340"/>
    <mergeCell ref="AN339:AO340"/>
    <mergeCell ref="CN350:CO350"/>
    <mergeCell ref="BD333:BE334"/>
    <mergeCell ref="AB335:AC335"/>
    <mergeCell ref="BJ335:BJ336"/>
    <mergeCell ref="AN328:AO333"/>
    <mergeCell ref="AU328:AV328"/>
    <mergeCell ref="AU329:AV329"/>
    <mergeCell ref="BJ331:BK332"/>
    <mergeCell ref="BI351:BJ356"/>
    <mergeCell ref="CN351:CO351"/>
    <mergeCell ref="BX352:BY352"/>
    <mergeCell ref="BX353:BY353"/>
    <mergeCell ref="CI353:CJ353"/>
    <mergeCell ref="AW358:AX358"/>
    <mergeCell ref="CA358:CB359"/>
    <mergeCell ref="AV359:AV366"/>
    <mergeCell ref="BD362:BE363"/>
    <mergeCell ref="BI362:BJ363"/>
    <mergeCell ref="CM700:CN700"/>
    <mergeCell ref="CM701:CN701"/>
    <mergeCell ref="CH703:CI703"/>
    <mergeCell ref="BX707:BY707"/>
    <mergeCell ref="CC370:CD370"/>
    <mergeCell ref="CK377:CL377"/>
    <mergeCell ref="BX782:BY782"/>
    <mergeCell ref="CA788:CB789"/>
    <mergeCell ref="CE786:CF786"/>
    <mergeCell ref="CI786:CJ786"/>
    <mergeCell ref="BX708:BY708"/>
    <mergeCell ref="CA713:CB714"/>
    <mergeCell ref="CB720:CC720"/>
    <mergeCell ref="CJ727:CK727"/>
    <mergeCell ref="CI790:CJ790"/>
    <mergeCell ref="CE791:CF791"/>
    <mergeCell ref="CB795:CC795"/>
    <mergeCell ref="CJ802:CK802"/>
    <mergeCell ref="CM775:CN775"/>
    <mergeCell ref="CM776:CN776"/>
    <mergeCell ref="CH778:CI77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O134"/>
  <sheetViews>
    <sheetView topLeftCell="A42" zoomScale="51" zoomScaleNormal="51" workbookViewId="0">
      <selection activeCell="CQ91" sqref="CQ91"/>
    </sheetView>
  </sheetViews>
  <sheetFormatPr baseColWidth="10" defaultRowHeight="15" x14ac:dyDescent="0.25"/>
  <cols>
    <col min="1" max="1" width="54.28515625" customWidth="1"/>
    <col min="4" max="4" width="15.85546875" customWidth="1"/>
    <col min="5" max="5" width="14.28515625" customWidth="1"/>
    <col min="8" max="8" width="14.28515625" customWidth="1"/>
    <col min="9" max="12" width="13.28515625" customWidth="1"/>
    <col min="15" max="15" width="34" customWidth="1"/>
    <col min="18" max="18" width="17" customWidth="1"/>
    <col min="19" max="19" width="15.140625" customWidth="1"/>
    <col min="21" max="21" width="11.42578125" style="219"/>
    <col min="32" max="32" width="14" customWidth="1"/>
    <col min="33" max="33" width="26.28515625" customWidth="1"/>
    <col min="35" max="35" width="60.42578125" customWidth="1"/>
    <col min="43" max="43" width="18.7109375" customWidth="1"/>
    <col min="44" max="44" width="29.5703125" customWidth="1"/>
    <col min="45" max="45" width="26" customWidth="1"/>
    <col min="52" max="52" width="11.42578125" customWidth="1"/>
    <col min="53" max="53" width="35.7109375" customWidth="1"/>
    <col min="54" max="54" width="27.5703125" customWidth="1"/>
    <col min="55" max="55" width="34" customWidth="1"/>
    <col min="56" max="56" width="24.5703125" customWidth="1"/>
    <col min="57" max="57" width="30" customWidth="1"/>
    <col min="58" max="58" width="23.85546875" customWidth="1"/>
    <col min="59" max="59" width="31.140625" customWidth="1"/>
    <col min="60" max="60" width="19.28515625" customWidth="1"/>
    <col min="61" max="61" width="25.7109375" customWidth="1"/>
    <col min="62" max="62" width="26.85546875" customWidth="1"/>
    <col min="74" max="74" width="14.140625" customWidth="1"/>
    <col min="75" max="76" width="11.42578125" customWidth="1"/>
    <col min="79" max="79" width="11.42578125" customWidth="1"/>
    <col min="80" max="80" width="29.140625" customWidth="1"/>
    <col min="82" max="82" width="27.140625" customWidth="1"/>
    <col min="86" max="86" width="23" customWidth="1"/>
    <col min="87" max="87" width="16.5703125" customWidth="1"/>
    <col min="88" max="88" width="17.28515625" customWidth="1"/>
    <col min="89" max="89" width="18.28515625" customWidth="1"/>
    <col min="90" max="90" width="18.140625" customWidth="1"/>
    <col min="91" max="91" width="24.85546875" customWidth="1"/>
    <col min="92" max="92" width="24.7109375" customWidth="1"/>
    <col min="93" max="93" width="19.28515625" customWidth="1"/>
    <col min="94" max="94" width="19" customWidth="1"/>
    <col min="95" max="95" width="29.140625" customWidth="1"/>
    <col min="96" max="96" width="19.7109375" customWidth="1"/>
    <col min="98" max="98" width="25.42578125" customWidth="1"/>
    <col min="99" max="99" width="11.42578125" customWidth="1"/>
    <col min="103" max="103" width="11.42578125" customWidth="1"/>
  </cols>
  <sheetData>
    <row r="1" spans="1:26" x14ac:dyDescent="0.25">
      <c r="A1" t="s">
        <v>38</v>
      </c>
      <c r="B1" t="s">
        <v>78</v>
      </c>
      <c r="C1" t="s">
        <v>97</v>
      </c>
      <c r="D1" t="s">
        <v>145</v>
      </c>
      <c r="E1" t="s">
        <v>171</v>
      </c>
      <c r="F1" t="s">
        <v>178</v>
      </c>
      <c r="G1" t="s">
        <v>207</v>
      </c>
      <c r="H1" t="s">
        <v>192</v>
      </c>
      <c r="I1" t="s">
        <v>199</v>
      </c>
      <c r="J1" t="s">
        <v>253</v>
      </c>
      <c r="K1" t="s">
        <v>268</v>
      </c>
      <c r="L1" s="219" t="s">
        <v>297</v>
      </c>
      <c r="O1" t="s">
        <v>39</v>
      </c>
      <c r="P1" t="str">
        <f t="shared" ref="P1:Z1" si="0">B1</f>
        <v>P2(45x60)</v>
      </c>
      <c r="Q1" t="str">
        <f t="shared" si="0"/>
        <v>P1(40x60)</v>
      </c>
      <c r="R1" t="str">
        <f t="shared" si="0"/>
        <v>P11(C10)100X190</v>
      </c>
      <c r="S1" t="str">
        <f t="shared" si="0"/>
        <v>P4(C15)100X190</v>
      </c>
      <c r="T1" t="str">
        <f t="shared" si="0"/>
        <v>P6 100 X 190</v>
      </c>
      <c r="U1" s="219" t="str">
        <f t="shared" si="0"/>
        <v>P7 100 X 190</v>
      </c>
      <c r="V1" t="str">
        <f t="shared" si="0"/>
        <v>P9 100 X 190</v>
      </c>
      <c r="W1" t="str">
        <f t="shared" si="0"/>
        <v>P8 100 X 190</v>
      </c>
      <c r="X1" t="str">
        <f t="shared" si="0"/>
        <v>P10 100 x 190</v>
      </c>
      <c r="Y1" t="str">
        <f t="shared" si="0"/>
        <v>P5 100 x 190</v>
      </c>
      <c r="Z1" t="str">
        <f t="shared" si="0"/>
        <v>P3 100 x 190</v>
      </c>
    </row>
    <row r="2" spans="1:26" x14ac:dyDescent="0.25">
      <c r="A2" t="s">
        <v>266</v>
      </c>
      <c r="K2">
        <f>48.64</f>
        <v>48.64</v>
      </c>
      <c r="L2" t="s">
        <v>146</v>
      </c>
      <c r="O2" t="s">
        <v>266</v>
      </c>
      <c r="Y2">
        <f>0.682</f>
        <v>0.68200000000000005</v>
      </c>
    </row>
    <row r="3" spans="1:26" ht="15" customHeight="1" x14ac:dyDescent="0.25">
      <c r="A3" s="14" t="s">
        <v>82</v>
      </c>
      <c r="B3" s="14" t="s">
        <v>298</v>
      </c>
      <c r="C3">
        <v>2.5</v>
      </c>
      <c r="G3" t="s">
        <v>254</v>
      </c>
      <c r="H3" t="s">
        <v>254</v>
      </c>
      <c r="I3" t="s">
        <v>254</v>
      </c>
      <c r="K3" t="s">
        <v>146</v>
      </c>
      <c r="L3" t="s">
        <v>146</v>
      </c>
      <c r="M3" s="496" t="s">
        <v>193</v>
      </c>
      <c r="O3" s="14" t="str">
        <f t="shared" ref="O3:O21" si="1">A3</f>
        <v>Pesado de MP</v>
      </c>
      <c r="P3" s="14"/>
      <c r="Q3" s="148"/>
    </row>
    <row r="4" spans="1:26" x14ac:dyDescent="0.25">
      <c r="A4" s="14" t="s">
        <v>83</v>
      </c>
      <c r="B4" s="14"/>
      <c r="C4" t="s">
        <v>146</v>
      </c>
      <c r="K4" t="s">
        <v>146</v>
      </c>
      <c r="L4" t="s">
        <v>146</v>
      </c>
      <c r="M4" s="496"/>
      <c r="O4" s="14" t="str">
        <f t="shared" si="1"/>
        <v>Pre-mezclado</v>
      </c>
      <c r="P4" s="14"/>
    </row>
    <row r="5" spans="1:26" x14ac:dyDescent="0.25">
      <c r="A5" s="14" t="s">
        <v>84</v>
      </c>
      <c r="B5" s="14"/>
      <c r="C5">
        <v>0.13333</v>
      </c>
      <c r="K5" t="s">
        <v>146</v>
      </c>
      <c r="L5" t="s">
        <v>146</v>
      </c>
      <c r="M5" s="496"/>
      <c r="O5" s="14" t="str">
        <f t="shared" si="1"/>
        <v>Mezclado</v>
      </c>
      <c r="P5" s="14"/>
      <c r="Q5">
        <v>0.3</v>
      </c>
    </row>
    <row r="6" spans="1:26" x14ac:dyDescent="0.25">
      <c r="A6" s="14" t="s">
        <v>85</v>
      </c>
      <c r="B6" s="14"/>
      <c r="C6">
        <v>3.8</v>
      </c>
      <c r="K6" t="s">
        <v>146</v>
      </c>
      <c r="L6" t="s">
        <v>146</v>
      </c>
      <c r="M6" s="496"/>
      <c r="O6" s="14" t="str">
        <f t="shared" si="1"/>
        <v>Moldeo</v>
      </c>
      <c r="P6" s="14"/>
      <c r="Q6">
        <v>0.51100000000000001</v>
      </c>
    </row>
    <row r="7" spans="1:26" x14ac:dyDescent="0.25">
      <c r="A7" s="14" t="s">
        <v>86</v>
      </c>
      <c r="B7" s="14"/>
      <c r="C7" t="s">
        <v>146</v>
      </c>
      <c r="K7" t="s">
        <v>146</v>
      </c>
      <c r="L7" t="s">
        <v>146</v>
      </c>
      <c r="M7" s="496"/>
      <c r="O7" s="14" t="str">
        <f t="shared" si="1"/>
        <v>Desmoldeo</v>
      </c>
      <c r="P7" s="14"/>
    </row>
    <row r="8" spans="1:26" x14ac:dyDescent="0.25">
      <c r="A8" s="14" t="s">
        <v>87</v>
      </c>
      <c r="B8" s="14"/>
      <c r="C8" t="s">
        <v>146</v>
      </c>
      <c r="K8" t="s">
        <v>146</v>
      </c>
      <c r="L8" t="s">
        <v>146</v>
      </c>
      <c r="M8" s="496"/>
      <c r="O8" s="14" t="str">
        <f t="shared" si="1"/>
        <v>Curado</v>
      </c>
      <c r="P8" s="14"/>
    </row>
    <row r="9" spans="1:26" x14ac:dyDescent="0.25">
      <c r="A9" s="14" t="s">
        <v>81</v>
      </c>
      <c r="B9" s="14"/>
      <c r="C9" t="s">
        <v>146</v>
      </c>
      <c r="K9" t="s">
        <v>146</v>
      </c>
      <c r="L9" t="s">
        <v>146</v>
      </c>
      <c r="O9" s="14" t="str">
        <f t="shared" si="1"/>
        <v>Perforación Cilindro</v>
      </c>
      <c r="P9" s="14"/>
    </row>
    <row r="10" spans="1:26" x14ac:dyDescent="0.25">
      <c r="A10" s="14" t="s">
        <v>80</v>
      </c>
      <c r="B10" s="14"/>
      <c r="C10" t="s">
        <v>146</v>
      </c>
      <c r="K10" t="s">
        <v>146</v>
      </c>
      <c r="L10" t="s">
        <v>146</v>
      </c>
      <c r="O10" s="14" t="str">
        <f t="shared" si="1"/>
        <v>Corte de espuma continua</v>
      </c>
      <c r="P10" s="14"/>
    </row>
    <row r="11" spans="1:26" x14ac:dyDescent="0.25">
      <c r="A11" s="14" t="s">
        <v>147</v>
      </c>
      <c r="B11" s="14" t="s">
        <v>146</v>
      </c>
      <c r="C11" t="s">
        <v>146</v>
      </c>
      <c r="D11">
        <v>0.3</v>
      </c>
      <c r="E11">
        <f>0.2789</f>
        <v>0.27889999999999998</v>
      </c>
      <c r="F11">
        <f>0.678</f>
        <v>0.67800000000000005</v>
      </c>
      <c r="G11" s="164" t="s">
        <v>146</v>
      </c>
      <c r="H11" s="164" t="s">
        <v>146</v>
      </c>
      <c r="I11" s="164" t="s">
        <v>146</v>
      </c>
      <c r="J11">
        <v>0.87929999999999997</v>
      </c>
      <c r="K11" t="s">
        <v>146</v>
      </c>
      <c r="L11" t="s">
        <v>146</v>
      </c>
      <c r="O11" s="14" t="str">
        <f t="shared" si="1"/>
        <v>Corte bloque espuma en láminas</v>
      </c>
      <c r="P11" s="14"/>
      <c r="R11">
        <v>0.13875000000000001</v>
      </c>
      <c r="S11">
        <f>0.14055</f>
        <v>0.14055000000000001</v>
      </c>
      <c r="T11">
        <f>0.1377</f>
        <v>0.13769999999999999</v>
      </c>
      <c r="X11">
        <f>0.1287</f>
        <v>0.12870000000000001</v>
      </c>
    </row>
    <row r="12" spans="1:26" s="125" customFormat="1" x14ac:dyDescent="0.25">
      <c r="A12" s="126" t="s">
        <v>148</v>
      </c>
      <c r="B12" s="126" t="s">
        <v>146</v>
      </c>
      <c r="C12" s="125" t="s">
        <v>146</v>
      </c>
      <c r="D12" s="353">
        <v>2.5790000000000002</v>
      </c>
      <c r="E12" s="125">
        <f>2.777</f>
        <v>2.7770000000000001</v>
      </c>
      <c r="F12" s="125">
        <f>E12</f>
        <v>2.7770000000000001</v>
      </c>
      <c r="G12" s="125">
        <v>2.7770000000000001</v>
      </c>
      <c r="H12" s="125">
        <f>2.686</f>
        <v>2.6859999999999999</v>
      </c>
      <c r="I12" s="125">
        <f>2.522</f>
        <v>2.5219999999999998</v>
      </c>
      <c r="J12" s="125">
        <f>2.677</f>
        <v>2.677</v>
      </c>
      <c r="K12" s="125">
        <f>2.55</f>
        <v>2.5499999999999998</v>
      </c>
      <c r="L12" s="125" t="s">
        <v>146</v>
      </c>
      <c r="O12" s="126" t="str">
        <f t="shared" si="1"/>
        <v>Corte tapa tela acolchada</v>
      </c>
      <c r="P12" s="126"/>
      <c r="R12" s="125">
        <f>0.4957</f>
        <v>0.49569999999999997</v>
      </c>
      <c r="S12" s="125">
        <f>0.5123</f>
        <v>0.51229999999999998</v>
      </c>
      <c r="T12" s="125">
        <f>0.4726</f>
        <v>0.47260000000000002</v>
      </c>
      <c r="U12" s="219">
        <f>0.4978</f>
        <v>0.49780000000000002</v>
      </c>
      <c r="V12" s="125">
        <f>0.5201</f>
        <v>0.52010000000000001</v>
      </c>
      <c r="W12" s="125">
        <f>0.5555</f>
        <v>0.55549999999999999</v>
      </c>
      <c r="X12" s="125">
        <f>0.61823</f>
        <v>0.61822999999999995</v>
      </c>
      <c r="Y12" s="125">
        <f>0.452</f>
        <v>0.45200000000000001</v>
      </c>
    </row>
    <row r="13" spans="1:26" x14ac:dyDescent="0.25">
      <c r="A13" s="148" t="s">
        <v>180</v>
      </c>
      <c r="B13" s="106" t="s">
        <v>146</v>
      </c>
      <c r="C13" t="s">
        <v>146</v>
      </c>
      <c r="D13" s="106" t="s">
        <v>146</v>
      </c>
      <c r="E13">
        <f>41.55</f>
        <v>41.55</v>
      </c>
      <c r="F13">
        <v>69.31</v>
      </c>
      <c r="G13">
        <v>70.010000000000005</v>
      </c>
      <c r="H13">
        <v>42.88</v>
      </c>
      <c r="I13">
        <f>43.1122</f>
        <v>43.112200000000001</v>
      </c>
      <c r="J13">
        <f>45.54</f>
        <v>45.54</v>
      </c>
      <c r="K13" t="s">
        <v>146</v>
      </c>
      <c r="L13" t="s">
        <v>146</v>
      </c>
      <c r="O13" s="14" t="str">
        <f t="shared" si="1"/>
        <v>Confección colchón (+Cerrado y tapizado(resortados))</v>
      </c>
      <c r="P13" s="14"/>
      <c r="S13">
        <f>1.67</f>
        <v>1.67</v>
      </c>
      <c r="T13">
        <f>2.466</f>
        <v>2.4660000000000002</v>
      </c>
      <c r="U13" s="219">
        <f>2.3116</f>
        <v>2.3115999999999999</v>
      </c>
      <c r="V13">
        <f>1.869</f>
        <v>1.869</v>
      </c>
      <c r="W13">
        <f>1.9211</f>
        <v>1.9211</v>
      </c>
      <c r="X13">
        <f>1.55</f>
        <v>1.55</v>
      </c>
    </row>
    <row r="14" spans="1:26" x14ac:dyDescent="0.25">
      <c r="A14" t="s">
        <v>309</v>
      </c>
      <c r="B14">
        <v>2.66</v>
      </c>
      <c r="C14" t="s">
        <v>146</v>
      </c>
      <c r="D14" t="s">
        <v>146</v>
      </c>
      <c r="E14">
        <f>2.899</f>
        <v>2.899</v>
      </c>
      <c r="F14">
        <f t="shared" ref="F14:J14" si="2">2.899</f>
        <v>2.899</v>
      </c>
      <c r="G14">
        <f t="shared" si="2"/>
        <v>2.899</v>
      </c>
      <c r="H14">
        <f t="shared" si="2"/>
        <v>2.899</v>
      </c>
      <c r="I14">
        <f t="shared" si="2"/>
        <v>2.899</v>
      </c>
      <c r="J14">
        <f t="shared" si="2"/>
        <v>2.899</v>
      </c>
      <c r="K14" t="s">
        <v>146</v>
      </c>
      <c r="L14" t="s">
        <v>146</v>
      </c>
      <c r="O14" t="str">
        <f t="shared" si="1"/>
        <v>Triturado-corte manual</v>
      </c>
      <c r="P14">
        <v>0.13525000000000001</v>
      </c>
      <c r="S14">
        <f>1.068</f>
        <v>1.0680000000000001</v>
      </c>
      <c r="T14">
        <f t="shared" ref="T14:X14" si="3">1.068</f>
        <v>1.0680000000000001</v>
      </c>
      <c r="U14" s="219">
        <f t="shared" si="3"/>
        <v>1.0680000000000001</v>
      </c>
      <c r="V14">
        <f t="shared" si="3"/>
        <v>1.0680000000000001</v>
      </c>
      <c r="W14">
        <f t="shared" si="3"/>
        <v>1.0680000000000001</v>
      </c>
      <c r="X14">
        <f t="shared" si="3"/>
        <v>1.0680000000000001</v>
      </c>
    </row>
    <row r="15" spans="1:26" s="125" customFormat="1" x14ac:dyDescent="0.25">
      <c r="A15" s="125" t="s">
        <v>71</v>
      </c>
      <c r="B15" s="125">
        <f>154.602/A22</f>
        <v>2.5767000000000002</v>
      </c>
      <c r="C15" s="125" t="s">
        <v>146</v>
      </c>
      <c r="D15" s="125" t="s">
        <v>146</v>
      </c>
      <c r="E15" s="125" t="s">
        <v>146</v>
      </c>
      <c r="F15" s="125" t="s">
        <v>146</v>
      </c>
      <c r="G15" s="125" t="s">
        <v>146</v>
      </c>
      <c r="H15" s="125" t="s">
        <v>146</v>
      </c>
      <c r="I15" s="125" t="s">
        <v>146</v>
      </c>
      <c r="J15" s="125" t="s">
        <v>146</v>
      </c>
      <c r="K15" s="125" t="s">
        <v>146</v>
      </c>
      <c r="L15" s="125" t="s">
        <v>146</v>
      </c>
      <c r="O15" s="125" t="str">
        <f t="shared" si="1"/>
        <v>Corte tapas de espuma</v>
      </c>
      <c r="P15" s="125">
        <v>0.58430000000000004</v>
      </c>
      <c r="U15" s="219"/>
    </row>
    <row r="16" spans="1:26" x14ac:dyDescent="0.25">
      <c r="A16" t="s">
        <v>79</v>
      </c>
      <c r="B16">
        <f>47.64/A22</f>
        <v>0.79400000000000004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O16" t="str">
        <f t="shared" si="1"/>
        <v>Pegar tapas de espuma</v>
      </c>
      <c r="P16">
        <v>0.21634999999999999</v>
      </c>
    </row>
    <row r="17" spans="1:26" s="125" customFormat="1" x14ac:dyDescent="0.25">
      <c r="A17" s="125" t="s">
        <v>149</v>
      </c>
      <c r="B17" s="125">
        <f>137.86/A22</f>
        <v>2.2976666666666667</v>
      </c>
      <c r="C17" s="125">
        <f>2.4922</f>
        <v>2.4922</v>
      </c>
      <c r="D17" s="125" t="s">
        <v>146</v>
      </c>
      <c r="E17" s="125" t="s">
        <v>146</v>
      </c>
      <c r="F17" s="125" t="s">
        <v>146</v>
      </c>
      <c r="G17" s="125" t="s">
        <v>146</v>
      </c>
      <c r="H17" s="125" t="s">
        <v>146</v>
      </c>
      <c r="I17" s="125" t="s">
        <v>146</v>
      </c>
      <c r="J17" s="125" t="s">
        <v>146</v>
      </c>
      <c r="K17" s="125" t="s">
        <v>146</v>
      </c>
      <c r="L17" s="125" t="s">
        <v>146</v>
      </c>
      <c r="O17" s="125" t="str">
        <f t="shared" si="1"/>
        <v>Corte tapa tela sin cremallera/con</v>
      </c>
      <c r="P17" s="125">
        <v>0.27550000000000002</v>
      </c>
      <c r="Q17" s="125">
        <v>0.2233</v>
      </c>
      <c r="U17" s="219"/>
    </row>
    <row r="18" spans="1:26" x14ac:dyDescent="0.25">
      <c r="A18" t="s">
        <v>43</v>
      </c>
      <c r="B18">
        <v>2.867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O18" t="str">
        <f t="shared" si="1"/>
        <v>Rellenado-Pesado</v>
      </c>
      <c r="P18">
        <v>2.3400000000000001E-2</v>
      </c>
    </row>
    <row r="19" spans="1:26" x14ac:dyDescent="0.25">
      <c r="A19" t="s">
        <v>77</v>
      </c>
      <c r="B19">
        <v>9.07</v>
      </c>
      <c r="C19">
        <v>10.17</v>
      </c>
      <c r="D19">
        <v>14.55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O19" t="str">
        <f t="shared" si="1"/>
        <v>Confección funda tela sin cremallera</v>
      </c>
      <c r="P19">
        <f>P20+0.0111</f>
        <v>0.18635000000000002</v>
      </c>
      <c r="Q19">
        <v>0.48799999999999999</v>
      </c>
      <c r="R19">
        <v>0.51380000000000003</v>
      </c>
    </row>
    <row r="20" spans="1:26" x14ac:dyDescent="0.25">
      <c r="A20" t="s">
        <v>74</v>
      </c>
      <c r="B20">
        <f>21.03/A22</f>
        <v>0.35050000000000003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O20" t="str">
        <f t="shared" si="1"/>
        <v>Sellado bolsa espuma</v>
      </c>
      <c r="P20">
        <f>B20*O43</f>
        <v>0.17525000000000002</v>
      </c>
    </row>
    <row r="21" spans="1:26" x14ac:dyDescent="0.25">
      <c r="A21" t="s">
        <v>3</v>
      </c>
      <c r="B21">
        <f>32.43/A22</f>
        <v>0.54049999999999998</v>
      </c>
      <c r="C21">
        <f>B21+0.017</f>
        <v>0.5575</v>
      </c>
      <c r="D21">
        <v>0.77329999999999999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O21" t="str">
        <f t="shared" si="1"/>
        <v>Enfundado</v>
      </c>
      <c r="P21">
        <f>7/O22</f>
        <v>0.11666666666666667</v>
      </c>
      <c r="Q21">
        <f>9/O22</f>
        <v>0.15</v>
      </c>
      <c r="R21">
        <f>0.1443</f>
        <v>0.14430000000000001</v>
      </c>
    </row>
    <row r="22" spans="1:26" x14ac:dyDescent="0.25">
      <c r="A22">
        <v>60</v>
      </c>
      <c r="O22">
        <v>60</v>
      </c>
    </row>
    <row r="23" spans="1:26" x14ac:dyDescent="0.25">
      <c r="G23" t="s">
        <v>146</v>
      </c>
    </row>
    <row r="24" spans="1:26" x14ac:dyDescent="0.25">
      <c r="A24" t="s">
        <v>295</v>
      </c>
      <c r="B24" t="s">
        <v>146</v>
      </c>
      <c r="C24" t="s">
        <v>146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>
        <f>9.55</f>
        <v>9.5500000000000007</v>
      </c>
      <c r="O24" t="str">
        <f>A24</f>
        <v>Corte madera</v>
      </c>
      <c r="Z24">
        <f>3.786</f>
        <v>3.786</v>
      </c>
    </row>
    <row r="25" spans="1:26" x14ac:dyDescent="0.25">
      <c r="A25" t="s">
        <v>291</v>
      </c>
      <c r="B25" t="s">
        <v>146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>
        <f>15.76</f>
        <v>15.76</v>
      </c>
      <c r="O25" t="str">
        <f>A25</f>
        <v>Lijado</v>
      </c>
      <c r="Z25">
        <f>0.321</f>
        <v>0.32100000000000001</v>
      </c>
    </row>
    <row r="26" spans="1:26" x14ac:dyDescent="0.25">
      <c r="A26" t="s">
        <v>292</v>
      </c>
      <c r="B26" t="s">
        <v>146</v>
      </c>
      <c r="C26" t="s">
        <v>146</v>
      </c>
      <c r="D26" t="s">
        <v>146</v>
      </c>
      <c r="E26" t="s">
        <v>146</v>
      </c>
      <c r="F26" t="s">
        <v>146</v>
      </c>
      <c r="G26" t="s">
        <v>146</v>
      </c>
      <c r="H26" t="s">
        <v>146</v>
      </c>
      <c r="I26" t="s">
        <v>146</v>
      </c>
      <c r="J26" t="s">
        <v>146</v>
      </c>
      <c r="K26" t="s">
        <v>146</v>
      </c>
      <c r="L26">
        <f>6.87</f>
        <v>6.87</v>
      </c>
      <c r="O26" t="str">
        <f>A26</f>
        <v>Barnizado</v>
      </c>
      <c r="Z26">
        <f>1.212</f>
        <v>1.212</v>
      </c>
    </row>
    <row r="27" spans="1:26" x14ac:dyDescent="0.25">
      <c r="A27" t="s">
        <v>296</v>
      </c>
      <c r="B27" t="s">
        <v>146</v>
      </c>
      <c r="C27" t="s">
        <v>146</v>
      </c>
      <c r="D27" t="s">
        <v>146</v>
      </c>
      <c r="E27" t="s">
        <v>146</v>
      </c>
      <c r="G27" t="s">
        <v>146</v>
      </c>
      <c r="H27" t="s">
        <v>146</v>
      </c>
      <c r="I27" t="s">
        <v>146</v>
      </c>
      <c r="J27" t="s">
        <v>146</v>
      </c>
      <c r="K27" t="s">
        <v>146</v>
      </c>
      <c r="L27">
        <f>57.68</f>
        <v>57.68</v>
      </c>
      <c r="O27" t="str">
        <f>A27</f>
        <v>Ensamble base cama</v>
      </c>
      <c r="Z27">
        <f>2.146</f>
        <v>2.1459999999999999</v>
      </c>
    </row>
    <row r="28" spans="1:26" x14ac:dyDescent="0.25">
      <c r="A28" t="s">
        <v>299</v>
      </c>
      <c r="B28">
        <v>433</v>
      </c>
      <c r="C28">
        <v>406</v>
      </c>
      <c r="D28">
        <v>585</v>
      </c>
      <c r="E28">
        <v>299</v>
      </c>
      <c r="F28">
        <v>110</v>
      </c>
      <c r="G28">
        <v>116</v>
      </c>
      <c r="H28">
        <v>124</v>
      </c>
      <c r="I28">
        <v>113</v>
      </c>
      <c r="J28">
        <v>169</v>
      </c>
      <c r="K28">
        <v>447</v>
      </c>
      <c r="L28">
        <v>162</v>
      </c>
      <c r="O28" t="s">
        <v>302</v>
      </c>
      <c r="P28">
        <f t="shared" ref="P28:Z28" si="4">B28</f>
        <v>433</v>
      </c>
      <c r="Q28">
        <f t="shared" si="4"/>
        <v>406</v>
      </c>
      <c r="R28">
        <f t="shared" si="4"/>
        <v>585</v>
      </c>
      <c r="S28">
        <f t="shared" si="4"/>
        <v>299</v>
      </c>
      <c r="T28">
        <f t="shared" si="4"/>
        <v>110</v>
      </c>
      <c r="U28" s="219">
        <f t="shared" si="4"/>
        <v>116</v>
      </c>
      <c r="V28">
        <f t="shared" si="4"/>
        <v>124</v>
      </c>
      <c r="W28">
        <f t="shared" si="4"/>
        <v>113</v>
      </c>
      <c r="X28">
        <f t="shared" si="4"/>
        <v>169</v>
      </c>
      <c r="Y28">
        <f t="shared" si="4"/>
        <v>447</v>
      </c>
      <c r="Z28">
        <f t="shared" si="4"/>
        <v>162</v>
      </c>
    </row>
    <row r="31" spans="1:26" x14ac:dyDescent="0.25">
      <c r="B31" t="s">
        <v>300</v>
      </c>
      <c r="C31" t="s">
        <v>301</v>
      </c>
      <c r="P31" t="str">
        <f>B31</f>
        <v>Bloques</v>
      </c>
      <c r="Q31" t="str">
        <f>C31</f>
        <v>Cilindro</v>
      </c>
    </row>
    <row r="32" spans="1:26" x14ac:dyDescent="0.25">
      <c r="A32" t="str">
        <f>A3</f>
        <v>Pesado de MP</v>
      </c>
      <c r="B32">
        <f>2.587</f>
        <v>2.5870000000000002</v>
      </c>
      <c r="C32">
        <f>3.479</f>
        <v>3.4790000000000001</v>
      </c>
      <c r="D32">
        <f t="shared" ref="D32:J32" si="5">D3</f>
        <v>0</v>
      </c>
      <c r="E32">
        <f t="shared" si="5"/>
        <v>0</v>
      </c>
      <c r="F32">
        <f t="shared" si="5"/>
        <v>0</v>
      </c>
      <c r="J32">
        <f t="shared" si="5"/>
        <v>0</v>
      </c>
      <c r="O32" t="str">
        <f t="shared" ref="O32:O38" si="6">A32</f>
        <v>Pesado de MP</v>
      </c>
      <c r="P32" s="14">
        <f>3.687</f>
        <v>3.6869999999999998</v>
      </c>
      <c r="Q32" s="14">
        <f>3.678</f>
        <v>3.6779999999999999</v>
      </c>
      <c r="R32">
        <f t="shared" ref="R32:T39" si="7">D32</f>
        <v>0</v>
      </c>
      <c r="S32">
        <f t="shared" si="7"/>
        <v>0</v>
      </c>
      <c r="T32">
        <f t="shared" si="7"/>
        <v>0</v>
      </c>
      <c r="X32">
        <f t="shared" ref="X32:X39" si="8">J32</f>
        <v>0</v>
      </c>
    </row>
    <row r="33" spans="1:35" x14ac:dyDescent="0.25">
      <c r="A33" t="str">
        <f t="shared" ref="A33:J36" si="9">A4</f>
        <v>Pre-mezclado</v>
      </c>
      <c r="B33">
        <f>7.11/A22</f>
        <v>0.11850000000000001</v>
      </c>
      <c r="C33">
        <f>7.11/A22</f>
        <v>0.11850000000000001</v>
      </c>
      <c r="D33">
        <f t="shared" si="9"/>
        <v>0</v>
      </c>
      <c r="E33">
        <f t="shared" si="9"/>
        <v>0</v>
      </c>
      <c r="F33">
        <f t="shared" si="9"/>
        <v>0</v>
      </c>
      <c r="J33">
        <f t="shared" si="9"/>
        <v>0</v>
      </c>
      <c r="O33" t="str">
        <f t="shared" si="6"/>
        <v>Pre-mezclado</v>
      </c>
      <c r="P33" s="14">
        <f>5.21</f>
        <v>5.21</v>
      </c>
      <c r="Q33" s="14">
        <f>5.21</f>
        <v>5.21</v>
      </c>
      <c r="R33">
        <f t="shared" si="7"/>
        <v>0</v>
      </c>
      <c r="S33">
        <f t="shared" si="7"/>
        <v>0</v>
      </c>
      <c r="T33">
        <f t="shared" si="7"/>
        <v>0</v>
      </c>
      <c r="X33">
        <f t="shared" si="8"/>
        <v>0</v>
      </c>
    </row>
    <row r="34" spans="1:35" x14ac:dyDescent="0.25">
      <c r="A34" t="str">
        <f t="shared" si="9"/>
        <v>Mezclado</v>
      </c>
      <c r="B34">
        <f>8.26/60</f>
        <v>0.13766666666666666</v>
      </c>
      <c r="C34">
        <f>8.26/60</f>
        <v>0.13766666666666666</v>
      </c>
      <c r="D34">
        <f t="shared" si="9"/>
        <v>0</v>
      </c>
      <c r="E34">
        <f t="shared" si="9"/>
        <v>0</v>
      </c>
      <c r="F34">
        <f t="shared" si="9"/>
        <v>0</v>
      </c>
      <c r="J34">
        <f t="shared" si="9"/>
        <v>0</v>
      </c>
      <c r="O34" t="str">
        <f t="shared" si="6"/>
        <v>Mezclado</v>
      </c>
      <c r="P34" s="14">
        <f>4.33</f>
        <v>4.33</v>
      </c>
      <c r="Q34" s="14">
        <f>4.33</f>
        <v>4.33</v>
      </c>
      <c r="R34">
        <f t="shared" si="7"/>
        <v>0</v>
      </c>
      <c r="S34">
        <f t="shared" si="7"/>
        <v>0</v>
      </c>
      <c r="T34">
        <f t="shared" si="7"/>
        <v>0</v>
      </c>
      <c r="X34">
        <f t="shared" si="8"/>
        <v>0</v>
      </c>
    </row>
    <row r="35" spans="1:35" x14ac:dyDescent="0.25">
      <c r="A35" t="str">
        <f t="shared" si="9"/>
        <v>Moldeo</v>
      </c>
      <c r="B35">
        <f>327.18/60</f>
        <v>5.4530000000000003</v>
      </c>
      <c r="C35">
        <f>305.47/60</f>
        <v>5.0911666666666671</v>
      </c>
      <c r="D35">
        <f t="shared" si="9"/>
        <v>0</v>
      </c>
      <c r="E35">
        <f t="shared" si="9"/>
        <v>0</v>
      </c>
      <c r="F35">
        <f t="shared" si="9"/>
        <v>0</v>
      </c>
      <c r="J35">
        <f t="shared" si="9"/>
        <v>0</v>
      </c>
      <c r="O35" t="str">
        <f t="shared" si="6"/>
        <v>Moldeo</v>
      </c>
      <c r="P35" s="14">
        <v>120</v>
      </c>
      <c r="Q35" s="14">
        <v>120</v>
      </c>
      <c r="R35">
        <f t="shared" si="7"/>
        <v>0</v>
      </c>
      <c r="S35">
        <f t="shared" si="7"/>
        <v>0</v>
      </c>
      <c r="T35">
        <f t="shared" si="7"/>
        <v>0</v>
      </c>
      <c r="X35">
        <f t="shared" si="8"/>
        <v>0</v>
      </c>
    </row>
    <row r="36" spans="1:35" x14ac:dyDescent="0.25">
      <c r="A36" t="str">
        <f t="shared" si="9"/>
        <v>Desmoldeo</v>
      </c>
      <c r="B36">
        <f>5.76</f>
        <v>5.76</v>
      </c>
      <c r="C36">
        <f>6.17</f>
        <v>6.17</v>
      </c>
      <c r="D36">
        <f t="shared" si="9"/>
        <v>0</v>
      </c>
      <c r="E36">
        <f t="shared" si="9"/>
        <v>0</v>
      </c>
      <c r="F36">
        <f t="shared" si="9"/>
        <v>0</v>
      </c>
      <c r="J36">
        <f t="shared" si="9"/>
        <v>0</v>
      </c>
      <c r="O36" t="str">
        <f t="shared" si="6"/>
        <v>Desmoldeo</v>
      </c>
      <c r="P36" s="14">
        <f>2.38</f>
        <v>2.38</v>
      </c>
      <c r="Q36" s="14">
        <f>2.879</f>
        <v>2.879</v>
      </c>
      <c r="R36">
        <f t="shared" si="7"/>
        <v>0</v>
      </c>
      <c r="S36">
        <f t="shared" si="7"/>
        <v>0</v>
      </c>
      <c r="T36">
        <f t="shared" si="7"/>
        <v>0</v>
      </c>
      <c r="X36">
        <f t="shared" si="8"/>
        <v>0</v>
      </c>
    </row>
    <row r="37" spans="1:35" x14ac:dyDescent="0.25">
      <c r="A37" s="14" t="s">
        <v>81</v>
      </c>
      <c r="B37" s="14">
        <v>0</v>
      </c>
      <c r="C37" s="14">
        <f>93.76/A22</f>
        <v>1.5626666666666666</v>
      </c>
      <c r="D37" s="14"/>
      <c r="O37" t="str">
        <f t="shared" si="6"/>
        <v>Perforación Cilindro</v>
      </c>
      <c r="P37" s="14">
        <f>B37</f>
        <v>0</v>
      </c>
      <c r="Q37" s="14">
        <f>20/60</f>
        <v>0.33333333333333331</v>
      </c>
      <c r="R37">
        <f t="shared" si="7"/>
        <v>0</v>
      </c>
      <c r="S37">
        <f t="shared" si="7"/>
        <v>0</v>
      </c>
      <c r="T37">
        <f t="shared" si="7"/>
        <v>0</v>
      </c>
      <c r="X37">
        <f t="shared" si="8"/>
        <v>0</v>
      </c>
    </row>
    <row r="38" spans="1:35" x14ac:dyDescent="0.25">
      <c r="A38" s="14" t="s">
        <v>80</v>
      </c>
      <c r="B38" s="14">
        <v>0</v>
      </c>
      <c r="C38" s="14">
        <f>57.89</f>
        <v>57.89</v>
      </c>
      <c r="D38" s="14"/>
      <c r="O38" t="str">
        <f t="shared" si="6"/>
        <v>Corte de espuma continua</v>
      </c>
      <c r="P38" s="14">
        <f>B38</f>
        <v>0</v>
      </c>
      <c r="Q38" s="14">
        <f>1.382</f>
        <v>1.3819999999999999</v>
      </c>
      <c r="R38">
        <f t="shared" si="7"/>
        <v>0</v>
      </c>
      <c r="S38">
        <f t="shared" si="7"/>
        <v>0</v>
      </c>
      <c r="T38">
        <f t="shared" si="7"/>
        <v>0</v>
      </c>
      <c r="X38">
        <f t="shared" si="8"/>
        <v>0</v>
      </c>
    </row>
    <row r="39" spans="1:35" x14ac:dyDescent="0.25">
      <c r="A39" t="s">
        <v>299</v>
      </c>
      <c r="B39">
        <f>'Flujos Planta Final'!BX355</f>
        <v>43</v>
      </c>
      <c r="C39">
        <f>'Flujos Planta Final'!AU331</f>
        <v>5</v>
      </c>
      <c r="O39" t="s">
        <v>302</v>
      </c>
      <c r="P39">
        <f>B39</f>
        <v>43</v>
      </c>
      <c r="Q39">
        <f>C39</f>
        <v>5</v>
      </c>
      <c r="R39">
        <f t="shared" si="7"/>
        <v>0</v>
      </c>
      <c r="S39">
        <f t="shared" si="7"/>
        <v>0</v>
      </c>
      <c r="T39">
        <f t="shared" si="7"/>
        <v>0</v>
      </c>
      <c r="X39">
        <f t="shared" si="8"/>
        <v>0</v>
      </c>
    </row>
    <row r="40" spans="1:35" x14ac:dyDescent="0.25">
      <c r="A40" t="s">
        <v>213</v>
      </c>
      <c r="B40">
        <v>0</v>
      </c>
      <c r="C40">
        <f>57.982</f>
        <v>57.981999999999999</v>
      </c>
      <c r="O40" t="str">
        <f>A40</f>
        <v>Acolchado</v>
      </c>
      <c r="P40">
        <v>0</v>
      </c>
      <c r="Q40">
        <f>353/A22</f>
        <v>5.8833333333333337</v>
      </c>
    </row>
    <row r="42" spans="1:35" x14ac:dyDescent="0.25">
      <c r="E42" t="s">
        <v>303</v>
      </c>
      <c r="O42" t="s">
        <v>75</v>
      </c>
    </row>
    <row r="43" spans="1:35" x14ac:dyDescent="0.25">
      <c r="O43">
        <v>0.5</v>
      </c>
    </row>
    <row r="44" spans="1:35" x14ac:dyDescent="0.25">
      <c r="O44" t="s">
        <v>76</v>
      </c>
    </row>
    <row r="46" spans="1:35" x14ac:dyDescent="0.25">
      <c r="A46" s="217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V46" s="217"/>
      <c r="W46" s="217"/>
      <c r="X46" s="217"/>
      <c r="Y46" s="217"/>
      <c r="Z46" s="217"/>
      <c r="AA46" s="217"/>
      <c r="AB46" s="217"/>
      <c r="AC46" s="217"/>
      <c r="AD46" s="217"/>
    </row>
    <row r="47" spans="1:35" s="224" customFormat="1" x14ac:dyDescent="0.25">
      <c r="B47" s="224" t="str">
        <f>B1</f>
        <v>P2(45x60)</v>
      </c>
      <c r="C47" s="224" t="str">
        <f t="shared" ref="C47:K47" si="10">C1</f>
        <v>P1(40x60)</v>
      </c>
      <c r="D47" s="224" t="str">
        <f t="shared" si="10"/>
        <v>P11(C10)100X190</v>
      </c>
      <c r="E47" s="224" t="str">
        <f t="shared" si="10"/>
        <v>P4(C15)100X190</v>
      </c>
      <c r="F47" s="224" t="str">
        <f t="shared" si="10"/>
        <v>P6 100 X 190</v>
      </c>
      <c r="G47" s="224" t="str">
        <f t="shared" si="10"/>
        <v>P7 100 X 190</v>
      </c>
      <c r="H47" s="224" t="str">
        <f t="shared" si="10"/>
        <v>P9 100 X 190</v>
      </c>
      <c r="I47" s="224" t="str">
        <f t="shared" si="10"/>
        <v>P8 100 X 190</v>
      </c>
      <c r="J47" s="224" t="str">
        <f t="shared" si="10"/>
        <v>P10 100 x 190</v>
      </c>
      <c r="K47" s="224" t="str">
        <f t="shared" si="10"/>
        <v>P5 100 x 190</v>
      </c>
      <c r="L47" s="224" t="str">
        <f>L1</f>
        <v>P3 100 x 190</v>
      </c>
      <c r="M47" s="351" t="s">
        <v>304</v>
      </c>
      <c r="P47" s="224" t="str">
        <f>P1</f>
        <v>P2(45x60)</v>
      </c>
      <c r="Q47" s="224" t="str">
        <f t="shared" ref="Q47:Z47" si="11">Q1</f>
        <v>P1(40x60)</v>
      </c>
      <c r="R47" s="224" t="str">
        <f t="shared" si="11"/>
        <v>P11(C10)100X190</v>
      </c>
      <c r="S47" s="224" t="str">
        <f t="shared" si="11"/>
        <v>P4(C15)100X190</v>
      </c>
      <c r="T47" s="224" t="str">
        <f t="shared" si="11"/>
        <v>P6 100 X 190</v>
      </c>
      <c r="U47" s="224" t="str">
        <f t="shared" si="11"/>
        <v>P7 100 X 190</v>
      </c>
      <c r="V47" s="224" t="str">
        <f t="shared" si="11"/>
        <v>P9 100 X 190</v>
      </c>
      <c r="W47" s="224" t="str">
        <f t="shared" si="11"/>
        <v>P8 100 X 190</v>
      </c>
      <c r="X47" s="224" t="str">
        <f t="shared" si="11"/>
        <v>P10 100 x 190</v>
      </c>
      <c r="Y47" s="224" t="str">
        <f t="shared" si="11"/>
        <v>P5 100 x 190</v>
      </c>
      <c r="Z47" s="224" t="str">
        <f t="shared" si="11"/>
        <v>P3 100 x 190</v>
      </c>
      <c r="AA47" s="351" t="s">
        <v>304</v>
      </c>
      <c r="AD47" s="224" t="s">
        <v>306</v>
      </c>
      <c r="AG47" s="497" t="s">
        <v>306</v>
      </c>
      <c r="AH47" s="497"/>
      <c r="AI47" s="325"/>
    </row>
    <row r="48" spans="1:35" x14ac:dyDescent="0.25">
      <c r="A48" t="str">
        <f>A2</f>
        <v>Confección colchón algodón</v>
      </c>
      <c r="B48">
        <f>B2*B28</f>
        <v>0</v>
      </c>
      <c r="C48">
        <f t="shared" ref="C48:J48" si="12">C2*C28</f>
        <v>0</v>
      </c>
      <c r="D48">
        <f t="shared" si="12"/>
        <v>0</v>
      </c>
      <c r="E48">
        <f t="shared" si="12"/>
        <v>0</v>
      </c>
      <c r="F48">
        <f t="shared" si="12"/>
        <v>0</v>
      </c>
      <c r="G48">
        <f t="shared" si="12"/>
        <v>0</v>
      </c>
      <c r="H48">
        <f t="shared" si="12"/>
        <v>0</v>
      </c>
      <c r="I48">
        <f t="shared" si="12"/>
        <v>0</v>
      </c>
      <c r="J48">
        <f t="shared" si="12"/>
        <v>0</v>
      </c>
      <c r="K48">
        <f>K2*K28</f>
        <v>21742.080000000002</v>
      </c>
      <c r="M48">
        <f t="shared" ref="M48:M86" si="13">SUM(B48:L48)</f>
        <v>21742.080000000002</v>
      </c>
      <c r="O48" t="str">
        <f>O2</f>
        <v>Confección colchón algodón</v>
      </c>
      <c r="P48">
        <f>P2*P$28</f>
        <v>0</v>
      </c>
      <c r="Q48">
        <f t="shared" ref="Q48:Z48" si="14">Q2*Q$28</f>
        <v>0</v>
      </c>
      <c r="R48">
        <f t="shared" si="14"/>
        <v>0</v>
      </c>
      <c r="S48">
        <f t="shared" si="14"/>
        <v>0</v>
      </c>
      <c r="T48">
        <f t="shared" si="14"/>
        <v>0</v>
      </c>
      <c r="U48" s="219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>Y2*Y$28</f>
        <v>304.85400000000004</v>
      </c>
      <c r="Z48">
        <f t="shared" si="14"/>
        <v>0</v>
      </c>
      <c r="AA48">
        <f>SUM(P48:Z48)</f>
        <v>304.85400000000004</v>
      </c>
      <c r="AD48">
        <f>AA48+M48</f>
        <v>22046.934000000001</v>
      </c>
      <c r="AE48" t="s">
        <v>307</v>
      </c>
      <c r="AG48" s="67">
        <f>AD48*1/60</f>
        <v>367.44890000000004</v>
      </c>
      <c r="AH48" s="67" t="s">
        <v>308</v>
      </c>
      <c r="AI48" s="67" t="str">
        <f>O48</f>
        <v>Confección colchón algodón</v>
      </c>
    </row>
    <row r="49" spans="1:35" x14ac:dyDescent="0.25">
      <c r="A49" t="str">
        <f t="shared" ref="A49:A86" si="15">A3</f>
        <v>Pesado de MP</v>
      </c>
      <c r="C49">
        <f>C3*C28</f>
        <v>1015</v>
      </c>
      <c r="D49">
        <f t="shared" ref="D49:J49" si="16">D3*D28</f>
        <v>0</v>
      </c>
      <c r="E49">
        <f t="shared" si="16"/>
        <v>0</v>
      </c>
      <c r="F49">
        <f t="shared" si="16"/>
        <v>0</v>
      </c>
      <c r="J49">
        <f t="shared" si="16"/>
        <v>0</v>
      </c>
      <c r="M49">
        <f t="shared" si="13"/>
        <v>1015</v>
      </c>
      <c r="O49" t="str">
        <f t="shared" ref="O49:O86" si="17">O3</f>
        <v>Pesado de MP</v>
      </c>
      <c r="P49">
        <f t="shared" ref="P49:Z49" si="18">P3*P$28</f>
        <v>0</v>
      </c>
      <c r="Q49">
        <f t="shared" si="18"/>
        <v>0</v>
      </c>
      <c r="R49">
        <f t="shared" si="18"/>
        <v>0</v>
      </c>
      <c r="S49">
        <f t="shared" si="18"/>
        <v>0</v>
      </c>
      <c r="T49">
        <f t="shared" si="18"/>
        <v>0</v>
      </c>
      <c r="U49" s="219">
        <f t="shared" si="18"/>
        <v>0</v>
      </c>
      <c r="V49">
        <f t="shared" si="18"/>
        <v>0</v>
      </c>
      <c r="W49">
        <f t="shared" si="18"/>
        <v>0</v>
      </c>
      <c r="X49">
        <f t="shared" si="18"/>
        <v>0</v>
      </c>
      <c r="Y49">
        <f t="shared" si="18"/>
        <v>0</v>
      </c>
      <c r="Z49">
        <f t="shared" si="18"/>
        <v>0</v>
      </c>
      <c r="AA49">
        <f t="shared" ref="AA49:AA84" si="19">SUM(P49:Z49)</f>
        <v>0</v>
      </c>
      <c r="AD49">
        <f t="shared" ref="AD49:AD86" si="20">AA49+M49</f>
        <v>1015</v>
      </c>
      <c r="AE49" t="s">
        <v>307</v>
      </c>
      <c r="AG49" s="67">
        <f>AD49*1/60</f>
        <v>16.916666666666668</v>
      </c>
      <c r="AH49" s="67" t="s">
        <v>308</v>
      </c>
      <c r="AI49" s="67" t="str">
        <f t="shared" ref="AI49:AI86" si="21">O49</f>
        <v>Pesado de MP</v>
      </c>
    </row>
    <row r="50" spans="1:35" s="219" customFormat="1" x14ac:dyDescent="0.25">
      <c r="A50" t="str">
        <f t="shared" si="15"/>
        <v>Pre-mezclado</v>
      </c>
      <c r="B50" s="219">
        <f>B28*B4</f>
        <v>0</v>
      </c>
      <c r="D50" s="219">
        <f t="shared" ref="D50:J50" si="22">D28*D4</f>
        <v>0</v>
      </c>
      <c r="E50" s="219">
        <f t="shared" si="22"/>
        <v>0</v>
      </c>
      <c r="F50" s="219">
        <f t="shared" si="22"/>
        <v>0</v>
      </c>
      <c r="G50" s="219">
        <f t="shared" si="22"/>
        <v>0</v>
      </c>
      <c r="H50" s="219">
        <f t="shared" si="22"/>
        <v>0</v>
      </c>
      <c r="I50" s="219">
        <f t="shared" si="22"/>
        <v>0</v>
      </c>
      <c r="J50" s="219">
        <f t="shared" si="22"/>
        <v>0</v>
      </c>
      <c r="M50" s="219">
        <f t="shared" si="13"/>
        <v>0</v>
      </c>
      <c r="O50" s="219" t="str">
        <f t="shared" si="17"/>
        <v>Pre-mezclado</v>
      </c>
      <c r="P50" s="219">
        <f t="shared" ref="P50:Z50" si="23">P4*P$28</f>
        <v>0</v>
      </c>
      <c r="Q50" s="219">
        <f t="shared" si="23"/>
        <v>0</v>
      </c>
      <c r="R50" s="219">
        <f t="shared" si="23"/>
        <v>0</v>
      </c>
      <c r="S50" s="219">
        <f t="shared" si="23"/>
        <v>0</v>
      </c>
      <c r="T50" s="219">
        <f t="shared" si="23"/>
        <v>0</v>
      </c>
      <c r="U50" s="219">
        <f t="shared" si="23"/>
        <v>0</v>
      </c>
      <c r="V50" s="219">
        <f t="shared" si="23"/>
        <v>0</v>
      </c>
      <c r="W50" s="219">
        <f t="shared" si="23"/>
        <v>0</v>
      </c>
      <c r="X50" s="219">
        <f t="shared" si="23"/>
        <v>0</v>
      </c>
      <c r="Y50" s="219">
        <f t="shared" si="23"/>
        <v>0</v>
      </c>
      <c r="Z50" s="219">
        <f t="shared" si="23"/>
        <v>0</v>
      </c>
      <c r="AA50" s="219">
        <f t="shared" si="19"/>
        <v>0</v>
      </c>
      <c r="AD50" s="219">
        <f t="shared" si="20"/>
        <v>0</v>
      </c>
      <c r="AE50" s="219" t="s">
        <v>307</v>
      </c>
      <c r="AG50" s="275"/>
      <c r="AH50" s="275" t="s">
        <v>308</v>
      </c>
      <c r="AI50" s="275" t="str">
        <f t="shared" si="21"/>
        <v>Pre-mezclado</v>
      </c>
    </row>
    <row r="51" spans="1:35" x14ac:dyDescent="0.25">
      <c r="A51" t="str">
        <f t="shared" si="15"/>
        <v>Mezclado</v>
      </c>
      <c r="B51">
        <f>B$28*B5</f>
        <v>0</v>
      </c>
      <c r="C51">
        <f>C$28*C5</f>
        <v>54.131979999999999</v>
      </c>
      <c r="D51">
        <f t="shared" ref="D51:J51" si="24">D$28*D5</f>
        <v>0</v>
      </c>
      <c r="E51">
        <f t="shared" si="24"/>
        <v>0</v>
      </c>
      <c r="F51">
        <f t="shared" si="24"/>
        <v>0</v>
      </c>
      <c r="G51">
        <f t="shared" si="24"/>
        <v>0</v>
      </c>
      <c r="H51">
        <f t="shared" si="24"/>
        <v>0</v>
      </c>
      <c r="I51">
        <f t="shared" si="24"/>
        <v>0</v>
      </c>
      <c r="J51">
        <f t="shared" si="24"/>
        <v>0</v>
      </c>
      <c r="M51">
        <f t="shared" si="13"/>
        <v>54.131979999999999</v>
      </c>
      <c r="O51" t="str">
        <f t="shared" si="17"/>
        <v>Mezclado</v>
      </c>
      <c r="P51">
        <f t="shared" ref="P51:Z51" si="25">P5*P$28</f>
        <v>0</v>
      </c>
      <c r="Q51">
        <f t="shared" si="25"/>
        <v>121.8</v>
      </c>
      <c r="R51">
        <f t="shared" si="25"/>
        <v>0</v>
      </c>
      <c r="S51">
        <f t="shared" si="25"/>
        <v>0</v>
      </c>
      <c r="T51">
        <f t="shared" si="25"/>
        <v>0</v>
      </c>
      <c r="U51" s="219">
        <f t="shared" si="25"/>
        <v>0</v>
      </c>
      <c r="V51">
        <f t="shared" si="25"/>
        <v>0</v>
      </c>
      <c r="W51">
        <f t="shared" si="25"/>
        <v>0</v>
      </c>
      <c r="X51">
        <f t="shared" si="25"/>
        <v>0</v>
      </c>
      <c r="Y51">
        <f t="shared" si="25"/>
        <v>0</v>
      </c>
      <c r="Z51">
        <f t="shared" si="25"/>
        <v>0</v>
      </c>
      <c r="AA51">
        <f t="shared" si="19"/>
        <v>121.8</v>
      </c>
      <c r="AD51">
        <f t="shared" si="20"/>
        <v>175.93198000000001</v>
      </c>
      <c r="AE51" t="s">
        <v>307</v>
      </c>
      <c r="AG51" s="67">
        <f>AD51*1/60</f>
        <v>2.932199666666667</v>
      </c>
      <c r="AH51" s="67" t="s">
        <v>308</v>
      </c>
      <c r="AI51" s="67" t="str">
        <f t="shared" si="21"/>
        <v>Mezclado</v>
      </c>
    </row>
    <row r="52" spans="1:35" x14ac:dyDescent="0.25">
      <c r="A52" t="str">
        <f t="shared" si="15"/>
        <v>Moldeo</v>
      </c>
      <c r="B52">
        <f t="shared" ref="B52:L76" si="26">B$28*B6</f>
        <v>0</v>
      </c>
      <c r="C52">
        <f t="shared" si="26"/>
        <v>1542.8</v>
      </c>
      <c r="D52">
        <f t="shared" si="26"/>
        <v>0</v>
      </c>
      <c r="E52">
        <f t="shared" si="26"/>
        <v>0</v>
      </c>
      <c r="F52">
        <f t="shared" si="26"/>
        <v>0</v>
      </c>
      <c r="G52">
        <f t="shared" si="26"/>
        <v>0</v>
      </c>
      <c r="H52">
        <f t="shared" si="26"/>
        <v>0</v>
      </c>
      <c r="I52">
        <f t="shared" si="26"/>
        <v>0</v>
      </c>
      <c r="J52">
        <f t="shared" si="26"/>
        <v>0</v>
      </c>
      <c r="M52">
        <f t="shared" si="13"/>
        <v>1542.8</v>
      </c>
      <c r="O52" t="str">
        <f t="shared" si="17"/>
        <v>Moldeo</v>
      </c>
      <c r="P52">
        <f t="shared" ref="P52:Z52" si="27">P6*P$28</f>
        <v>0</v>
      </c>
      <c r="Q52">
        <f t="shared" si="27"/>
        <v>207.46600000000001</v>
      </c>
      <c r="R52">
        <f t="shared" si="27"/>
        <v>0</v>
      </c>
      <c r="S52">
        <f t="shared" si="27"/>
        <v>0</v>
      </c>
      <c r="T52">
        <f t="shared" si="27"/>
        <v>0</v>
      </c>
      <c r="U52" s="219">
        <f t="shared" si="27"/>
        <v>0</v>
      </c>
      <c r="V52">
        <f t="shared" si="27"/>
        <v>0</v>
      </c>
      <c r="W52">
        <f t="shared" si="27"/>
        <v>0</v>
      </c>
      <c r="X52">
        <f t="shared" si="27"/>
        <v>0</v>
      </c>
      <c r="Y52">
        <f t="shared" si="27"/>
        <v>0</v>
      </c>
      <c r="Z52">
        <f t="shared" si="27"/>
        <v>0</v>
      </c>
      <c r="AA52">
        <f t="shared" si="19"/>
        <v>207.46600000000001</v>
      </c>
      <c r="AD52">
        <f t="shared" si="20"/>
        <v>1750.2660000000001</v>
      </c>
      <c r="AE52" t="s">
        <v>307</v>
      </c>
      <c r="AG52" s="67">
        <f t="shared" ref="AG52:AG86" si="28">AD52*1/60</f>
        <v>29.171100000000003</v>
      </c>
      <c r="AH52" s="67" t="s">
        <v>308</v>
      </c>
      <c r="AI52" s="67" t="str">
        <f t="shared" si="21"/>
        <v>Moldeo</v>
      </c>
    </row>
    <row r="53" spans="1:35" s="219" customFormat="1" x14ac:dyDescent="0.25">
      <c r="A53" t="str">
        <f t="shared" si="15"/>
        <v>Desmoldeo</v>
      </c>
      <c r="B53" s="219">
        <f t="shared" si="26"/>
        <v>0</v>
      </c>
      <c r="D53" s="219">
        <f t="shared" si="26"/>
        <v>0</v>
      </c>
      <c r="E53" s="219">
        <f t="shared" si="26"/>
        <v>0</v>
      </c>
      <c r="F53" s="219">
        <f t="shared" si="26"/>
        <v>0</v>
      </c>
      <c r="G53" s="219">
        <f t="shared" si="26"/>
        <v>0</v>
      </c>
      <c r="H53" s="219">
        <f t="shared" si="26"/>
        <v>0</v>
      </c>
      <c r="I53" s="219">
        <f t="shared" si="26"/>
        <v>0</v>
      </c>
      <c r="J53" s="219">
        <f t="shared" si="26"/>
        <v>0</v>
      </c>
      <c r="M53" s="219">
        <f t="shared" si="13"/>
        <v>0</v>
      </c>
      <c r="O53" s="219" t="str">
        <f t="shared" si="17"/>
        <v>Desmoldeo</v>
      </c>
      <c r="P53" s="219">
        <f t="shared" ref="P53:Z53" si="29">P7*P$28</f>
        <v>0</v>
      </c>
      <c r="Q53" s="219">
        <f t="shared" si="29"/>
        <v>0</v>
      </c>
      <c r="R53" s="219">
        <f t="shared" si="29"/>
        <v>0</v>
      </c>
      <c r="S53" s="219">
        <f t="shared" si="29"/>
        <v>0</v>
      </c>
      <c r="T53" s="219">
        <f t="shared" si="29"/>
        <v>0</v>
      </c>
      <c r="U53" s="219">
        <f t="shared" si="29"/>
        <v>0</v>
      </c>
      <c r="V53" s="219">
        <f t="shared" si="29"/>
        <v>0</v>
      </c>
      <c r="W53" s="219">
        <f t="shared" si="29"/>
        <v>0</v>
      </c>
      <c r="X53" s="219">
        <f t="shared" si="29"/>
        <v>0</v>
      </c>
      <c r="Y53" s="219">
        <f t="shared" si="29"/>
        <v>0</v>
      </c>
      <c r="Z53" s="219">
        <f t="shared" si="29"/>
        <v>0</v>
      </c>
      <c r="AA53" s="219">
        <f t="shared" si="19"/>
        <v>0</v>
      </c>
      <c r="AD53" s="219">
        <f t="shared" si="20"/>
        <v>0</v>
      </c>
      <c r="AE53" s="219" t="s">
        <v>307</v>
      </c>
      <c r="AG53" s="275"/>
      <c r="AH53" s="275" t="s">
        <v>308</v>
      </c>
      <c r="AI53" s="275" t="str">
        <f t="shared" si="21"/>
        <v>Desmoldeo</v>
      </c>
    </row>
    <row r="54" spans="1:35" s="219" customFormat="1" x14ac:dyDescent="0.25">
      <c r="A54" t="str">
        <f t="shared" si="15"/>
        <v>Curado</v>
      </c>
      <c r="B54" s="219">
        <f t="shared" si="26"/>
        <v>0</v>
      </c>
      <c r="D54" s="219">
        <f t="shared" si="26"/>
        <v>0</v>
      </c>
      <c r="E54" s="219">
        <f t="shared" si="26"/>
        <v>0</v>
      </c>
      <c r="F54" s="219">
        <f t="shared" si="26"/>
        <v>0</v>
      </c>
      <c r="G54" s="219">
        <f t="shared" si="26"/>
        <v>0</v>
      </c>
      <c r="H54" s="219">
        <f t="shared" si="26"/>
        <v>0</v>
      </c>
      <c r="I54" s="219">
        <f t="shared" si="26"/>
        <v>0</v>
      </c>
      <c r="J54" s="219">
        <f t="shared" si="26"/>
        <v>0</v>
      </c>
      <c r="M54" s="219">
        <f t="shared" si="13"/>
        <v>0</v>
      </c>
      <c r="O54" s="219" t="str">
        <f t="shared" si="17"/>
        <v>Curado</v>
      </c>
      <c r="P54" s="219">
        <f t="shared" ref="P54:Z54" si="30">P8*P$28</f>
        <v>0</v>
      </c>
      <c r="Q54" s="219">
        <f t="shared" si="30"/>
        <v>0</v>
      </c>
      <c r="R54" s="219">
        <f t="shared" si="30"/>
        <v>0</v>
      </c>
      <c r="S54" s="219">
        <f t="shared" si="30"/>
        <v>0</v>
      </c>
      <c r="T54" s="219">
        <f t="shared" si="30"/>
        <v>0</v>
      </c>
      <c r="U54" s="219">
        <f t="shared" si="30"/>
        <v>0</v>
      </c>
      <c r="V54" s="219">
        <f t="shared" si="30"/>
        <v>0</v>
      </c>
      <c r="W54" s="219">
        <f t="shared" si="30"/>
        <v>0</v>
      </c>
      <c r="X54" s="219">
        <f t="shared" si="30"/>
        <v>0</v>
      </c>
      <c r="Y54" s="219">
        <f t="shared" si="30"/>
        <v>0</v>
      </c>
      <c r="Z54" s="219">
        <f t="shared" si="30"/>
        <v>0</v>
      </c>
      <c r="AA54" s="219">
        <f t="shared" si="19"/>
        <v>0</v>
      </c>
      <c r="AD54" s="219">
        <f t="shared" si="20"/>
        <v>0</v>
      </c>
      <c r="AE54" s="219" t="s">
        <v>307</v>
      </c>
      <c r="AG54" s="275"/>
      <c r="AH54" s="275" t="s">
        <v>308</v>
      </c>
      <c r="AI54" s="275" t="str">
        <f t="shared" si="21"/>
        <v>Curado</v>
      </c>
    </row>
    <row r="55" spans="1:35" s="219" customFormat="1" x14ac:dyDescent="0.25">
      <c r="A55" t="str">
        <f t="shared" si="15"/>
        <v>Perforación Cilindro</v>
      </c>
      <c r="B55" s="219">
        <f t="shared" si="26"/>
        <v>0</v>
      </c>
      <c r="D55" s="219">
        <f t="shared" si="26"/>
        <v>0</v>
      </c>
      <c r="E55" s="219">
        <f t="shared" si="26"/>
        <v>0</v>
      </c>
      <c r="F55" s="219">
        <f t="shared" si="26"/>
        <v>0</v>
      </c>
      <c r="G55" s="219">
        <f t="shared" si="26"/>
        <v>0</v>
      </c>
      <c r="H55" s="219">
        <f t="shared" si="26"/>
        <v>0</v>
      </c>
      <c r="I55" s="219">
        <f t="shared" si="26"/>
        <v>0</v>
      </c>
      <c r="J55" s="219">
        <f t="shared" si="26"/>
        <v>0</v>
      </c>
      <c r="M55" s="219">
        <f t="shared" si="13"/>
        <v>0</v>
      </c>
      <c r="O55" s="219" t="str">
        <f t="shared" si="17"/>
        <v>Perforación Cilindro</v>
      </c>
      <c r="P55" s="219">
        <f t="shared" ref="P55:Z55" si="31">P9*P$28</f>
        <v>0</v>
      </c>
      <c r="Q55" s="219">
        <f t="shared" si="31"/>
        <v>0</v>
      </c>
      <c r="R55" s="219">
        <f t="shared" si="31"/>
        <v>0</v>
      </c>
      <c r="S55" s="219">
        <f t="shared" si="31"/>
        <v>0</v>
      </c>
      <c r="T55" s="219">
        <f t="shared" si="31"/>
        <v>0</v>
      </c>
      <c r="U55" s="219">
        <f t="shared" si="31"/>
        <v>0</v>
      </c>
      <c r="V55" s="219">
        <f t="shared" si="31"/>
        <v>0</v>
      </c>
      <c r="W55" s="219">
        <f t="shared" si="31"/>
        <v>0</v>
      </c>
      <c r="X55" s="219">
        <f t="shared" si="31"/>
        <v>0</v>
      </c>
      <c r="Y55" s="219">
        <f t="shared" si="31"/>
        <v>0</v>
      </c>
      <c r="Z55" s="219">
        <f t="shared" si="31"/>
        <v>0</v>
      </c>
      <c r="AA55" s="219">
        <f t="shared" si="19"/>
        <v>0</v>
      </c>
      <c r="AD55" s="219">
        <f t="shared" si="20"/>
        <v>0</v>
      </c>
      <c r="AE55" s="219" t="s">
        <v>307</v>
      </c>
      <c r="AG55" s="275"/>
      <c r="AH55" s="275" t="s">
        <v>308</v>
      </c>
      <c r="AI55" s="275" t="str">
        <f t="shared" si="21"/>
        <v>Perforación Cilindro</v>
      </c>
    </row>
    <row r="56" spans="1:35" s="219" customFormat="1" x14ac:dyDescent="0.25">
      <c r="A56" t="str">
        <f t="shared" si="15"/>
        <v>Corte de espuma continua</v>
      </c>
      <c r="B56" s="219">
        <f t="shared" si="26"/>
        <v>0</v>
      </c>
      <c r="D56" s="219">
        <f t="shared" si="26"/>
        <v>0</v>
      </c>
      <c r="E56" s="219">
        <f t="shared" si="26"/>
        <v>0</v>
      </c>
      <c r="F56" s="219">
        <f t="shared" si="26"/>
        <v>0</v>
      </c>
      <c r="G56" s="219">
        <f t="shared" si="26"/>
        <v>0</v>
      </c>
      <c r="H56" s="219">
        <f t="shared" si="26"/>
        <v>0</v>
      </c>
      <c r="I56" s="219">
        <f t="shared" si="26"/>
        <v>0</v>
      </c>
      <c r="J56" s="219">
        <f t="shared" si="26"/>
        <v>0</v>
      </c>
      <c r="M56" s="219">
        <f t="shared" si="13"/>
        <v>0</v>
      </c>
      <c r="O56" s="219" t="str">
        <f t="shared" si="17"/>
        <v>Corte de espuma continua</v>
      </c>
      <c r="P56" s="219">
        <f t="shared" ref="P56:Z56" si="32">P10*P$28</f>
        <v>0</v>
      </c>
      <c r="Q56" s="219">
        <f t="shared" si="32"/>
        <v>0</v>
      </c>
      <c r="R56" s="219">
        <f t="shared" si="32"/>
        <v>0</v>
      </c>
      <c r="S56" s="219">
        <f t="shared" si="32"/>
        <v>0</v>
      </c>
      <c r="T56" s="219">
        <f t="shared" si="32"/>
        <v>0</v>
      </c>
      <c r="U56" s="219">
        <f t="shared" si="32"/>
        <v>0</v>
      </c>
      <c r="V56" s="219">
        <f t="shared" si="32"/>
        <v>0</v>
      </c>
      <c r="W56" s="219">
        <f t="shared" si="32"/>
        <v>0</v>
      </c>
      <c r="X56" s="219">
        <f t="shared" si="32"/>
        <v>0</v>
      </c>
      <c r="Y56" s="219">
        <f t="shared" si="32"/>
        <v>0</v>
      </c>
      <c r="Z56" s="219">
        <f t="shared" si="32"/>
        <v>0</v>
      </c>
      <c r="AA56" s="219">
        <f t="shared" si="19"/>
        <v>0</v>
      </c>
      <c r="AD56" s="219">
        <f t="shared" si="20"/>
        <v>0</v>
      </c>
      <c r="AE56" s="219" t="s">
        <v>307</v>
      </c>
      <c r="AG56" s="275"/>
      <c r="AH56" s="275" t="s">
        <v>308</v>
      </c>
      <c r="AI56" s="275" t="str">
        <f t="shared" si="21"/>
        <v>Corte de espuma continua</v>
      </c>
    </row>
    <row r="57" spans="1:35" x14ac:dyDescent="0.25">
      <c r="A57" t="str">
        <f t="shared" si="15"/>
        <v>Corte bloque espuma en láminas</v>
      </c>
      <c r="D57">
        <f t="shared" si="26"/>
        <v>175.5</v>
      </c>
      <c r="E57">
        <f t="shared" si="26"/>
        <v>83.391099999999994</v>
      </c>
      <c r="F57">
        <f t="shared" si="26"/>
        <v>74.58</v>
      </c>
      <c r="J57">
        <f t="shared" si="26"/>
        <v>148.60169999999999</v>
      </c>
      <c r="M57">
        <f t="shared" si="13"/>
        <v>482.07279999999997</v>
      </c>
      <c r="O57" t="str">
        <f t="shared" si="17"/>
        <v>Corte bloque espuma en láminas</v>
      </c>
      <c r="P57">
        <f t="shared" ref="P57:Z57" si="33">P11*P$28</f>
        <v>0</v>
      </c>
      <c r="Q57">
        <f t="shared" si="33"/>
        <v>0</v>
      </c>
      <c r="R57">
        <f t="shared" si="33"/>
        <v>81.168750000000003</v>
      </c>
      <c r="S57">
        <f t="shared" si="33"/>
        <v>42.024450000000002</v>
      </c>
      <c r="T57">
        <f t="shared" si="33"/>
        <v>15.146999999999998</v>
      </c>
      <c r="U57" s="219">
        <f t="shared" si="33"/>
        <v>0</v>
      </c>
      <c r="V57">
        <f t="shared" si="33"/>
        <v>0</v>
      </c>
      <c r="W57">
        <f t="shared" si="33"/>
        <v>0</v>
      </c>
      <c r="X57">
        <f t="shared" si="33"/>
        <v>21.750300000000003</v>
      </c>
      <c r="Y57">
        <f t="shared" si="33"/>
        <v>0</v>
      </c>
      <c r="Z57">
        <f t="shared" si="33"/>
        <v>0</v>
      </c>
      <c r="AA57">
        <f t="shared" si="19"/>
        <v>160.09050000000002</v>
      </c>
      <c r="AD57">
        <f t="shared" si="20"/>
        <v>642.16329999999994</v>
      </c>
      <c r="AE57" t="s">
        <v>307</v>
      </c>
      <c r="AG57" s="67">
        <f t="shared" si="28"/>
        <v>10.702721666666665</v>
      </c>
      <c r="AH57" s="67" t="s">
        <v>308</v>
      </c>
      <c r="AI57" s="67" t="str">
        <f t="shared" si="21"/>
        <v>Corte bloque espuma en láminas</v>
      </c>
    </row>
    <row r="58" spans="1:35" s="125" customFormat="1" x14ac:dyDescent="0.25">
      <c r="A58" t="str">
        <f t="shared" si="15"/>
        <v>Corte tapa tela acolchada</v>
      </c>
      <c r="D58" s="125">
        <f t="shared" si="26"/>
        <v>1508.7150000000001</v>
      </c>
      <c r="E58" s="125">
        <f t="shared" si="26"/>
        <v>830.32300000000009</v>
      </c>
      <c r="F58" s="125">
        <f t="shared" si="26"/>
        <v>305.47000000000003</v>
      </c>
      <c r="G58" s="125">
        <f t="shared" si="26"/>
        <v>322.13200000000001</v>
      </c>
      <c r="H58" s="125">
        <f t="shared" si="26"/>
        <v>333.06399999999996</v>
      </c>
      <c r="I58" s="125">
        <f t="shared" si="26"/>
        <v>284.98599999999999</v>
      </c>
      <c r="J58" s="125">
        <f t="shared" si="26"/>
        <v>452.41300000000001</v>
      </c>
      <c r="K58" s="125">
        <f>K$28*K12</f>
        <v>1139.8499999999999</v>
      </c>
      <c r="M58" s="125">
        <f t="shared" si="13"/>
        <v>5176.9530000000004</v>
      </c>
      <c r="O58" s="125" t="str">
        <f t="shared" si="17"/>
        <v>Corte tapa tela acolchada</v>
      </c>
      <c r="P58">
        <f t="shared" ref="P58:Z58" si="34">P12*P$28</f>
        <v>0</v>
      </c>
      <c r="Q58">
        <f t="shared" si="34"/>
        <v>0</v>
      </c>
      <c r="R58">
        <f t="shared" si="34"/>
        <v>289.98449999999997</v>
      </c>
      <c r="S58">
        <f t="shared" si="34"/>
        <v>153.17769999999999</v>
      </c>
      <c r="T58">
        <f t="shared" si="34"/>
        <v>51.986000000000004</v>
      </c>
      <c r="U58" s="219">
        <f t="shared" si="34"/>
        <v>57.744800000000005</v>
      </c>
      <c r="V58">
        <f t="shared" si="34"/>
        <v>64.492400000000004</v>
      </c>
      <c r="W58">
        <f t="shared" si="34"/>
        <v>62.771499999999996</v>
      </c>
      <c r="X58">
        <f t="shared" si="34"/>
        <v>104.48087</v>
      </c>
      <c r="Y58">
        <f t="shared" si="34"/>
        <v>202.04400000000001</v>
      </c>
      <c r="Z58">
        <f t="shared" si="34"/>
        <v>0</v>
      </c>
      <c r="AA58" s="125">
        <f t="shared" si="19"/>
        <v>986.68176999999991</v>
      </c>
      <c r="AD58" s="125">
        <f t="shared" si="20"/>
        <v>6163.6347700000006</v>
      </c>
      <c r="AE58" s="125" t="s">
        <v>307</v>
      </c>
      <c r="AG58" s="350">
        <f t="shared" si="28"/>
        <v>102.72724616666667</v>
      </c>
      <c r="AH58" s="350" t="s">
        <v>308</v>
      </c>
      <c r="AI58" s="67" t="str">
        <f t="shared" si="21"/>
        <v>Corte tapa tela acolchada</v>
      </c>
    </row>
    <row r="59" spans="1:35" x14ac:dyDescent="0.25">
      <c r="A59" t="str">
        <f t="shared" si="15"/>
        <v>Confección colchón (+Cerrado y tapizado(resortados))</v>
      </c>
      <c r="E59">
        <f t="shared" si="26"/>
        <v>12423.449999999999</v>
      </c>
      <c r="F59">
        <f t="shared" si="26"/>
        <v>7624.1</v>
      </c>
      <c r="G59">
        <f t="shared" si="26"/>
        <v>8121.1600000000008</v>
      </c>
      <c r="H59">
        <f t="shared" si="26"/>
        <v>5317.12</v>
      </c>
      <c r="I59">
        <f t="shared" si="26"/>
        <v>4871.6786000000002</v>
      </c>
      <c r="J59">
        <f t="shared" si="26"/>
        <v>7696.26</v>
      </c>
      <c r="M59">
        <f t="shared" si="13"/>
        <v>46053.768600000003</v>
      </c>
      <c r="O59" t="str">
        <f t="shared" si="17"/>
        <v>Confección colchón (+Cerrado y tapizado(resortados))</v>
      </c>
      <c r="P59">
        <f t="shared" ref="P59:Z59" si="35">P13*P$28</f>
        <v>0</v>
      </c>
      <c r="Q59">
        <f t="shared" si="35"/>
        <v>0</v>
      </c>
      <c r="R59">
        <f t="shared" si="35"/>
        <v>0</v>
      </c>
      <c r="S59">
        <f t="shared" si="35"/>
        <v>499.33</v>
      </c>
      <c r="T59">
        <f t="shared" si="35"/>
        <v>271.26000000000005</v>
      </c>
      <c r="U59" s="219">
        <f t="shared" si="35"/>
        <v>268.1456</v>
      </c>
      <c r="V59">
        <f t="shared" si="35"/>
        <v>231.756</v>
      </c>
      <c r="W59">
        <f t="shared" si="35"/>
        <v>217.08430000000001</v>
      </c>
      <c r="X59">
        <f t="shared" si="35"/>
        <v>261.95</v>
      </c>
      <c r="Y59">
        <f t="shared" si="35"/>
        <v>0</v>
      </c>
      <c r="Z59">
        <f t="shared" si="35"/>
        <v>0</v>
      </c>
      <c r="AA59">
        <f t="shared" si="19"/>
        <v>1749.5259000000001</v>
      </c>
      <c r="AD59">
        <f t="shared" si="20"/>
        <v>47803.294500000004</v>
      </c>
      <c r="AE59" t="s">
        <v>307</v>
      </c>
      <c r="AG59" s="67">
        <f t="shared" si="28"/>
        <v>796.72157500000003</v>
      </c>
      <c r="AH59" s="67" t="s">
        <v>308</v>
      </c>
      <c r="AI59" s="67" t="str">
        <f t="shared" si="21"/>
        <v>Confección colchón (+Cerrado y tapizado(resortados))</v>
      </c>
    </row>
    <row r="60" spans="1:35" x14ac:dyDescent="0.25">
      <c r="A60" t="str">
        <f t="shared" si="15"/>
        <v>Triturado-corte manual</v>
      </c>
      <c r="B60">
        <f t="shared" si="26"/>
        <v>1151.78</v>
      </c>
      <c r="E60">
        <f>E$28*E14</f>
        <v>866.80100000000004</v>
      </c>
      <c r="F60">
        <f t="shared" si="26"/>
        <v>318.89</v>
      </c>
      <c r="G60">
        <f t="shared" si="26"/>
        <v>336.28399999999999</v>
      </c>
      <c r="H60">
        <f t="shared" si="26"/>
        <v>359.476</v>
      </c>
      <c r="I60">
        <f t="shared" si="26"/>
        <v>327.58699999999999</v>
      </c>
      <c r="J60">
        <f t="shared" si="26"/>
        <v>489.93099999999998</v>
      </c>
      <c r="M60">
        <f t="shared" si="13"/>
        <v>3850.7490000000003</v>
      </c>
      <c r="O60" t="str">
        <f t="shared" si="17"/>
        <v>Triturado-corte manual</v>
      </c>
      <c r="P60">
        <f t="shared" ref="P60:Z60" si="36">P14*P$28</f>
        <v>58.563250000000004</v>
      </c>
      <c r="Q60">
        <f t="shared" si="36"/>
        <v>0</v>
      </c>
      <c r="R60">
        <f t="shared" si="36"/>
        <v>0</v>
      </c>
      <c r="S60">
        <f t="shared" si="36"/>
        <v>319.33199999999999</v>
      </c>
      <c r="T60">
        <f>T14*T$28</f>
        <v>117.48</v>
      </c>
      <c r="U60" s="219">
        <f t="shared" si="36"/>
        <v>123.88800000000001</v>
      </c>
      <c r="V60">
        <f t="shared" si="36"/>
        <v>132.43200000000002</v>
      </c>
      <c r="W60">
        <f t="shared" si="36"/>
        <v>120.68400000000001</v>
      </c>
      <c r="X60">
        <f t="shared" si="36"/>
        <v>180.49200000000002</v>
      </c>
      <c r="Y60">
        <f t="shared" si="36"/>
        <v>0</v>
      </c>
      <c r="Z60">
        <f t="shared" si="36"/>
        <v>0</v>
      </c>
      <c r="AA60">
        <f>SUM(P60:Z60)</f>
        <v>1052.8712499999999</v>
      </c>
      <c r="AD60">
        <f>AA60+M60</f>
        <v>4903.6202499999999</v>
      </c>
      <c r="AE60" t="s">
        <v>307</v>
      </c>
      <c r="AG60" s="67">
        <f t="shared" si="28"/>
        <v>81.72700416666666</v>
      </c>
      <c r="AH60" s="67" t="s">
        <v>308</v>
      </c>
      <c r="AI60" s="67" t="str">
        <f t="shared" si="21"/>
        <v>Triturado-corte manual</v>
      </c>
    </row>
    <row r="61" spans="1:35" s="125" customFormat="1" x14ac:dyDescent="0.25">
      <c r="A61" t="str">
        <f t="shared" si="15"/>
        <v>Corte tapas de espuma</v>
      </c>
      <c r="B61" s="125">
        <f t="shared" si="26"/>
        <v>1115.7111</v>
      </c>
      <c r="M61" s="125">
        <f t="shared" si="13"/>
        <v>1115.7111</v>
      </c>
      <c r="O61" s="125" t="str">
        <f t="shared" si="17"/>
        <v>Corte tapas de espuma</v>
      </c>
      <c r="P61">
        <f t="shared" ref="P61:Z61" si="37">P15*P$28</f>
        <v>253.00190000000001</v>
      </c>
      <c r="Q61">
        <f t="shared" si="37"/>
        <v>0</v>
      </c>
      <c r="R61">
        <f t="shared" si="37"/>
        <v>0</v>
      </c>
      <c r="S61">
        <f t="shared" si="37"/>
        <v>0</v>
      </c>
      <c r="T61">
        <f t="shared" si="37"/>
        <v>0</v>
      </c>
      <c r="U61" s="219">
        <f t="shared" si="37"/>
        <v>0</v>
      </c>
      <c r="V61">
        <f t="shared" si="37"/>
        <v>0</v>
      </c>
      <c r="W61">
        <f t="shared" si="37"/>
        <v>0</v>
      </c>
      <c r="X61">
        <f t="shared" si="37"/>
        <v>0</v>
      </c>
      <c r="Y61">
        <f t="shared" si="37"/>
        <v>0</v>
      </c>
      <c r="Z61">
        <f t="shared" si="37"/>
        <v>0</v>
      </c>
      <c r="AA61" s="125">
        <f t="shared" si="19"/>
        <v>253.00190000000001</v>
      </c>
      <c r="AD61" s="125">
        <f t="shared" si="20"/>
        <v>1368.713</v>
      </c>
      <c r="AE61" s="125" t="s">
        <v>307</v>
      </c>
      <c r="AG61" s="350">
        <f t="shared" si="28"/>
        <v>22.811883333333334</v>
      </c>
      <c r="AH61" s="350" t="s">
        <v>308</v>
      </c>
      <c r="AI61" s="67" t="str">
        <f t="shared" si="21"/>
        <v>Corte tapas de espuma</v>
      </c>
    </row>
    <row r="62" spans="1:35" x14ac:dyDescent="0.25">
      <c r="A62" t="str">
        <f t="shared" si="15"/>
        <v>Pegar tapas de espuma</v>
      </c>
      <c r="B62">
        <f t="shared" si="26"/>
        <v>343.80200000000002</v>
      </c>
      <c r="M62">
        <f t="shared" si="13"/>
        <v>343.80200000000002</v>
      </c>
      <c r="O62" t="str">
        <f t="shared" si="17"/>
        <v>Pegar tapas de espuma</v>
      </c>
      <c r="P62">
        <f t="shared" ref="P62:Z62" si="38">P16*P$28</f>
        <v>93.679549999999992</v>
      </c>
      <c r="Q62">
        <f t="shared" si="38"/>
        <v>0</v>
      </c>
      <c r="R62">
        <f t="shared" si="38"/>
        <v>0</v>
      </c>
      <c r="S62">
        <f t="shared" si="38"/>
        <v>0</v>
      </c>
      <c r="T62">
        <f t="shared" si="38"/>
        <v>0</v>
      </c>
      <c r="U62" s="219">
        <f t="shared" si="38"/>
        <v>0</v>
      </c>
      <c r="V62">
        <f t="shared" si="38"/>
        <v>0</v>
      </c>
      <c r="W62">
        <f t="shared" si="38"/>
        <v>0</v>
      </c>
      <c r="X62">
        <f t="shared" si="38"/>
        <v>0</v>
      </c>
      <c r="Y62">
        <f t="shared" si="38"/>
        <v>0</v>
      </c>
      <c r="Z62">
        <f t="shared" si="38"/>
        <v>0</v>
      </c>
      <c r="AA62">
        <f t="shared" si="19"/>
        <v>93.679549999999992</v>
      </c>
      <c r="AD62">
        <f t="shared" si="20"/>
        <v>437.48155000000003</v>
      </c>
      <c r="AE62" t="s">
        <v>307</v>
      </c>
      <c r="AG62" s="67">
        <f t="shared" si="28"/>
        <v>7.2913591666666671</v>
      </c>
      <c r="AH62" s="67" t="s">
        <v>308</v>
      </c>
      <c r="AI62" s="67" t="str">
        <f t="shared" si="21"/>
        <v>Pegar tapas de espuma</v>
      </c>
    </row>
    <row r="63" spans="1:35" s="125" customFormat="1" x14ac:dyDescent="0.25">
      <c r="A63" t="str">
        <f t="shared" si="15"/>
        <v>Corte tapa tela sin cremallera/con</v>
      </c>
      <c r="B63" s="125">
        <f t="shared" si="26"/>
        <v>994.8896666666667</v>
      </c>
      <c r="C63" s="125">
        <f t="shared" si="26"/>
        <v>1011.8332</v>
      </c>
      <c r="M63" s="125">
        <f t="shared" si="13"/>
        <v>2006.7228666666667</v>
      </c>
      <c r="O63" s="125" t="str">
        <f t="shared" si="17"/>
        <v>Corte tapa tela sin cremallera/con</v>
      </c>
      <c r="P63">
        <f t="shared" ref="P63:Z63" si="39">P17*P$28</f>
        <v>119.29150000000001</v>
      </c>
      <c r="Q63">
        <f t="shared" si="39"/>
        <v>90.659800000000004</v>
      </c>
      <c r="R63">
        <f t="shared" si="39"/>
        <v>0</v>
      </c>
      <c r="S63">
        <f t="shared" si="39"/>
        <v>0</v>
      </c>
      <c r="T63">
        <f t="shared" si="39"/>
        <v>0</v>
      </c>
      <c r="U63" s="219">
        <f t="shared" si="39"/>
        <v>0</v>
      </c>
      <c r="V63">
        <f t="shared" si="39"/>
        <v>0</v>
      </c>
      <c r="W63">
        <f t="shared" si="39"/>
        <v>0</v>
      </c>
      <c r="X63">
        <f t="shared" si="39"/>
        <v>0</v>
      </c>
      <c r="Y63">
        <f t="shared" si="39"/>
        <v>0</v>
      </c>
      <c r="Z63">
        <f t="shared" si="39"/>
        <v>0</v>
      </c>
      <c r="AA63" s="125">
        <f t="shared" si="19"/>
        <v>209.9513</v>
      </c>
      <c r="AD63" s="125">
        <f t="shared" si="20"/>
        <v>2216.6741666666667</v>
      </c>
      <c r="AE63" s="125" t="s">
        <v>307</v>
      </c>
      <c r="AG63" s="350">
        <f t="shared" si="28"/>
        <v>36.944569444444447</v>
      </c>
      <c r="AH63" s="350" t="s">
        <v>308</v>
      </c>
      <c r="AI63" s="67" t="str">
        <f t="shared" si="21"/>
        <v>Corte tapa tela sin cremallera/con</v>
      </c>
    </row>
    <row r="64" spans="1:35" x14ac:dyDescent="0.25">
      <c r="A64" t="str">
        <f t="shared" si="15"/>
        <v>Rellenado-Pesado</v>
      </c>
      <c r="B64">
        <f t="shared" si="26"/>
        <v>1241.4110000000001</v>
      </c>
      <c r="M64">
        <f t="shared" si="13"/>
        <v>1241.4110000000001</v>
      </c>
      <c r="O64" t="str">
        <f t="shared" si="17"/>
        <v>Rellenado-Pesado</v>
      </c>
      <c r="P64">
        <f t="shared" ref="P64:Z64" si="40">P18*P$28</f>
        <v>10.132200000000001</v>
      </c>
      <c r="Q64">
        <f t="shared" si="40"/>
        <v>0</v>
      </c>
      <c r="R64">
        <f t="shared" si="40"/>
        <v>0</v>
      </c>
      <c r="S64">
        <f t="shared" si="40"/>
        <v>0</v>
      </c>
      <c r="T64">
        <f t="shared" si="40"/>
        <v>0</v>
      </c>
      <c r="U64" s="219">
        <f t="shared" si="40"/>
        <v>0</v>
      </c>
      <c r="V64">
        <f t="shared" si="40"/>
        <v>0</v>
      </c>
      <c r="W64">
        <f t="shared" si="40"/>
        <v>0</v>
      </c>
      <c r="X64">
        <f t="shared" si="40"/>
        <v>0</v>
      </c>
      <c r="Y64">
        <f t="shared" si="40"/>
        <v>0</v>
      </c>
      <c r="Z64">
        <f t="shared" si="40"/>
        <v>0</v>
      </c>
      <c r="AA64">
        <f t="shared" si="19"/>
        <v>10.132200000000001</v>
      </c>
      <c r="AD64">
        <f t="shared" si="20"/>
        <v>1251.5432000000001</v>
      </c>
      <c r="AE64" t="s">
        <v>307</v>
      </c>
      <c r="AG64" s="67">
        <f t="shared" si="28"/>
        <v>20.859053333333335</v>
      </c>
      <c r="AH64" s="67" t="s">
        <v>308</v>
      </c>
      <c r="AI64" s="67" t="str">
        <f t="shared" si="21"/>
        <v>Rellenado-Pesado</v>
      </c>
    </row>
    <row r="65" spans="1:35" x14ac:dyDescent="0.25">
      <c r="A65" t="str">
        <f t="shared" si="15"/>
        <v>Confección funda tela sin cremallera</v>
      </c>
      <c r="B65">
        <f t="shared" si="26"/>
        <v>3927.31</v>
      </c>
      <c r="C65">
        <f t="shared" si="26"/>
        <v>4129.0199999999995</v>
      </c>
      <c r="D65">
        <f t="shared" si="26"/>
        <v>8511.75</v>
      </c>
      <c r="M65">
        <f t="shared" si="13"/>
        <v>16568.080000000002</v>
      </c>
      <c r="O65" t="str">
        <f t="shared" si="17"/>
        <v>Confección funda tela sin cremallera</v>
      </c>
      <c r="P65">
        <f t="shared" ref="P65:Z65" si="41">P19*P$28</f>
        <v>80.689550000000011</v>
      </c>
      <c r="Q65">
        <f t="shared" si="41"/>
        <v>198.12799999999999</v>
      </c>
      <c r="R65">
        <f t="shared" si="41"/>
        <v>300.57300000000004</v>
      </c>
      <c r="S65">
        <f t="shared" si="41"/>
        <v>0</v>
      </c>
      <c r="T65">
        <f t="shared" si="41"/>
        <v>0</v>
      </c>
      <c r="U65" s="219">
        <f t="shared" si="41"/>
        <v>0</v>
      </c>
      <c r="V65">
        <f t="shared" si="41"/>
        <v>0</v>
      </c>
      <c r="W65">
        <f t="shared" si="41"/>
        <v>0</v>
      </c>
      <c r="X65">
        <f t="shared" si="41"/>
        <v>0</v>
      </c>
      <c r="Y65">
        <f t="shared" si="41"/>
        <v>0</v>
      </c>
      <c r="Z65">
        <f t="shared" si="41"/>
        <v>0</v>
      </c>
      <c r="AA65">
        <f t="shared" si="19"/>
        <v>579.39055000000008</v>
      </c>
      <c r="AD65">
        <f t="shared" si="20"/>
        <v>17147.470550000002</v>
      </c>
      <c r="AE65" t="s">
        <v>307</v>
      </c>
      <c r="AG65" s="67">
        <f t="shared" si="28"/>
        <v>285.79117583333334</v>
      </c>
      <c r="AH65" s="67" t="s">
        <v>308</v>
      </c>
      <c r="AI65" s="67" t="str">
        <f t="shared" si="21"/>
        <v>Confección funda tela sin cremallera</v>
      </c>
    </row>
    <row r="66" spans="1:35" x14ac:dyDescent="0.25">
      <c r="A66" t="str">
        <f t="shared" si="15"/>
        <v>Sellado bolsa espuma</v>
      </c>
      <c r="B66">
        <f t="shared" si="26"/>
        <v>151.76650000000001</v>
      </c>
      <c r="M66">
        <f t="shared" si="13"/>
        <v>151.76650000000001</v>
      </c>
      <c r="O66" t="str">
        <f t="shared" si="17"/>
        <v>Sellado bolsa espuma</v>
      </c>
      <c r="P66">
        <f t="shared" ref="P66:Z66" si="42">P20*P$28</f>
        <v>75.883250000000004</v>
      </c>
      <c r="Q66">
        <f t="shared" si="42"/>
        <v>0</v>
      </c>
      <c r="R66">
        <f t="shared" si="42"/>
        <v>0</v>
      </c>
      <c r="S66">
        <f t="shared" si="42"/>
        <v>0</v>
      </c>
      <c r="T66">
        <f t="shared" si="42"/>
        <v>0</v>
      </c>
      <c r="U66" s="219">
        <f t="shared" si="42"/>
        <v>0</v>
      </c>
      <c r="V66">
        <f t="shared" si="42"/>
        <v>0</v>
      </c>
      <c r="W66">
        <f t="shared" si="42"/>
        <v>0</v>
      </c>
      <c r="X66">
        <f t="shared" si="42"/>
        <v>0</v>
      </c>
      <c r="Y66">
        <f t="shared" si="42"/>
        <v>0</v>
      </c>
      <c r="Z66">
        <f t="shared" si="42"/>
        <v>0</v>
      </c>
      <c r="AA66">
        <f t="shared" si="19"/>
        <v>75.883250000000004</v>
      </c>
      <c r="AD66">
        <f t="shared" si="20"/>
        <v>227.64975000000001</v>
      </c>
      <c r="AE66" t="s">
        <v>307</v>
      </c>
      <c r="AG66" s="67">
        <f t="shared" si="28"/>
        <v>3.7941625000000001</v>
      </c>
      <c r="AH66" s="67" t="s">
        <v>308</v>
      </c>
      <c r="AI66" s="67" t="str">
        <f t="shared" si="21"/>
        <v>Sellado bolsa espuma</v>
      </c>
    </row>
    <row r="67" spans="1:35" x14ac:dyDescent="0.25">
      <c r="A67" t="str">
        <f t="shared" si="15"/>
        <v>Enfundado</v>
      </c>
      <c r="B67">
        <f t="shared" si="26"/>
        <v>234.03649999999999</v>
      </c>
      <c r="C67">
        <f t="shared" si="26"/>
        <v>226.345</v>
      </c>
      <c r="D67">
        <f t="shared" si="26"/>
        <v>452.38049999999998</v>
      </c>
      <c r="M67">
        <f t="shared" si="13"/>
        <v>912.76199999999994</v>
      </c>
      <c r="O67" t="str">
        <f t="shared" si="17"/>
        <v>Enfundado</v>
      </c>
      <c r="P67">
        <f t="shared" ref="P67:Z67" si="43">P21*P$28</f>
        <v>50.516666666666666</v>
      </c>
      <c r="Q67">
        <f t="shared" si="43"/>
        <v>60.9</v>
      </c>
      <c r="R67">
        <f t="shared" si="43"/>
        <v>84.415500000000009</v>
      </c>
      <c r="S67">
        <f t="shared" si="43"/>
        <v>0</v>
      </c>
      <c r="T67">
        <f t="shared" si="43"/>
        <v>0</v>
      </c>
      <c r="U67" s="219">
        <f t="shared" si="43"/>
        <v>0</v>
      </c>
      <c r="V67">
        <f t="shared" si="43"/>
        <v>0</v>
      </c>
      <c r="W67">
        <f t="shared" si="43"/>
        <v>0</v>
      </c>
      <c r="X67">
        <f t="shared" si="43"/>
        <v>0</v>
      </c>
      <c r="Y67">
        <f t="shared" si="43"/>
        <v>0</v>
      </c>
      <c r="Z67">
        <f t="shared" si="43"/>
        <v>0</v>
      </c>
      <c r="AA67">
        <f t="shared" si="19"/>
        <v>195.83216666666667</v>
      </c>
      <c r="AD67">
        <f t="shared" si="20"/>
        <v>1108.5941666666665</v>
      </c>
      <c r="AE67" t="s">
        <v>307</v>
      </c>
      <c r="AG67" s="67">
        <f t="shared" si="28"/>
        <v>18.476569444444443</v>
      </c>
      <c r="AH67" s="67" t="s">
        <v>308</v>
      </c>
      <c r="AI67" s="67" t="str">
        <f t="shared" si="21"/>
        <v>Enfundado</v>
      </c>
    </row>
    <row r="68" spans="1:35" s="219" customFormat="1" x14ac:dyDescent="0.25">
      <c r="A68"/>
      <c r="B68" s="219">
        <f t="shared" si="26"/>
        <v>0</v>
      </c>
      <c r="C68" s="219">
        <f t="shared" si="26"/>
        <v>0</v>
      </c>
      <c r="D68" s="219">
        <f t="shared" si="26"/>
        <v>0</v>
      </c>
      <c r="E68" s="219">
        <f t="shared" si="26"/>
        <v>0</v>
      </c>
      <c r="F68" s="219">
        <f t="shared" si="26"/>
        <v>0</v>
      </c>
      <c r="G68" s="219">
        <f t="shared" si="26"/>
        <v>0</v>
      </c>
      <c r="H68" s="219">
        <f t="shared" si="26"/>
        <v>0</v>
      </c>
      <c r="I68" s="219">
        <f t="shared" si="26"/>
        <v>0</v>
      </c>
      <c r="J68" s="219">
        <f t="shared" si="26"/>
        <v>0</v>
      </c>
      <c r="K68" s="219">
        <f t="shared" si="26"/>
        <v>0</v>
      </c>
      <c r="L68" s="219">
        <f t="shared" si="26"/>
        <v>0</v>
      </c>
      <c r="M68" s="219">
        <f t="shared" si="13"/>
        <v>0</v>
      </c>
      <c r="O68" s="219">
        <f t="shared" si="17"/>
        <v>60</v>
      </c>
      <c r="P68" s="219">
        <f t="shared" ref="P68:Z68" si="44">P22*P$28</f>
        <v>0</v>
      </c>
      <c r="Q68" s="219">
        <f t="shared" si="44"/>
        <v>0</v>
      </c>
      <c r="R68" s="219">
        <f t="shared" si="44"/>
        <v>0</v>
      </c>
      <c r="S68" s="219">
        <f t="shared" si="44"/>
        <v>0</v>
      </c>
      <c r="T68" s="219">
        <f t="shared" si="44"/>
        <v>0</v>
      </c>
      <c r="U68" s="219">
        <f t="shared" si="44"/>
        <v>0</v>
      </c>
      <c r="V68" s="219">
        <f t="shared" si="44"/>
        <v>0</v>
      </c>
      <c r="W68" s="219">
        <f t="shared" si="44"/>
        <v>0</v>
      </c>
      <c r="X68" s="219">
        <f t="shared" si="44"/>
        <v>0</v>
      </c>
      <c r="Y68" s="219">
        <f t="shared" si="44"/>
        <v>0</v>
      </c>
      <c r="Z68" s="219">
        <f t="shared" si="44"/>
        <v>0</v>
      </c>
      <c r="AA68" s="219">
        <f t="shared" si="19"/>
        <v>0</v>
      </c>
      <c r="AD68" s="219">
        <f t="shared" si="20"/>
        <v>0</v>
      </c>
      <c r="AE68" s="219" t="s">
        <v>307</v>
      </c>
      <c r="AG68" s="275"/>
      <c r="AH68" s="275" t="s">
        <v>308</v>
      </c>
      <c r="AI68" s="275"/>
    </row>
    <row r="69" spans="1:35" s="219" customFormat="1" x14ac:dyDescent="0.25">
      <c r="A69"/>
      <c r="B69" s="219">
        <f t="shared" si="26"/>
        <v>0</v>
      </c>
      <c r="C69" s="219">
        <f t="shared" si="26"/>
        <v>0</v>
      </c>
      <c r="D69" s="219">
        <f t="shared" si="26"/>
        <v>0</v>
      </c>
      <c r="E69" s="219">
        <f t="shared" si="26"/>
        <v>0</v>
      </c>
      <c r="F69" s="219">
        <f t="shared" si="26"/>
        <v>0</v>
      </c>
      <c r="H69" s="219">
        <f t="shared" si="26"/>
        <v>0</v>
      </c>
      <c r="I69" s="219">
        <f t="shared" si="26"/>
        <v>0</v>
      </c>
      <c r="J69" s="219">
        <f t="shared" si="26"/>
        <v>0</v>
      </c>
      <c r="K69" s="219">
        <f t="shared" si="26"/>
        <v>0</v>
      </c>
      <c r="L69" s="219">
        <f t="shared" si="26"/>
        <v>0</v>
      </c>
      <c r="M69" s="219">
        <f t="shared" si="13"/>
        <v>0</v>
      </c>
      <c r="O69" s="219">
        <f t="shared" si="17"/>
        <v>0</v>
      </c>
      <c r="P69" s="219">
        <f t="shared" ref="P69:Z69" si="45">P23*P$28</f>
        <v>0</v>
      </c>
      <c r="Q69" s="219">
        <f t="shared" si="45"/>
        <v>0</v>
      </c>
      <c r="R69" s="219">
        <f t="shared" si="45"/>
        <v>0</v>
      </c>
      <c r="S69" s="219">
        <f t="shared" si="45"/>
        <v>0</v>
      </c>
      <c r="T69" s="219">
        <f t="shared" si="45"/>
        <v>0</v>
      </c>
      <c r="U69" s="219">
        <f t="shared" si="45"/>
        <v>0</v>
      </c>
      <c r="V69" s="219">
        <f t="shared" si="45"/>
        <v>0</v>
      </c>
      <c r="W69" s="219">
        <f t="shared" si="45"/>
        <v>0</v>
      </c>
      <c r="X69" s="219">
        <f t="shared" si="45"/>
        <v>0</v>
      </c>
      <c r="Y69" s="219">
        <f t="shared" si="45"/>
        <v>0</v>
      </c>
      <c r="Z69" s="219">
        <f t="shared" si="45"/>
        <v>0</v>
      </c>
      <c r="AA69" s="219">
        <f t="shared" si="19"/>
        <v>0</v>
      </c>
      <c r="AD69" s="219">
        <f t="shared" si="20"/>
        <v>0</v>
      </c>
      <c r="AE69" s="219" t="s">
        <v>307</v>
      </c>
      <c r="AG69" s="275"/>
      <c r="AH69" s="275" t="s">
        <v>308</v>
      </c>
      <c r="AI69" s="275"/>
    </row>
    <row r="70" spans="1:35" x14ac:dyDescent="0.25">
      <c r="A70" t="str">
        <f t="shared" si="15"/>
        <v>Corte madera</v>
      </c>
      <c r="L70">
        <f t="shared" si="26"/>
        <v>1547.1000000000001</v>
      </c>
      <c r="M70">
        <f t="shared" si="13"/>
        <v>1547.1000000000001</v>
      </c>
      <c r="O70" t="str">
        <f t="shared" si="17"/>
        <v>Corte madera</v>
      </c>
      <c r="P70">
        <f t="shared" ref="P70:Y70" si="46">P24*P$28</f>
        <v>0</v>
      </c>
      <c r="Q70">
        <f t="shared" si="46"/>
        <v>0</v>
      </c>
      <c r="R70">
        <f t="shared" si="46"/>
        <v>0</v>
      </c>
      <c r="S70">
        <f t="shared" si="46"/>
        <v>0</v>
      </c>
      <c r="T70">
        <f t="shared" si="46"/>
        <v>0</v>
      </c>
      <c r="U70" s="219">
        <f t="shared" si="46"/>
        <v>0</v>
      </c>
      <c r="V70">
        <f t="shared" si="46"/>
        <v>0</v>
      </c>
      <c r="W70">
        <f t="shared" si="46"/>
        <v>0</v>
      </c>
      <c r="X70">
        <f t="shared" si="46"/>
        <v>0</v>
      </c>
      <c r="Y70">
        <f t="shared" si="46"/>
        <v>0</v>
      </c>
      <c r="Z70">
        <f>Z24*Z$28</f>
        <v>613.33199999999999</v>
      </c>
      <c r="AA70">
        <f t="shared" si="19"/>
        <v>613.33199999999999</v>
      </c>
      <c r="AD70">
        <f t="shared" si="20"/>
        <v>2160.4320000000002</v>
      </c>
      <c r="AE70" t="s">
        <v>307</v>
      </c>
      <c r="AG70" s="67">
        <f t="shared" si="28"/>
        <v>36.007200000000005</v>
      </c>
      <c r="AH70" s="67" t="s">
        <v>308</v>
      </c>
      <c r="AI70" s="67" t="str">
        <f t="shared" si="21"/>
        <v>Corte madera</v>
      </c>
    </row>
    <row r="71" spans="1:35" x14ac:dyDescent="0.25">
      <c r="A71" t="str">
        <f t="shared" si="15"/>
        <v>Lijado</v>
      </c>
      <c r="L71">
        <f t="shared" si="26"/>
        <v>2553.12</v>
      </c>
      <c r="M71">
        <f t="shared" si="13"/>
        <v>2553.12</v>
      </c>
      <c r="O71" t="str">
        <f t="shared" si="17"/>
        <v>Lijado</v>
      </c>
      <c r="P71">
        <f t="shared" ref="P71:Z71" si="47">P25*P$28</f>
        <v>0</v>
      </c>
      <c r="Q71">
        <f t="shared" si="47"/>
        <v>0</v>
      </c>
      <c r="R71">
        <f t="shared" si="47"/>
        <v>0</v>
      </c>
      <c r="S71">
        <f t="shared" si="47"/>
        <v>0</v>
      </c>
      <c r="T71">
        <f t="shared" si="47"/>
        <v>0</v>
      </c>
      <c r="U71" s="219">
        <f t="shared" si="47"/>
        <v>0</v>
      </c>
      <c r="V71">
        <f t="shared" si="47"/>
        <v>0</v>
      </c>
      <c r="W71">
        <f t="shared" si="47"/>
        <v>0</v>
      </c>
      <c r="X71">
        <f t="shared" si="47"/>
        <v>0</v>
      </c>
      <c r="Y71">
        <f t="shared" si="47"/>
        <v>0</v>
      </c>
      <c r="Z71">
        <f t="shared" si="47"/>
        <v>52.002000000000002</v>
      </c>
      <c r="AA71">
        <f t="shared" si="19"/>
        <v>52.002000000000002</v>
      </c>
      <c r="AD71">
        <f t="shared" si="20"/>
        <v>2605.1219999999998</v>
      </c>
      <c r="AE71" t="s">
        <v>307</v>
      </c>
      <c r="AG71" s="67">
        <f t="shared" si="28"/>
        <v>43.418699999999994</v>
      </c>
      <c r="AH71" s="67" t="s">
        <v>308</v>
      </c>
      <c r="AI71" s="67" t="str">
        <f t="shared" si="21"/>
        <v>Lijado</v>
      </c>
    </row>
    <row r="72" spans="1:35" x14ac:dyDescent="0.25">
      <c r="A72" t="str">
        <f t="shared" si="15"/>
        <v>Barnizado</v>
      </c>
      <c r="L72">
        <f t="shared" si="26"/>
        <v>1112.94</v>
      </c>
      <c r="M72">
        <f t="shared" si="13"/>
        <v>1112.94</v>
      </c>
      <c r="O72" t="str">
        <f t="shared" si="17"/>
        <v>Barnizado</v>
      </c>
      <c r="P72">
        <f t="shared" ref="P72:Z72" si="48">P26*P$28</f>
        <v>0</v>
      </c>
      <c r="Q72">
        <f t="shared" si="48"/>
        <v>0</v>
      </c>
      <c r="R72">
        <f t="shared" si="48"/>
        <v>0</v>
      </c>
      <c r="S72">
        <f t="shared" si="48"/>
        <v>0</v>
      </c>
      <c r="T72">
        <f t="shared" si="48"/>
        <v>0</v>
      </c>
      <c r="U72" s="219">
        <f t="shared" si="48"/>
        <v>0</v>
      </c>
      <c r="V72">
        <f t="shared" si="48"/>
        <v>0</v>
      </c>
      <c r="W72">
        <f t="shared" si="48"/>
        <v>0</v>
      </c>
      <c r="X72">
        <f t="shared" si="48"/>
        <v>0</v>
      </c>
      <c r="Y72">
        <f t="shared" si="48"/>
        <v>0</v>
      </c>
      <c r="Z72">
        <f t="shared" si="48"/>
        <v>196.34399999999999</v>
      </c>
      <c r="AA72">
        <f t="shared" si="19"/>
        <v>196.34399999999999</v>
      </c>
      <c r="AD72">
        <f t="shared" si="20"/>
        <v>1309.2840000000001</v>
      </c>
      <c r="AE72" t="s">
        <v>307</v>
      </c>
      <c r="AG72" s="67">
        <f t="shared" si="28"/>
        <v>21.821400000000001</v>
      </c>
      <c r="AH72" s="67" t="s">
        <v>308</v>
      </c>
      <c r="AI72" s="67" t="str">
        <f t="shared" si="21"/>
        <v>Barnizado</v>
      </c>
    </row>
    <row r="73" spans="1:35" x14ac:dyDescent="0.25">
      <c r="A73" t="str">
        <f t="shared" si="15"/>
        <v>Ensamble base cama</v>
      </c>
      <c r="L73">
        <f t="shared" si="26"/>
        <v>9344.16</v>
      </c>
      <c r="M73">
        <f t="shared" si="13"/>
        <v>9344.16</v>
      </c>
      <c r="O73" t="str">
        <f t="shared" si="17"/>
        <v>Ensamble base cama</v>
      </c>
      <c r="P73">
        <f t="shared" ref="P73:Y73" si="49">P27*P$28</f>
        <v>0</v>
      </c>
      <c r="Q73">
        <f t="shared" si="49"/>
        <v>0</v>
      </c>
      <c r="R73">
        <f t="shared" si="49"/>
        <v>0</v>
      </c>
      <c r="S73">
        <f t="shared" si="49"/>
        <v>0</v>
      </c>
      <c r="T73">
        <f t="shared" si="49"/>
        <v>0</v>
      </c>
      <c r="U73" s="219">
        <f t="shared" si="49"/>
        <v>0</v>
      </c>
      <c r="V73">
        <f t="shared" si="49"/>
        <v>0</v>
      </c>
      <c r="W73">
        <f t="shared" si="49"/>
        <v>0</v>
      </c>
      <c r="X73">
        <f t="shared" si="49"/>
        <v>0</v>
      </c>
      <c r="Y73">
        <f t="shared" si="49"/>
        <v>0</v>
      </c>
      <c r="Z73">
        <f>Z27*Z$28</f>
        <v>347.65199999999999</v>
      </c>
      <c r="AA73">
        <f t="shared" si="19"/>
        <v>347.65199999999999</v>
      </c>
      <c r="AD73">
        <f t="shared" si="20"/>
        <v>9691.8119999999999</v>
      </c>
      <c r="AE73" t="s">
        <v>307</v>
      </c>
      <c r="AG73" s="67">
        <f t="shared" si="28"/>
        <v>161.53020000000001</v>
      </c>
      <c r="AH73" s="67" t="s">
        <v>308</v>
      </c>
      <c r="AI73" s="67" t="str">
        <f t="shared" si="21"/>
        <v>Ensamble base cama</v>
      </c>
    </row>
    <row r="74" spans="1:35" s="107" customFormat="1" x14ac:dyDescent="0.25">
      <c r="A74" t="str">
        <f t="shared" si="15"/>
        <v>nj</v>
      </c>
      <c r="B74" s="107">
        <f t="shared" si="26"/>
        <v>187489</v>
      </c>
      <c r="C74" s="107">
        <f t="shared" ref="C74:L77" si="50">C$28*C28</f>
        <v>164836</v>
      </c>
      <c r="D74" s="107">
        <f t="shared" si="50"/>
        <v>342225</v>
      </c>
      <c r="E74" s="107">
        <f t="shared" si="50"/>
        <v>89401</v>
      </c>
      <c r="F74" s="107">
        <f t="shared" si="50"/>
        <v>12100</v>
      </c>
      <c r="G74" s="107">
        <f t="shared" si="50"/>
        <v>13456</v>
      </c>
      <c r="H74" s="107">
        <f t="shared" si="50"/>
        <v>15376</v>
      </c>
      <c r="I74" s="107">
        <f t="shared" si="50"/>
        <v>12769</v>
      </c>
      <c r="J74" s="107">
        <f t="shared" si="50"/>
        <v>28561</v>
      </c>
      <c r="K74" s="107">
        <f>K$28*K28</f>
        <v>199809</v>
      </c>
      <c r="L74" s="107">
        <f t="shared" si="50"/>
        <v>26244</v>
      </c>
      <c r="M74" s="107">
        <f t="shared" si="13"/>
        <v>1092266</v>
      </c>
      <c r="O74" s="107" t="str">
        <f t="shared" si="17"/>
        <v>Lj</v>
      </c>
      <c r="P74" s="107">
        <f t="shared" ref="P74:Z77" si="51">P28</f>
        <v>433</v>
      </c>
      <c r="Q74" s="107">
        <f t="shared" si="51"/>
        <v>406</v>
      </c>
      <c r="R74" s="107">
        <f t="shared" si="51"/>
        <v>585</v>
      </c>
      <c r="S74" s="107">
        <f t="shared" si="51"/>
        <v>299</v>
      </c>
      <c r="T74" s="107">
        <f t="shared" si="51"/>
        <v>110</v>
      </c>
      <c r="U74" s="107">
        <f t="shared" si="51"/>
        <v>116</v>
      </c>
      <c r="V74" s="107">
        <f t="shared" si="51"/>
        <v>124</v>
      </c>
      <c r="W74" s="107">
        <f t="shared" si="51"/>
        <v>113</v>
      </c>
      <c r="X74" s="107">
        <f t="shared" si="51"/>
        <v>169</v>
      </c>
      <c r="Y74" s="107">
        <f t="shared" si="51"/>
        <v>447</v>
      </c>
      <c r="Z74" s="107">
        <f t="shared" si="51"/>
        <v>162</v>
      </c>
      <c r="AA74" s="107">
        <f t="shared" si="19"/>
        <v>2964</v>
      </c>
      <c r="AD74" s="107">
        <f t="shared" si="20"/>
        <v>1095230</v>
      </c>
      <c r="AE74" s="107" t="s">
        <v>307</v>
      </c>
      <c r="AG74" s="352"/>
      <c r="AH74" s="352" t="s">
        <v>308</v>
      </c>
      <c r="AI74" s="275"/>
    </row>
    <row r="75" spans="1:35" s="219" customFormat="1" x14ac:dyDescent="0.25">
      <c r="A75"/>
      <c r="B75" s="219">
        <f t="shared" si="26"/>
        <v>0</v>
      </c>
      <c r="C75" s="219">
        <f t="shared" si="50"/>
        <v>0</v>
      </c>
      <c r="D75" s="219">
        <f t="shared" si="50"/>
        <v>0</v>
      </c>
      <c r="E75" s="219">
        <f t="shared" si="50"/>
        <v>0</v>
      </c>
      <c r="F75" s="219">
        <f t="shared" si="50"/>
        <v>0</v>
      </c>
      <c r="G75" s="219">
        <f t="shared" si="50"/>
        <v>0</v>
      </c>
      <c r="H75" s="219">
        <f t="shared" si="50"/>
        <v>0</v>
      </c>
      <c r="I75" s="219">
        <f t="shared" si="50"/>
        <v>0</v>
      </c>
      <c r="J75" s="219">
        <f t="shared" si="50"/>
        <v>0</v>
      </c>
      <c r="K75" s="219">
        <f t="shared" si="50"/>
        <v>0</v>
      </c>
      <c r="L75" s="219">
        <f t="shared" si="50"/>
        <v>0</v>
      </c>
      <c r="M75" s="219">
        <f t="shared" si="13"/>
        <v>0</v>
      </c>
      <c r="O75" s="219">
        <f t="shared" si="17"/>
        <v>0</v>
      </c>
      <c r="P75" s="219">
        <f t="shared" si="51"/>
        <v>0</v>
      </c>
      <c r="Q75" s="219">
        <f t="shared" si="51"/>
        <v>0</v>
      </c>
      <c r="R75" s="219">
        <f t="shared" si="51"/>
        <v>0</v>
      </c>
      <c r="S75" s="219">
        <f t="shared" si="51"/>
        <v>0</v>
      </c>
      <c r="T75" s="219">
        <f t="shared" si="51"/>
        <v>0</v>
      </c>
      <c r="U75" s="219">
        <f t="shared" si="51"/>
        <v>0</v>
      </c>
      <c r="V75" s="219">
        <f t="shared" si="51"/>
        <v>0</v>
      </c>
      <c r="W75" s="219">
        <f t="shared" si="51"/>
        <v>0</v>
      </c>
      <c r="X75" s="219">
        <f t="shared" si="51"/>
        <v>0</v>
      </c>
      <c r="Y75" s="219">
        <f t="shared" si="51"/>
        <v>0</v>
      </c>
      <c r="Z75" s="219">
        <f t="shared" si="51"/>
        <v>0</v>
      </c>
      <c r="AA75" s="219">
        <f t="shared" si="19"/>
        <v>0</v>
      </c>
      <c r="AD75" s="219">
        <f t="shared" si="20"/>
        <v>0</v>
      </c>
      <c r="AE75" s="219" t="s">
        <v>307</v>
      </c>
      <c r="AG75" s="275"/>
      <c r="AH75" s="275" t="s">
        <v>308</v>
      </c>
      <c r="AI75" s="275"/>
    </row>
    <row r="76" spans="1:35" s="219" customFormat="1" x14ac:dyDescent="0.25">
      <c r="A76"/>
      <c r="B76" s="219">
        <f t="shared" si="26"/>
        <v>0</v>
      </c>
      <c r="C76" s="219">
        <f t="shared" si="50"/>
        <v>0</v>
      </c>
      <c r="D76" s="219">
        <f t="shared" si="50"/>
        <v>0</v>
      </c>
      <c r="E76" s="219">
        <f t="shared" si="50"/>
        <v>0</v>
      </c>
      <c r="F76" s="219">
        <f t="shared" si="50"/>
        <v>0</v>
      </c>
      <c r="G76" s="219">
        <f t="shared" si="50"/>
        <v>0</v>
      </c>
      <c r="H76" s="219">
        <f t="shared" si="50"/>
        <v>0</v>
      </c>
      <c r="I76" s="219">
        <f t="shared" si="50"/>
        <v>0</v>
      </c>
      <c r="J76" s="219">
        <f t="shared" si="50"/>
        <v>0</v>
      </c>
      <c r="K76" s="219">
        <f t="shared" si="50"/>
        <v>0</v>
      </c>
      <c r="L76" s="219">
        <f t="shared" si="50"/>
        <v>0</v>
      </c>
      <c r="M76" s="219">
        <f t="shared" si="13"/>
        <v>0</v>
      </c>
      <c r="O76" s="219">
        <f t="shared" si="17"/>
        <v>0</v>
      </c>
      <c r="P76" s="219">
        <f t="shared" si="51"/>
        <v>0</v>
      </c>
      <c r="Q76" s="219">
        <f t="shared" si="51"/>
        <v>0</v>
      </c>
      <c r="R76" s="219">
        <f t="shared" si="51"/>
        <v>0</v>
      </c>
      <c r="S76" s="219">
        <f t="shared" si="51"/>
        <v>0</v>
      </c>
      <c r="T76" s="219">
        <f t="shared" si="51"/>
        <v>0</v>
      </c>
      <c r="U76" s="219">
        <f t="shared" si="51"/>
        <v>0</v>
      </c>
      <c r="V76" s="219">
        <f t="shared" si="51"/>
        <v>0</v>
      </c>
      <c r="W76" s="219">
        <f t="shared" si="51"/>
        <v>0</v>
      </c>
      <c r="X76" s="219">
        <f t="shared" si="51"/>
        <v>0</v>
      </c>
      <c r="Y76" s="219">
        <f t="shared" si="51"/>
        <v>0</v>
      </c>
      <c r="Z76" s="219">
        <f t="shared" si="51"/>
        <v>0</v>
      </c>
      <c r="AA76" s="219">
        <f t="shared" si="19"/>
        <v>0</v>
      </c>
      <c r="AD76" s="219">
        <f t="shared" si="20"/>
        <v>0</v>
      </c>
      <c r="AE76" s="219" t="s">
        <v>307</v>
      </c>
      <c r="AG76" s="275"/>
      <c r="AH76" s="275" t="s">
        <v>308</v>
      </c>
      <c r="AI76" s="275"/>
    </row>
    <row r="77" spans="1:35" s="219" customFormat="1" x14ac:dyDescent="0.25">
      <c r="A77"/>
      <c r="B77" s="219" t="s">
        <v>300</v>
      </c>
      <c r="C77" s="219" t="s">
        <v>305</v>
      </c>
      <c r="D77" s="219">
        <f t="shared" si="50"/>
        <v>0</v>
      </c>
      <c r="E77" s="219">
        <f t="shared" si="50"/>
        <v>0</v>
      </c>
      <c r="F77" s="219">
        <f t="shared" si="50"/>
        <v>0</v>
      </c>
      <c r="G77" s="219">
        <f t="shared" si="50"/>
        <v>0</v>
      </c>
      <c r="H77" s="219">
        <f t="shared" si="50"/>
        <v>0</v>
      </c>
      <c r="I77" s="219">
        <f t="shared" si="50"/>
        <v>0</v>
      </c>
      <c r="J77" s="219">
        <f t="shared" si="50"/>
        <v>0</v>
      </c>
      <c r="K77" s="219">
        <f t="shared" si="50"/>
        <v>0</v>
      </c>
      <c r="L77" s="219">
        <f t="shared" si="50"/>
        <v>0</v>
      </c>
      <c r="M77" s="219">
        <f t="shared" si="13"/>
        <v>0</v>
      </c>
      <c r="O77" s="219">
        <f t="shared" si="17"/>
        <v>0</v>
      </c>
      <c r="P77" s="219" t="str">
        <f t="shared" si="51"/>
        <v>Bloques</v>
      </c>
      <c r="Q77" s="219" t="str">
        <f t="shared" si="51"/>
        <v>Cilindro</v>
      </c>
      <c r="R77" s="219">
        <f t="shared" si="51"/>
        <v>0</v>
      </c>
      <c r="S77" s="219">
        <f t="shared" si="51"/>
        <v>0</v>
      </c>
      <c r="T77" s="219">
        <f t="shared" si="51"/>
        <v>0</v>
      </c>
      <c r="U77" s="219">
        <f t="shared" si="51"/>
        <v>0</v>
      </c>
      <c r="V77" s="219">
        <f t="shared" si="51"/>
        <v>0</v>
      </c>
      <c r="W77" s="219">
        <f t="shared" si="51"/>
        <v>0</v>
      </c>
      <c r="X77" s="219">
        <f t="shared" si="51"/>
        <v>0</v>
      </c>
      <c r="Y77" s="219">
        <f t="shared" si="51"/>
        <v>0</v>
      </c>
      <c r="Z77" s="219">
        <f t="shared" si="51"/>
        <v>0</v>
      </c>
      <c r="AA77" s="219">
        <f t="shared" si="19"/>
        <v>0</v>
      </c>
      <c r="AD77" s="219">
        <f t="shared" si="20"/>
        <v>0</v>
      </c>
      <c r="AE77" s="219" t="s">
        <v>307</v>
      </c>
      <c r="AG77" s="275"/>
      <c r="AH77" s="275" t="s">
        <v>308</v>
      </c>
      <c r="AI77" s="275">
        <f t="shared" si="21"/>
        <v>0</v>
      </c>
    </row>
    <row r="78" spans="1:35" x14ac:dyDescent="0.25">
      <c r="A78" t="str">
        <f t="shared" si="15"/>
        <v>Pesado de MP</v>
      </c>
      <c r="B78">
        <f>B$39*B32</f>
        <v>111.24100000000001</v>
      </c>
      <c r="C78">
        <f>C$39*C32</f>
        <v>17.395</v>
      </c>
      <c r="D78">
        <f t="shared" ref="D78:L78" si="52">D$39*D32</f>
        <v>0</v>
      </c>
      <c r="E78">
        <f t="shared" si="52"/>
        <v>0</v>
      </c>
      <c r="F78">
        <f t="shared" si="52"/>
        <v>0</v>
      </c>
      <c r="G78">
        <f t="shared" si="52"/>
        <v>0</v>
      </c>
      <c r="H78">
        <f>H$39*H32</f>
        <v>0</v>
      </c>
      <c r="I78">
        <f t="shared" si="52"/>
        <v>0</v>
      </c>
      <c r="J78">
        <f t="shared" si="52"/>
        <v>0</v>
      </c>
      <c r="K78">
        <f t="shared" si="52"/>
        <v>0</v>
      </c>
      <c r="L78">
        <f t="shared" si="52"/>
        <v>0</v>
      </c>
      <c r="M78">
        <f t="shared" si="13"/>
        <v>128.63600000000002</v>
      </c>
      <c r="O78" t="str">
        <f t="shared" si="17"/>
        <v>Pesado de MP</v>
      </c>
      <c r="P78">
        <f>P32*P$39</f>
        <v>158.541</v>
      </c>
      <c r="Q78">
        <f>Q32*Q$39</f>
        <v>18.39</v>
      </c>
      <c r="R78">
        <f t="shared" ref="R78:Z78" si="53">R32*R$39</f>
        <v>0</v>
      </c>
      <c r="S78">
        <f t="shared" si="53"/>
        <v>0</v>
      </c>
      <c r="T78">
        <f t="shared" si="53"/>
        <v>0</v>
      </c>
      <c r="U78" s="219">
        <f t="shared" si="53"/>
        <v>0</v>
      </c>
      <c r="V78">
        <f t="shared" si="53"/>
        <v>0</v>
      </c>
      <c r="W78">
        <f t="shared" si="53"/>
        <v>0</v>
      </c>
      <c r="X78">
        <f t="shared" si="53"/>
        <v>0</v>
      </c>
      <c r="Y78">
        <f t="shared" si="53"/>
        <v>0</v>
      </c>
      <c r="Z78">
        <f t="shared" si="53"/>
        <v>0</v>
      </c>
      <c r="AA78">
        <f t="shared" si="19"/>
        <v>176.93099999999998</v>
      </c>
      <c r="AD78">
        <f t="shared" si="20"/>
        <v>305.56700000000001</v>
      </c>
      <c r="AE78" t="s">
        <v>307</v>
      </c>
      <c r="AG78" s="67">
        <f t="shared" si="28"/>
        <v>5.0927833333333332</v>
      </c>
      <c r="AH78" s="67" t="s">
        <v>308</v>
      </c>
      <c r="AI78" s="67" t="str">
        <f t="shared" si="21"/>
        <v>Pesado de MP</v>
      </c>
    </row>
    <row r="79" spans="1:35" x14ac:dyDescent="0.25">
      <c r="A79" t="str">
        <f t="shared" si="15"/>
        <v>Pre-mezclado</v>
      </c>
      <c r="B79">
        <f t="shared" ref="B79:L79" si="54">B$39*B33</f>
        <v>5.0955000000000004</v>
      </c>
      <c r="C79">
        <f t="shared" si="54"/>
        <v>0.59250000000000003</v>
      </c>
      <c r="D79">
        <f t="shared" si="54"/>
        <v>0</v>
      </c>
      <c r="E79">
        <f t="shared" si="54"/>
        <v>0</v>
      </c>
      <c r="F79">
        <f t="shared" si="54"/>
        <v>0</v>
      </c>
      <c r="G79">
        <f t="shared" si="54"/>
        <v>0</v>
      </c>
      <c r="H79">
        <f t="shared" si="54"/>
        <v>0</v>
      </c>
      <c r="I79">
        <f t="shared" si="54"/>
        <v>0</v>
      </c>
      <c r="J79">
        <f t="shared" si="54"/>
        <v>0</v>
      </c>
      <c r="K79">
        <f t="shared" si="54"/>
        <v>0</v>
      </c>
      <c r="L79">
        <f t="shared" si="54"/>
        <v>0</v>
      </c>
      <c r="M79">
        <f t="shared" si="13"/>
        <v>5.6880000000000006</v>
      </c>
      <c r="O79" t="str">
        <f t="shared" si="17"/>
        <v>Pre-mezclado</v>
      </c>
      <c r="P79">
        <f t="shared" ref="P79:Z79" si="55">P33*P$39</f>
        <v>224.03</v>
      </c>
      <c r="Q79">
        <f t="shared" si="55"/>
        <v>26.05</v>
      </c>
      <c r="R79">
        <f t="shared" si="55"/>
        <v>0</v>
      </c>
      <c r="S79">
        <f t="shared" si="55"/>
        <v>0</v>
      </c>
      <c r="T79">
        <f t="shared" si="55"/>
        <v>0</v>
      </c>
      <c r="U79" s="219">
        <f t="shared" si="55"/>
        <v>0</v>
      </c>
      <c r="V79">
        <f t="shared" si="55"/>
        <v>0</v>
      </c>
      <c r="W79">
        <f t="shared" si="55"/>
        <v>0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19"/>
        <v>250.08</v>
      </c>
      <c r="AD79">
        <f t="shared" si="20"/>
        <v>255.768</v>
      </c>
      <c r="AE79" t="s">
        <v>307</v>
      </c>
      <c r="AG79" s="67">
        <f t="shared" si="28"/>
        <v>4.2628000000000004</v>
      </c>
      <c r="AH79" s="67" t="s">
        <v>308</v>
      </c>
      <c r="AI79" s="67" t="str">
        <f t="shared" si="21"/>
        <v>Pre-mezclado</v>
      </c>
    </row>
    <row r="80" spans="1:35" x14ac:dyDescent="0.25">
      <c r="A80" t="str">
        <f t="shared" si="15"/>
        <v>Mezclado</v>
      </c>
      <c r="B80">
        <f>B$39*B34</f>
        <v>5.9196666666666662</v>
      </c>
      <c r="C80">
        <f t="shared" ref="C80:L80" si="56">C$39*C34</f>
        <v>0.68833333333333324</v>
      </c>
      <c r="D80">
        <f t="shared" si="56"/>
        <v>0</v>
      </c>
      <c r="E80">
        <f t="shared" si="56"/>
        <v>0</v>
      </c>
      <c r="F80">
        <f t="shared" si="56"/>
        <v>0</v>
      </c>
      <c r="G80">
        <f t="shared" si="56"/>
        <v>0</v>
      </c>
      <c r="H80">
        <f t="shared" si="56"/>
        <v>0</v>
      </c>
      <c r="I80">
        <f t="shared" si="56"/>
        <v>0</v>
      </c>
      <c r="J80">
        <f t="shared" si="56"/>
        <v>0</v>
      </c>
      <c r="K80">
        <f t="shared" si="56"/>
        <v>0</v>
      </c>
      <c r="L80">
        <f t="shared" si="56"/>
        <v>0</v>
      </c>
      <c r="M80">
        <f t="shared" si="13"/>
        <v>6.6079999999999997</v>
      </c>
      <c r="O80" t="str">
        <f t="shared" si="17"/>
        <v>Mezclado</v>
      </c>
      <c r="P80">
        <f>P34*P$39</f>
        <v>186.19</v>
      </c>
      <c r="Q80">
        <f t="shared" ref="Q80:Z80" si="57">Q34*Q$39</f>
        <v>21.65</v>
      </c>
      <c r="R80">
        <f t="shared" si="57"/>
        <v>0</v>
      </c>
      <c r="S80">
        <f t="shared" si="57"/>
        <v>0</v>
      </c>
      <c r="T80">
        <f t="shared" si="57"/>
        <v>0</v>
      </c>
      <c r="U80" s="219">
        <f t="shared" si="57"/>
        <v>0</v>
      </c>
      <c r="V80">
        <f t="shared" si="57"/>
        <v>0</v>
      </c>
      <c r="W80">
        <f t="shared" si="57"/>
        <v>0</v>
      </c>
      <c r="X80">
        <f t="shared" si="57"/>
        <v>0</v>
      </c>
      <c r="Y80">
        <f t="shared" si="57"/>
        <v>0</v>
      </c>
      <c r="Z80">
        <f t="shared" si="57"/>
        <v>0</v>
      </c>
      <c r="AA80">
        <f t="shared" si="19"/>
        <v>207.84</v>
      </c>
      <c r="AD80">
        <f t="shared" si="20"/>
        <v>214.44800000000001</v>
      </c>
      <c r="AE80" t="s">
        <v>307</v>
      </c>
      <c r="AG80" s="67">
        <f t="shared" si="28"/>
        <v>3.5741333333333336</v>
      </c>
      <c r="AH80" s="67" t="s">
        <v>308</v>
      </c>
      <c r="AI80" s="67" t="str">
        <f t="shared" si="21"/>
        <v>Mezclado</v>
      </c>
    </row>
    <row r="81" spans="1:107" x14ac:dyDescent="0.25">
      <c r="A81" t="str">
        <f t="shared" si="15"/>
        <v>Moldeo</v>
      </c>
      <c r="B81">
        <f t="shared" ref="B81:L81" si="58">B$39*B35</f>
        <v>234.47900000000001</v>
      </c>
      <c r="C81">
        <f t="shared" si="58"/>
        <v>25.455833333333334</v>
      </c>
      <c r="D81">
        <f t="shared" si="58"/>
        <v>0</v>
      </c>
      <c r="E81">
        <f t="shared" si="58"/>
        <v>0</v>
      </c>
      <c r="F81">
        <f t="shared" si="58"/>
        <v>0</v>
      </c>
      <c r="G81">
        <f t="shared" si="58"/>
        <v>0</v>
      </c>
      <c r="H81">
        <f t="shared" si="58"/>
        <v>0</v>
      </c>
      <c r="I81">
        <f t="shared" si="58"/>
        <v>0</v>
      </c>
      <c r="J81">
        <f t="shared" si="58"/>
        <v>0</v>
      </c>
      <c r="K81">
        <f t="shared" si="58"/>
        <v>0</v>
      </c>
      <c r="L81">
        <f t="shared" si="58"/>
        <v>0</v>
      </c>
      <c r="M81">
        <f t="shared" si="13"/>
        <v>259.93483333333336</v>
      </c>
      <c r="O81" t="str">
        <f t="shared" si="17"/>
        <v>Moldeo</v>
      </c>
      <c r="P81">
        <f t="shared" ref="P81:Z81" si="59">P35*P$39</f>
        <v>5160</v>
      </c>
      <c r="Q81">
        <f t="shared" si="59"/>
        <v>600</v>
      </c>
      <c r="R81">
        <f t="shared" si="59"/>
        <v>0</v>
      </c>
      <c r="S81">
        <f t="shared" si="59"/>
        <v>0</v>
      </c>
      <c r="T81">
        <f t="shared" si="59"/>
        <v>0</v>
      </c>
      <c r="U81" s="219">
        <f t="shared" si="59"/>
        <v>0</v>
      </c>
      <c r="V81">
        <f t="shared" si="59"/>
        <v>0</v>
      </c>
      <c r="W81">
        <f t="shared" si="59"/>
        <v>0</v>
      </c>
      <c r="X81">
        <f t="shared" si="59"/>
        <v>0</v>
      </c>
      <c r="Y81">
        <f t="shared" si="59"/>
        <v>0</v>
      </c>
      <c r="Z81">
        <f t="shared" si="59"/>
        <v>0</v>
      </c>
      <c r="AA81">
        <f>SUM(P81:Z81)</f>
        <v>5760</v>
      </c>
      <c r="AD81">
        <f>AA81+M81</f>
        <v>6019.9348333333337</v>
      </c>
      <c r="AE81" t="s">
        <v>307</v>
      </c>
      <c r="AG81" s="67">
        <f>AD81*1/60</f>
        <v>100.33224722222222</v>
      </c>
      <c r="AH81" s="67" t="s">
        <v>308</v>
      </c>
      <c r="AI81" s="67" t="str">
        <f t="shared" si="21"/>
        <v>Moldeo</v>
      </c>
    </row>
    <row r="82" spans="1:107" x14ac:dyDescent="0.25">
      <c r="A82" t="str">
        <f t="shared" si="15"/>
        <v>Desmoldeo</v>
      </c>
      <c r="B82">
        <f t="shared" ref="B82:L82" si="60">B$39*B36</f>
        <v>247.67999999999998</v>
      </c>
      <c r="C82">
        <f>C$39*C36</f>
        <v>30.85</v>
      </c>
      <c r="D82">
        <f t="shared" si="60"/>
        <v>0</v>
      </c>
      <c r="E82">
        <f t="shared" si="60"/>
        <v>0</v>
      </c>
      <c r="F82">
        <f t="shared" si="60"/>
        <v>0</v>
      </c>
      <c r="G82">
        <f t="shared" si="60"/>
        <v>0</v>
      </c>
      <c r="H82">
        <f t="shared" si="60"/>
        <v>0</v>
      </c>
      <c r="I82">
        <f t="shared" si="60"/>
        <v>0</v>
      </c>
      <c r="J82">
        <f t="shared" si="60"/>
        <v>0</v>
      </c>
      <c r="K82">
        <f t="shared" si="60"/>
        <v>0</v>
      </c>
      <c r="L82">
        <f t="shared" si="60"/>
        <v>0</v>
      </c>
      <c r="M82">
        <f t="shared" si="13"/>
        <v>278.52999999999997</v>
      </c>
      <c r="O82" t="str">
        <f t="shared" si="17"/>
        <v>Desmoldeo</v>
      </c>
      <c r="P82">
        <f t="shared" ref="P82:Z82" si="61">P36*P$39</f>
        <v>102.33999999999999</v>
      </c>
      <c r="Q82">
        <f t="shared" si="61"/>
        <v>14.395</v>
      </c>
      <c r="R82">
        <f t="shared" si="61"/>
        <v>0</v>
      </c>
      <c r="S82">
        <f t="shared" si="61"/>
        <v>0</v>
      </c>
      <c r="T82">
        <f t="shared" si="61"/>
        <v>0</v>
      </c>
      <c r="U82" s="219">
        <f t="shared" si="61"/>
        <v>0</v>
      </c>
      <c r="V82">
        <f t="shared" si="61"/>
        <v>0</v>
      </c>
      <c r="W82">
        <f t="shared" si="61"/>
        <v>0</v>
      </c>
      <c r="X82">
        <f t="shared" si="61"/>
        <v>0</v>
      </c>
      <c r="Y82">
        <f t="shared" si="61"/>
        <v>0</v>
      </c>
      <c r="Z82">
        <f t="shared" si="61"/>
        <v>0</v>
      </c>
      <c r="AA82">
        <f t="shared" si="19"/>
        <v>116.73499999999999</v>
      </c>
      <c r="AD82">
        <f t="shared" si="20"/>
        <v>395.26499999999999</v>
      </c>
      <c r="AE82" t="s">
        <v>307</v>
      </c>
      <c r="AG82" s="67">
        <f t="shared" si="28"/>
        <v>6.5877499999999998</v>
      </c>
      <c r="AH82" s="67" t="s">
        <v>308</v>
      </c>
      <c r="AI82" s="67" t="str">
        <f t="shared" si="21"/>
        <v>Desmoldeo</v>
      </c>
    </row>
    <row r="83" spans="1:107" x14ac:dyDescent="0.25">
      <c r="A83" t="str">
        <f t="shared" si="15"/>
        <v>Perforación Cilindro</v>
      </c>
      <c r="B83">
        <f t="shared" ref="B83:L83" si="62">B$39*B37</f>
        <v>0</v>
      </c>
      <c r="C83">
        <f t="shared" si="62"/>
        <v>7.8133333333333335</v>
      </c>
      <c r="D83">
        <f t="shared" si="62"/>
        <v>0</v>
      </c>
      <c r="E83">
        <f t="shared" si="62"/>
        <v>0</v>
      </c>
      <c r="F83">
        <f t="shared" si="62"/>
        <v>0</v>
      </c>
      <c r="G83">
        <f t="shared" si="62"/>
        <v>0</v>
      </c>
      <c r="H83">
        <f t="shared" si="62"/>
        <v>0</v>
      </c>
      <c r="I83">
        <f t="shared" si="62"/>
        <v>0</v>
      </c>
      <c r="J83">
        <f t="shared" si="62"/>
        <v>0</v>
      </c>
      <c r="K83">
        <f t="shared" si="62"/>
        <v>0</v>
      </c>
      <c r="L83">
        <f t="shared" si="62"/>
        <v>0</v>
      </c>
      <c r="M83">
        <f t="shared" si="13"/>
        <v>7.8133333333333335</v>
      </c>
      <c r="O83" t="str">
        <f t="shared" si="17"/>
        <v>Perforación Cilindro</v>
      </c>
      <c r="P83">
        <f t="shared" ref="P83:Z83" si="63">P37*P$39</f>
        <v>0</v>
      </c>
      <c r="Q83">
        <f t="shared" si="63"/>
        <v>1.6666666666666665</v>
      </c>
      <c r="R83">
        <f t="shared" si="63"/>
        <v>0</v>
      </c>
      <c r="S83">
        <f t="shared" si="63"/>
        <v>0</v>
      </c>
      <c r="T83">
        <f t="shared" si="63"/>
        <v>0</v>
      </c>
      <c r="U83" s="219">
        <f t="shared" si="63"/>
        <v>0</v>
      </c>
      <c r="V83">
        <f t="shared" si="63"/>
        <v>0</v>
      </c>
      <c r="W83">
        <f t="shared" si="63"/>
        <v>0</v>
      </c>
      <c r="X83">
        <f t="shared" si="63"/>
        <v>0</v>
      </c>
      <c r="Y83">
        <f t="shared" si="63"/>
        <v>0</v>
      </c>
      <c r="Z83">
        <f t="shared" si="63"/>
        <v>0</v>
      </c>
      <c r="AA83">
        <f t="shared" si="19"/>
        <v>1.6666666666666665</v>
      </c>
      <c r="AD83">
        <f t="shared" si="20"/>
        <v>9.48</v>
      </c>
      <c r="AE83" t="s">
        <v>307</v>
      </c>
      <c r="AG83" s="67">
        <f t="shared" si="28"/>
        <v>0.158</v>
      </c>
      <c r="AH83" s="67" t="s">
        <v>308</v>
      </c>
      <c r="AI83" s="67" t="str">
        <f t="shared" si="21"/>
        <v>Perforación Cilindro</v>
      </c>
    </row>
    <row r="84" spans="1:107" x14ac:dyDescent="0.25">
      <c r="A84" t="str">
        <f t="shared" si="15"/>
        <v>Corte de espuma continua</v>
      </c>
      <c r="B84">
        <f t="shared" ref="B84:L84" si="64">B$39*B38</f>
        <v>0</v>
      </c>
      <c r="C84">
        <f t="shared" si="64"/>
        <v>289.45</v>
      </c>
      <c r="D84">
        <f t="shared" si="64"/>
        <v>0</v>
      </c>
      <c r="E84">
        <f t="shared" si="64"/>
        <v>0</v>
      </c>
      <c r="F84">
        <f t="shared" si="64"/>
        <v>0</v>
      </c>
      <c r="G84">
        <f t="shared" si="64"/>
        <v>0</v>
      </c>
      <c r="H84">
        <f t="shared" si="64"/>
        <v>0</v>
      </c>
      <c r="I84">
        <f t="shared" si="64"/>
        <v>0</v>
      </c>
      <c r="J84">
        <f t="shared" si="64"/>
        <v>0</v>
      </c>
      <c r="K84">
        <f t="shared" si="64"/>
        <v>0</v>
      </c>
      <c r="L84">
        <f t="shared" si="64"/>
        <v>0</v>
      </c>
      <c r="M84">
        <f t="shared" si="13"/>
        <v>289.45</v>
      </c>
      <c r="O84" t="str">
        <f t="shared" si="17"/>
        <v>Corte de espuma continua</v>
      </c>
      <c r="P84">
        <f t="shared" ref="P84:Z84" si="65">P38*P$39</f>
        <v>0</v>
      </c>
      <c r="Q84">
        <f>Q38*Q$39</f>
        <v>6.9099999999999993</v>
      </c>
      <c r="R84">
        <f t="shared" si="65"/>
        <v>0</v>
      </c>
      <c r="S84">
        <f t="shared" si="65"/>
        <v>0</v>
      </c>
      <c r="T84">
        <f t="shared" si="65"/>
        <v>0</v>
      </c>
      <c r="U84" s="219">
        <f t="shared" si="65"/>
        <v>0</v>
      </c>
      <c r="V84">
        <f t="shared" si="65"/>
        <v>0</v>
      </c>
      <c r="W84">
        <f t="shared" si="65"/>
        <v>0</v>
      </c>
      <c r="X84">
        <f t="shared" si="65"/>
        <v>0</v>
      </c>
      <c r="Y84">
        <f t="shared" si="65"/>
        <v>0</v>
      </c>
      <c r="Z84">
        <f t="shared" si="65"/>
        <v>0</v>
      </c>
      <c r="AA84">
        <f t="shared" si="19"/>
        <v>6.9099999999999993</v>
      </c>
      <c r="AD84">
        <f t="shared" si="20"/>
        <v>296.36</v>
      </c>
      <c r="AE84" t="s">
        <v>307</v>
      </c>
      <c r="AG84" s="67">
        <f t="shared" si="28"/>
        <v>4.9393333333333338</v>
      </c>
      <c r="AH84" s="67" t="s">
        <v>308</v>
      </c>
      <c r="AI84" s="67" t="str">
        <f t="shared" si="21"/>
        <v>Corte de espuma continua</v>
      </c>
    </row>
    <row r="85" spans="1:107" s="219" customFormat="1" x14ac:dyDescent="0.25">
      <c r="A85" t="str">
        <f t="shared" si="15"/>
        <v>nj</v>
      </c>
      <c r="B85" s="219">
        <f>B$39*B39</f>
        <v>1849</v>
      </c>
      <c r="C85" s="219">
        <f t="shared" ref="C85:L85" si="66">C$39*C39</f>
        <v>25</v>
      </c>
      <c r="D85" s="219">
        <f t="shared" si="66"/>
        <v>0</v>
      </c>
      <c r="E85" s="219">
        <f t="shared" si="66"/>
        <v>0</v>
      </c>
      <c r="F85" s="219">
        <f t="shared" si="66"/>
        <v>0</v>
      </c>
      <c r="G85" s="219">
        <f t="shared" si="66"/>
        <v>0</v>
      </c>
      <c r="H85" s="219">
        <f t="shared" si="66"/>
        <v>0</v>
      </c>
      <c r="I85" s="219">
        <f t="shared" si="66"/>
        <v>0</v>
      </c>
      <c r="J85" s="219">
        <f t="shared" si="66"/>
        <v>0</v>
      </c>
      <c r="K85" s="219">
        <f t="shared" si="66"/>
        <v>0</v>
      </c>
      <c r="L85" s="219">
        <f t="shared" si="66"/>
        <v>0</v>
      </c>
      <c r="M85" s="219">
        <f t="shared" si="13"/>
        <v>1874</v>
      </c>
      <c r="O85" s="219" t="str">
        <f t="shared" si="17"/>
        <v>Lj</v>
      </c>
      <c r="P85" s="219">
        <f>P39*P$39</f>
        <v>1849</v>
      </c>
      <c r="Q85" s="219">
        <f t="shared" ref="Q85:Z85" si="67">Q39*Q$39</f>
        <v>25</v>
      </c>
      <c r="R85" s="219">
        <f t="shared" si="67"/>
        <v>0</v>
      </c>
      <c r="S85" s="219">
        <f t="shared" si="67"/>
        <v>0</v>
      </c>
      <c r="T85" s="219">
        <f t="shared" si="67"/>
        <v>0</v>
      </c>
      <c r="U85" s="219">
        <f t="shared" si="67"/>
        <v>0</v>
      </c>
      <c r="V85" s="219">
        <f t="shared" si="67"/>
        <v>0</v>
      </c>
      <c r="W85" s="219">
        <f t="shared" si="67"/>
        <v>0</v>
      </c>
      <c r="X85" s="219">
        <f t="shared" si="67"/>
        <v>0</v>
      </c>
      <c r="Y85" s="219">
        <f t="shared" si="67"/>
        <v>0</v>
      </c>
      <c r="Z85" s="219">
        <f t="shared" si="67"/>
        <v>0</v>
      </c>
      <c r="AA85" s="219">
        <f>SUM(P85:Z85)</f>
        <v>1874</v>
      </c>
      <c r="AD85" s="219">
        <f t="shared" si="20"/>
        <v>3748</v>
      </c>
      <c r="AE85" s="219" t="s">
        <v>307</v>
      </c>
      <c r="AG85" s="275"/>
      <c r="AH85" s="275" t="s">
        <v>308</v>
      </c>
      <c r="AI85" s="275" t="str">
        <f t="shared" si="21"/>
        <v>Lj</v>
      </c>
    </row>
    <row r="86" spans="1:107" x14ac:dyDescent="0.25">
      <c r="A86" t="str">
        <f t="shared" si="15"/>
        <v>Acolchado</v>
      </c>
      <c r="B86">
        <f t="shared" ref="B86:L86" si="68">B$39*B40</f>
        <v>0</v>
      </c>
      <c r="C86">
        <f>C$39*C40</f>
        <v>289.90999999999997</v>
      </c>
      <c r="D86">
        <f t="shared" si="68"/>
        <v>0</v>
      </c>
      <c r="E86">
        <f t="shared" si="68"/>
        <v>0</v>
      </c>
      <c r="F86">
        <f t="shared" si="68"/>
        <v>0</v>
      </c>
      <c r="G86">
        <f t="shared" si="68"/>
        <v>0</v>
      </c>
      <c r="H86">
        <f t="shared" si="68"/>
        <v>0</v>
      </c>
      <c r="I86">
        <f t="shared" si="68"/>
        <v>0</v>
      </c>
      <c r="J86">
        <f t="shared" si="68"/>
        <v>0</v>
      </c>
      <c r="K86">
        <f t="shared" si="68"/>
        <v>0</v>
      </c>
      <c r="L86">
        <f t="shared" si="68"/>
        <v>0</v>
      </c>
      <c r="M86">
        <f t="shared" si="13"/>
        <v>289.90999999999997</v>
      </c>
      <c r="O86" t="str">
        <f t="shared" si="17"/>
        <v>Acolchado</v>
      </c>
      <c r="P86">
        <f t="shared" ref="P86:Z86" si="69">P40*P$39</f>
        <v>0</v>
      </c>
      <c r="Q86">
        <f t="shared" si="69"/>
        <v>29.416666666666668</v>
      </c>
      <c r="R86">
        <f t="shared" si="69"/>
        <v>0</v>
      </c>
      <c r="S86">
        <f t="shared" si="69"/>
        <v>0</v>
      </c>
      <c r="T86">
        <f t="shared" si="69"/>
        <v>0</v>
      </c>
      <c r="U86" s="219">
        <f t="shared" si="69"/>
        <v>0</v>
      </c>
      <c r="V86">
        <f t="shared" si="69"/>
        <v>0</v>
      </c>
      <c r="W86">
        <f t="shared" si="69"/>
        <v>0</v>
      </c>
      <c r="X86">
        <f t="shared" si="69"/>
        <v>0</v>
      </c>
      <c r="Y86">
        <f t="shared" si="69"/>
        <v>0</v>
      </c>
      <c r="Z86">
        <f t="shared" si="69"/>
        <v>0</v>
      </c>
      <c r="AA86">
        <f>SUM(P86:Z86)</f>
        <v>29.416666666666668</v>
      </c>
      <c r="AD86">
        <f t="shared" si="20"/>
        <v>319.32666666666665</v>
      </c>
      <c r="AE86" t="s">
        <v>307</v>
      </c>
      <c r="AG86" s="67">
        <f t="shared" si="28"/>
        <v>5.322111111111111</v>
      </c>
      <c r="AH86" s="67" t="s">
        <v>308</v>
      </c>
      <c r="AI86" s="67" t="str">
        <f t="shared" si="21"/>
        <v>Acolchado</v>
      </c>
      <c r="AQ86" s="349" t="s">
        <v>314</v>
      </c>
    </row>
    <row r="87" spans="1:107" ht="23.25" x14ac:dyDescent="0.35">
      <c r="AG87" s="355">
        <f>SUM(AG48:AG86)</f>
        <v>2197.3628447222227</v>
      </c>
      <c r="AH87" s="355" t="s">
        <v>310</v>
      </c>
      <c r="AI87" s="356"/>
    </row>
    <row r="89" spans="1:107" x14ac:dyDescent="0.25">
      <c r="N89" s="106"/>
      <c r="AF89" s="14"/>
      <c r="AG89" s="14"/>
      <c r="AH89" s="14"/>
      <c r="AI89" s="14"/>
      <c r="AJ89" s="14"/>
      <c r="AK89" s="14"/>
      <c r="AL89" s="14"/>
      <c r="AM89" s="14"/>
      <c r="AN89" s="14"/>
      <c r="BD89" s="106"/>
      <c r="BK89" s="219"/>
      <c r="BV89" s="14"/>
      <c r="BW89" s="14"/>
      <c r="BX89" s="14"/>
      <c r="BY89" s="14"/>
      <c r="BZ89" s="220"/>
      <c r="CA89" s="14"/>
      <c r="CB89" s="14"/>
      <c r="CC89" s="14"/>
      <c r="CD89" s="14"/>
      <c r="CL89" s="219"/>
      <c r="CM89" s="219"/>
    </row>
    <row r="90" spans="1:107" x14ac:dyDescent="0.25">
      <c r="A90" s="326">
        <f t="array" ref="A90:AO100">TRANSPOSE(A47:L86)</f>
        <v>0</v>
      </c>
      <c r="B90" s="326" t="str">
        <v>Confección colchón algodón</v>
      </c>
      <c r="C90" s="326" t="str">
        <v>Pesado de MP</v>
      </c>
      <c r="D90" s="326" t="str">
        <v>Pre-mezclado</v>
      </c>
      <c r="E90" s="326" t="str">
        <v>Mezclado</v>
      </c>
      <c r="F90" s="326" t="str">
        <v>Moldeo</v>
      </c>
      <c r="G90" s="326" t="str">
        <v>Desmoldeo</v>
      </c>
      <c r="H90" s="326" t="str">
        <v>Curado</v>
      </c>
      <c r="I90" s="326" t="str">
        <v>Perforación Cilindro</v>
      </c>
      <c r="J90" s="326" t="str">
        <v>Corte de espuma continua</v>
      </c>
      <c r="K90" s="326" t="str">
        <v>Corte bloque espuma en láminas</v>
      </c>
      <c r="L90" s="326" t="str">
        <v>Corte tapa tela acolchada</v>
      </c>
      <c r="M90" s="326" t="str">
        <v>Confección colchón (+Cerrado y tapizado(resortados))</v>
      </c>
      <c r="N90" s="326" t="str">
        <v>Triturado-corte manual</v>
      </c>
      <c r="O90" s="326" t="str">
        <v>Corte tapas de espuma</v>
      </c>
      <c r="P90" s="326" t="str">
        <v>Pegar tapas de espuma</v>
      </c>
      <c r="Q90" s="326" t="str">
        <v>Corte tapa tela sin cremallera/con</v>
      </c>
      <c r="R90" s="326" t="str">
        <v>Rellenado-Pesado</v>
      </c>
      <c r="S90" s="326" t="str">
        <v>Confección funda tela sin cremallera</v>
      </c>
      <c r="T90" s="326" t="str">
        <v>Sellado bolsa espuma</v>
      </c>
      <c r="U90" s="326" t="str">
        <v>Enfundado</v>
      </c>
      <c r="V90" s="326">
        <v>0</v>
      </c>
      <c r="W90" s="326">
        <v>0</v>
      </c>
      <c r="X90" s="326" t="str">
        <v>Corte madera</v>
      </c>
      <c r="Y90" s="326" t="str">
        <v>Lijado</v>
      </c>
      <c r="Z90" s="326" t="str">
        <v>Barnizado</v>
      </c>
      <c r="AA90" s="326" t="str">
        <v>Ensamble base cama</v>
      </c>
      <c r="AB90" s="326" t="str">
        <v>nj</v>
      </c>
      <c r="AC90" s="326">
        <v>0</v>
      </c>
      <c r="AD90" s="326">
        <v>0</v>
      </c>
      <c r="AE90" s="367">
        <v>0</v>
      </c>
      <c r="AF90" s="367" t="str">
        <v>Pesado de MP</v>
      </c>
      <c r="AG90" s="367" t="str">
        <v>Pre-mezclado</v>
      </c>
      <c r="AH90" s="367" t="str">
        <v>Mezclado</v>
      </c>
      <c r="AI90" s="367" t="str">
        <v>Moldeo</v>
      </c>
      <c r="AJ90" s="367" t="str">
        <v>Desmoldeo</v>
      </c>
      <c r="AK90" s="367" t="str">
        <v>Perforación Cilindro</v>
      </c>
      <c r="AL90" s="367" t="str">
        <v>Corte de espuma continua</v>
      </c>
      <c r="AM90" s="367" t="str">
        <v>nj</v>
      </c>
      <c r="AN90" s="367" t="str">
        <v>Acolchado</v>
      </c>
      <c r="AO90" s="326" t="e">
        <v>#N/A</v>
      </c>
      <c r="AQ90" s="326">
        <f>A90</f>
        <v>0</v>
      </c>
      <c r="AR90" s="326" t="str">
        <f t="shared" ref="AR90" si="70">B90</f>
        <v>Confección colchón algodón</v>
      </c>
      <c r="AS90" s="326" t="str">
        <f t="shared" ref="AS90:CE90" si="71">C90</f>
        <v>Pesado de MP</v>
      </c>
      <c r="AT90" s="326" t="str">
        <f t="shared" si="71"/>
        <v>Pre-mezclado</v>
      </c>
      <c r="AU90" s="326" t="str">
        <f t="shared" si="71"/>
        <v>Mezclado</v>
      </c>
      <c r="AV90" s="326" t="str">
        <f t="shared" si="71"/>
        <v>Moldeo</v>
      </c>
      <c r="AW90" s="326" t="str">
        <f t="shared" si="71"/>
        <v>Desmoldeo</v>
      </c>
      <c r="AX90" s="326" t="str">
        <f t="shared" si="71"/>
        <v>Curado</v>
      </c>
      <c r="AY90" s="326" t="str">
        <f t="shared" si="71"/>
        <v>Perforación Cilindro</v>
      </c>
      <c r="AZ90" s="326" t="str">
        <f t="shared" si="71"/>
        <v>Corte de espuma continua</v>
      </c>
      <c r="BA90" s="326" t="str">
        <f t="shared" si="71"/>
        <v>Corte bloque espuma en láminas</v>
      </c>
      <c r="BB90" s="326" t="str">
        <f t="shared" si="71"/>
        <v>Corte tapa tela acolchada</v>
      </c>
      <c r="BC90" s="326" t="str">
        <f t="shared" si="71"/>
        <v>Confección colchón (+Cerrado y tapizado(resortados))</v>
      </c>
      <c r="BD90" s="326" t="str">
        <f t="shared" si="71"/>
        <v>Triturado-corte manual</v>
      </c>
      <c r="BE90" s="326" t="str">
        <f t="shared" si="71"/>
        <v>Corte tapas de espuma</v>
      </c>
      <c r="BF90" s="326" t="str">
        <f t="shared" si="71"/>
        <v>Pegar tapas de espuma</v>
      </c>
      <c r="BG90" s="326" t="str">
        <f t="shared" si="71"/>
        <v>Corte tapa tela sin cremallera/con</v>
      </c>
      <c r="BH90" s="326" t="str">
        <f t="shared" si="71"/>
        <v>Rellenado-Pesado</v>
      </c>
      <c r="BI90" s="326" t="str">
        <f t="shared" si="71"/>
        <v>Confección funda tela sin cremallera</v>
      </c>
      <c r="BJ90" s="326" t="str">
        <f t="shared" si="71"/>
        <v>Sellado bolsa espuma</v>
      </c>
      <c r="BK90" s="326" t="str">
        <f t="shared" si="71"/>
        <v>Enfundado</v>
      </c>
      <c r="BL90" s="326">
        <f t="shared" si="71"/>
        <v>0</v>
      </c>
      <c r="BM90" s="326">
        <f t="shared" si="71"/>
        <v>0</v>
      </c>
      <c r="BN90" s="326" t="str">
        <f t="shared" si="71"/>
        <v>Corte madera</v>
      </c>
      <c r="BO90" s="326" t="str">
        <f t="shared" si="71"/>
        <v>Lijado</v>
      </c>
      <c r="BP90" s="326" t="str">
        <f t="shared" si="71"/>
        <v>Barnizado</v>
      </c>
      <c r="BQ90" s="326" t="str">
        <f t="shared" si="71"/>
        <v>Ensamble base cama</v>
      </c>
      <c r="BR90" s="326" t="str">
        <f t="shared" si="71"/>
        <v>nj</v>
      </c>
      <c r="BS90" s="326">
        <f t="shared" si="71"/>
        <v>0</v>
      </c>
      <c r="BT90" s="326">
        <f t="shared" si="71"/>
        <v>0</v>
      </c>
      <c r="BU90" s="367">
        <f t="shared" si="71"/>
        <v>0</v>
      </c>
      <c r="BV90" s="367" t="str">
        <f t="shared" si="71"/>
        <v>Pesado de MP</v>
      </c>
      <c r="BW90" s="367" t="str">
        <f t="shared" si="71"/>
        <v>Pre-mezclado</v>
      </c>
      <c r="BX90" s="367" t="str">
        <f t="shared" si="71"/>
        <v>Mezclado</v>
      </c>
      <c r="BY90" s="367" t="str">
        <f t="shared" si="71"/>
        <v>Moldeo</v>
      </c>
      <c r="BZ90" s="367" t="str">
        <f t="shared" si="71"/>
        <v>Desmoldeo</v>
      </c>
      <c r="CA90" s="367" t="str">
        <f t="shared" si="71"/>
        <v>Perforación Cilindro</v>
      </c>
      <c r="CB90" s="367" t="str">
        <f t="shared" si="71"/>
        <v>Corte de espuma continua</v>
      </c>
      <c r="CC90" s="367" t="str">
        <f t="shared" si="71"/>
        <v>nj</v>
      </c>
      <c r="CD90" s="367" t="str">
        <f t="shared" si="71"/>
        <v>Acolchado</v>
      </c>
      <c r="CE90" s="326" t="e">
        <f t="shared" si="71"/>
        <v>#N/A</v>
      </c>
      <c r="CG90" s="326">
        <f t="shared" ref="CG90:CG100" si="72">AQ90</f>
        <v>0</v>
      </c>
      <c r="CH90" s="326" t="str">
        <f t="shared" ref="CH90:CH100" si="73">AR90</f>
        <v>Confección colchón algodón</v>
      </c>
      <c r="CI90" s="326" t="str">
        <f t="shared" ref="CI90:CI100" si="74">AS90</f>
        <v>Pesado de MP</v>
      </c>
      <c r="CJ90" s="367" t="str">
        <f t="shared" ref="CJ90:CJ100" si="75">AT90</f>
        <v>Pre-mezclado</v>
      </c>
      <c r="CK90" s="326" t="str">
        <f t="shared" ref="CK90:CK100" si="76">AU90</f>
        <v>Mezclado</v>
      </c>
      <c r="CL90" s="326" t="str">
        <f t="shared" ref="CL90:CL100" si="77">AV90</f>
        <v>Moldeo</v>
      </c>
      <c r="CM90" s="326" t="str">
        <f>CA90</f>
        <v>Perforación Cilindro</v>
      </c>
      <c r="CN90" s="326" t="str">
        <f>CB90</f>
        <v>Corte de espuma continua</v>
      </c>
      <c r="CO90" s="326" t="str">
        <f>CD90</f>
        <v>Acolchado</v>
      </c>
      <c r="CP90" s="326" t="str">
        <f t="shared" ref="CP90:CU90" si="78">BA90</f>
        <v>Corte bloque espuma en láminas</v>
      </c>
      <c r="CQ90" s="326" t="str">
        <f t="shared" si="78"/>
        <v>Corte tapa tela acolchada</v>
      </c>
      <c r="CR90" s="326" t="str">
        <f t="shared" si="78"/>
        <v>Confección colchón (+Cerrado y tapizado(resortados))</v>
      </c>
      <c r="CS90" s="326" t="str">
        <f t="shared" si="78"/>
        <v>Triturado-corte manual</v>
      </c>
      <c r="CT90" s="367" t="str">
        <f t="shared" si="78"/>
        <v>Corte tapas de espuma</v>
      </c>
      <c r="CU90" s="326" t="str">
        <f t="shared" si="78"/>
        <v>Pegar tapas de espuma</v>
      </c>
      <c r="CV90" s="326" t="str">
        <f t="shared" ref="CV90:CV102" si="79">BH90</f>
        <v>Rellenado-Pesado</v>
      </c>
      <c r="CW90" s="326" t="str">
        <f t="shared" ref="CW90:CW102" si="80">BI90</f>
        <v>Confección funda tela sin cremallera</v>
      </c>
      <c r="CX90" s="326" t="str">
        <f t="shared" ref="CX90:CX102" si="81">BJ90</f>
        <v>Sellado bolsa espuma</v>
      </c>
      <c r="CY90" s="326" t="str">
        <f t="shared" ref="CY90:CY102" si="82">BN90</f>
        <v>Corte madera</v>
      </c>
      <c r="CZ90" s="326" t="str">
        <f t="shared" ref="CZ90:CZ102" si="83">BO90</f>
        <v>Lijado</v>
      </c>
      <c r="DA90" s="326" t="str">
        <f t="shared" ref="DA90:DA102" si="84">BP90</f>
        <v>Barnizado</v>
      </c>
      <c r="DB90" s="326" t="str">
        <f t="shared" ref="DB90:DB102" si="85">BQ90</f>
        <v>Ensamble base cama</v>
      </c>
      <c r="DC90" s="326"/>
    </row>
    <row r="91" spans="1:107" x14ac:dyDescent="0.25">
      <c r="A91" s="326" t="str">
        <v>P2(45x60)</v>
      </c>
      <c r="B91" s="326">
        <v>0</v>
      </c>
      <c r="C91" s="326">
        <v>0</v>
      </c>
      <c r="D91" s="326">
        <v>0</v>
      </c>
      <c r="E91" s="326">
        <v>0</v>
      </c>
      <c r="F91" s="326">
        <v>0</v>
      </c>
      <c r="G91" s="326">
        <v>0</v>
      </c>
      <c r="H91" s="326">
        <v>0</v>
      </c>
      <c r="I91" s="326">
        <v>0</v>
      </c>
      <c r="J91" s="326">
        <v>0</v>
      </c>
      <c r="K91" s="326">
        <v>0</v>
      </c>
      <c r="L91" s="326">
        <v>0</v>
      </c>
      <c r="M91" s="326">
        <v>0</v>
      </c>
      <c r="N91" s="326">
        <v>1151.78</v>
      </c>
      <c r="O91" s="326">
        <v>1115.7111</v>
      </c>
      <c r="P91" s="326">
        <v>343.80200000000002</v>
      </c>
      <c r="Q91" s="326">
        <v>994.8896666666667</v>
      </c>
      <c r="R91" s="326">
        <v>1241.4110000000001</v>
      </c>
      <c r="S91" s="326">
        <v>3927.31</v>
      </c>
      <c r="T91" s="326">
        <v>151.76650000000001</v>
      </c>
      <c r="U91" s="326">
        <v>234.03649999999999</v>
      </c>
      <c r="V91" s="326">
        <v>0</v>
      </c>
      <c r="W91" s="326">
        <v>0</v>
      </c>
      <c r="X91" s="326">
        <v>0</v>
      </c>
      <c r="Y91" s="326">
        <v>0</v>
      </c>
      <c r="Z91" s="326">
        <v>0</v>
      </c>
      <c r="AA91" s="326">
        <v>0</v>
      </c>
      <c r="AB91" s="326">
        <v>187489</v>
      </c>
      <c r="AC91" s="326">
        <v>0</v>
      </c>
      <c r="AD91" s="326">
        <v>0</v>
      </c>
      <c r="AE91" s="367" t="str">
        <v>Bloques</v>
      </c>
      <c r="AF91" s="367">
        <v>111.24100000000001</v>
      </c>
      <c r="AG91" s="367">
        <v>5.0955000000000004</v>
      </c>
      <c r="AH91" s="367">
        <v>5.9196666666666662</v>
      </c>
      <c r="AI91" s="367">
        <v>234.47900000000001</v>
      </c>
      <c r="AJ91" s="367">
        <v>247.67999999999998</v>
      </c>
      <c r="AK91" s="367">
        <v>0</v>
      </c>
      <c r="AL91" s="367">
        <v>0</v>
      </c>
      <c r="AM91" s="367">
        <v>1849</v>
      </c>
      <c r="AN91" s="367">
        <v>0</v>
      </c>
      <c r="AO91" s="326" t="e">
        <v>#N/A</v>
      </c>
      <c r="AQ91" s="326" t="str">
        <f t="shared" ref="AQ91:AQ102" si="86">A91</f>
        <v>P2(45x60)</v>
      </c>
      <c r="AR91" s="326">
        <f t="shared" ref="AR91:AR102" si="87">(B91+B105)/($AR$105*((1+$AR$104)^($AR$106))*60)</f>
        <v>0</v>
      </c>
      <c r="AS91" s="326">
        <f t="shared" ref="AS91:AS102" si="88">(C91+C105)/($AR$105*((1+$AR$104)^($AR$106))*60)</f>
        <v>0</v>
      </c>
      <c r="AT91" s="326">
        <f t="shared" ref="AT91:AT102" si="89">(D91+D105)/($AR$105*((1+$AR$104)^($AR$106))*60)</f>
        <v>0</v>
      </c>
      <c r="AU91" s="326">
        <f t="shared" ref="AU91:AU102" si="90">(E91+E105)/($AR$105*((1+$AR$104)^($AR$106))*60)</f>
        <v>0</v>
      </c>
      <c r="AV91" s="326">
        <f t="shared" ref="AV91:AV102" si="91">(F91+F105)/($AR$105*((1+$AR$104)^($AR$106))*60)</f>
        <v>0</v>
      </c>
      <c r="AW91" s="326">
        <f t="shared" ref="AW91:AW102" si="92">(G91+G105)/($AR$105*((1+$AR$104)^($AR$106))*60)</f>
        <v>0</v>
      </c>
      <c r="AX91" s="326">
        <f t="shared" ref="AX91:AX102" si="93">(H91+H105)/($AR$105*((1+$AR$104)^($AR$106))*60)</f>
        <v>0</v>
      </c>
      <c r="AY91" s="326">
        <f t="shared" ref="AY91:AY102" si="94">(I91+I105)/($AR$105*((1+$AR$104)^($AR$106))*60)</f>
        <v>0</v>
      </c>
      <c r="AZ91" s="326">
        <f t="shared" ref="AZ91:AZ102" si="95">(J91+J105)/($AR$105*((1+$AR$104)^($AR$106))*60)</f>
        <v>0</v>
      </c>
      <c r="BA91" s="326">
        <f t="shared" ref="BA91:BA102" si="96">(K91+K105)/($AR$105*((1+$AR$104)^($AR$106))*60)</f>
        <v>0</v>
      </c>
      <c r="BB91" s="326">
        <f t="shared" ref="BB91:BB102" si="97">(L91+L105)/($AR$105*((1+$AR$104)^($AR$106))*60)</f>
        <v>0</v>
      </c>
      <c r="BC91" s="326">
        <f t="shared" ref="BC91:BC102" si="98">(M91+M105)/($AR$105*((1+$AR$104)^($AR$106))*60)</f>
        <v>0</v>
      </c>
      <c r="BD91" s="326">
        <f t="shared" ref="BD91:BD102" si="99">(N91+N105)/($AR$105*((1+$AR$104)^($AR$106))*60)</f>
        <v>18.636167923909429</v>
      </c>
      <c r="BE91" s="326">
        <f t="shared" ref="BE91:BE102" si="100">(O91+O105)/($AR$105*((1+$AR$104)^($AR$106))*60)</f>
        <v>21.074654076550473</v>
      </c>
      <c r="BF91" s="326">
        <f t="shared" ref="BF91:BF102" si="101">(P91+P105)/($AR$105*((1+$AR$104)^($AR$106))*60)</f>
        <v>6.7360888156414971</v>
      </c>
      <c r="BG91" s="326">
        <f t="shared" ref="BG91:BG102" si="102">(Q91+Q105)/($AR$105*((1+$AR$104)^($AR$106))*60)</f>
        <v>17.15551957649809</v>
      </c>
      <c r="BH91" s="326">
        <f t="shared" ref="BH91:BH102" si="103">(R91+R105)/($AR$105*((1+$AR$104)^($AR$106))*60)</f>
        <v>19.270541013243115</v>
      </c>
      <c r="BI91" s="326">
        <f t="shared" ref="BI91:BI102" si="104">(S91+S105)/($AR$105*((1+$AR$104)^($AR$106))*60)</f>
        <v>61.712867529730453</v>
      </c>
      <c r="BJ91" s="326">
        <f t="shared" ref="BJ91:BJ102" si="105">(T91+T105)/($AR$105*((1+$AR$104)^($AR$106))*60)</f>
        <v>3.5052196712263246</v>
      </c>
      <c r="BK91" s="326">
        <f t="shared" ref="BK91:BK102" si="106">(U91+U105)/($AR$105*((1+$AR$104)^($AR$106))*60)</f>
        <v>4.3813856914393394</v>
      </c>
      <c r="BL91" s="326">
        <f t="shared" ref="BL91:BL102" si="107">(V91+V105)/($AR$105*((1+$AR$104)^($AR$106))*60)</f>
        <v>0</v>
      </c>
      <c r="BM91" s="326">
        <f t="shared" ref="BM91:BM102" si="108">(W91+W105)/($AR$105*((1+$AR$104)^($AR$106))*60)</f>
        <v>0</v>
      </c>
      <c r="BN91" s="326">
        <f t="shared" ref="BN91:BN102" si="109">(X91+X105)/($AR$105*((1+$AR$104)^($AR$106))*60)</f>
        <v>0</v>
      </c>
      <c r="BO91" s="326">
        <f t="shared" ref="BO91:BO102" si="110">(Y91+Y105)/($AR$105*((1+$AR$104)^($AR$106))*60)</f>
        <v>0</v>
      </c>
      <c r="BP91" s="326">
        <f t="shared" ref="BP91:BP102" si="111">(Z91+Z105)/($AR$105*((1+$AR$104)^($AR$106))*60)</f>
        <v>0</v>
      </c>
      <c r="BQ91" s="326">
        <f t="shared" ref="BQ91:BQ102" si="112">(AA91+AA105)/($AR$105*((1+$AR$104)^($AR$106))*60)</f>
        <v>0</v>
      </c>
      <c r="BR91" s="326">
        <f t="shared" ref="BR91:BR102" si="113">(AB91+AB105)/($AR$105*((1+$AR$104)^($AR$106))*60)</f>
        <v>2893.5146691625769</v>
      </c>
      <c r="BS91" s="326">
        <f t="shared" ref="BS91:BS102" si="114">(AC91+AC105)/($AR$105*((1+$AR$104)^($AR$106))*60)</f>
        <v>0</v>
      </c>
      <c r="BT91" s="326">
        <f t="shared" ref="BT91:BT102" si="115">(AD91+AD105)/($AR$105*((1+$AR$104)^($AR$106))*60)</f>
        <v>0</v>
      </c>
      <c r="BU91" s="367" t="e">
        <f t="shared" ref="BU91:BU102" si="116">(AE91+AE105)/($AR$105*((1+$AR$104)^($AR$106))*60)</f>
        <v>#VALUE!</v>
      </c>
      <c r="BV91" s="367">
        <f t="shared" ref="BV91:BV102" si="117">(AF91+AF105)/($AR$105*((1+$AR$104)^($AR$106))*60)</f>
        <v>4.1539477787380852</v>
      </c>
      <c r="BW91" s="367">
        <f t="shared" ref="BW91:BW102" si="118">(AG91+AG105)/($AR$105*((1+$AR$104)^($AR$106))*60)</f>
        <v>3.5279424193506346</v>
      </c>
      <c r="BX91" s="367">
        <f t="shared" ref="BX91:BX102" si="119">(AH91+AH105)/($AR$105*((1+$AR$104)^($AR$106))*60)</f>
        <v>2.9579939474246384</v>
      </c>
      <c r="BY91" s="367">
        <f t="shared" ref="BY91:BY102" si="120">(AI91+AI105)/($AR$105*((1+$AR$104)^($AR$106))*60)</f>
        <v>83.061079165768078</v>
      </c>
      <c r="BZ91" s="367">
        <f t="shared" ref="BZ91:BZ102" si="121">(AJ91+AJ105)/($AR$105*((1+$AR$104)^($AR$106))*60)</f>
        <v>5.3894062669633414</v>
      </c>
      <c r="CA91" s="367">
        <f t="shared" ref="CA91:CA102" si="122">(AK91+AK105)/($AR$105*((1+$AR$104)^($AR$106))*60)</f>
        <v>0</v>
      </c>
      <c r="CB91" s="367">
        <f t="shared" ref="CB91:CB102" si="123">(AL91+AL105)/($AR$105*((1+$AR$104)^($AR$106))*60)</f>
        <v>0</v>
      </c>
      <c r="CC91" s="367">
        <f t="shared" ref="CC91:CC102" si="124">(AM91+AM105)/($AR$105*((1+$AR$104)^($AR$106))*60)</f>
        <v>56.939673090767492</v>
      </c>
      <c r="CD91" s="367">
        <f t="shared" ref="CD91:CD102" si="125">(AN91+AN105)/($AR$105*((1+$AR$104)^($AR$106))*60)</f>
        <v>0</v>
      </c>
      <c r="CE91" s="326"/>
      <c r="CG91" s="326" t="str">
        <f t="shared" si="72"/>
        <v>P2(45x60)</v>
      </c>
      <c r="CH91" s="326">
        <f t="shared" si="73"/>
        <v>0</v>
      </c>
      <c r="CI91" s="326">
        <f t="shared" si="74"/>
        <v>0</v>
      </c>
      <c r="CJ91" s="326">
        <f t="shared" si="75"/>
        <v>0</v>
      </c>
      <c r="CK91" s="326">
        <f t="shared" si="76"/>
        <v>0</v>
      </c>
      <c r="CL91" s="326">
        <f t="shared" si="77"/>
        <v>0</v>
      </c>
      <c r="CM91">
        <v>0</v>
      </c>
      <c r="CN91">
        <v>0</v>
      </c>
      <c r="CO91">
        <v>0</v>
      </c>
      <c r="CP91" s="326">
        <f t="shared" ref="CP91:CP102" si="126">BA91</f>
        <v>0</v>
      </c>
      <c r="CQ91" s="326">
        <f>BG91+BE91</f>
        <v>38.230173653048567</v>
      </c>
      <c r="CR91" s="326">
        <f t="shared" ref="CR91:CR102" si="127">BC91</f>
        <v>0</v>
      </c>
      <c r="CS91" s="326">
        <f t="shared" ref="CS91:CS102" si="128">BD91</f>
        <v>18.636167923909429</v>
      </c>
      <c r="CT91" s="326">
        <f t="shared" ref="CT91:CT102" si="129">BE91</f>
        <v>21.074654076550473</v>
      </c>
      <c r="CU91" s="326">
        <f t="shared" ref="CU91:CU102" si="130">BF91</f>
        <v>6.7360888156414971</v>
      </c>
      <c r="CV91" s="326">
        <f t="shared" si="79"/>
        <v>19.270541013243115</v>
      </c>
      <c r="CW91" s="326">
        <f t="shared" si="80"/>
        <v>61.712867529730453</v>
      </c>
      <c r="CX91" s="326">
        <f t="shared" si="81"/>
        <v>3.5052196712263246</v>
      </c>
      <c r="CY91" s="326">
        <f t="shared" si="82"/>
        <v>0</v>
      </c>
      <c r="CZ91" s="326">
        <f t="shared" si="83"/>
        <v>0</v>
      </c>
      <c r="DA91" s="326">
        <f t="shared" si="84"/>
        <v>0</v>
      </c>
      <c r="DB91" s="326">
        <f t="shared" si="85"/>
        <v>0</v>
      </c>
      <c r="DC91" s="326"/>
    </row>
    <row r="92" spans="1:107" x14ac:dyDescent="0.25">
      <c r="A92" s="315" t="str">
        <v>P1(40x60)</v>
      </c>
      <c r="B92" s="315">
        <v>0</v>
      </c>
      <c r="C92" s="315">
        <v>1015</v>
      </c>
      <c r="D92" s="315">
        <v>0</v>
      </c>
      <c r="E92" s="315">
        <v>54.131979999999999</v>
      </c>
      <c r="F92" s="315">
        <v>1542.8</v>
      </c>
      <c r="G92" s="315">
        <v>0</v>
      </c>
      <c r="H92" s="315">
        <v>0</v>
      </c>
      <c r="I92" s="315">
        <v>0</v>
      </c>
      <c r="J92" s="315">
        <v>0</v>
      </c>
      <c r="K92" s="315">
        <v>0</v>
      </c>
      <c r="L92" s="315">
        <v>0</v>
      </c>
      <c r="M92" s="315">
        <v>0</v>
      </c>
      <c r="N92" s="315">
        <v>0</v>
      </c>
      <c r="O92" s="315">
        <v>0</v>
      </c>
      <c r="P92" s="315">
        <v>0</v>
      </c>
      <c r="Q92" s="315">
        <v>1011.8332</v>
      </c>
      <c r="R92" s="315">
        <v>0</v>
      </c>
      <c r="S92" s="315">
        <v>4129.0199999999995</v>
      </c>
      <c r="T92" s="315">
        <v>0</v>
      </c>
      <c r="U92" s="315">
        <v>226.345</v>
      </c>
      <c r="V92" s="315">
        <v>0</v>
      </c>
      <c r="W92" s="315">
        <v>0</v>
      </c>
      <c r="X92" s="315">
        <v>0</v>
      </c>
      <c r="Y92" s="315">
        <v>0</v>
      </c>
      <c r="Z92" s="315">
        <v>0</v>
      </c>
      <c r="AA92" s="315">
        <v>0</v>
      </c>
      <c r="AB92" s="315">
        <v>164836</v>
      </c>
      <c r="AC92" s="315">
        <v>0</v>
      </c>
      <c r="AD92" s="315">
        <v>0</v>
      </c>
      <c r="AE92" s="354" t="str">
        <v>Cilindros</v>
      </c>
      <c r="AF92" s="354">
        <v>17.395</v>
      </c>
      <c r="AG92" s="354">
        <v>0.59250000000000003</v>
      </c>
      <c r="AH92" s="354">
        <v>0.68833333333333324</v>
      </c>
      <c r="AI92" s="354">
        <v>25.455833333333334</v>
      </c>
      <c r="AJ92" s="354">
        <v>30.85</v>
      </c>
      <c r="AK92" s="354">
        <v>7.8133333333333335</v>
      </c>
      <c r="AL92" s="354">
        <v>289.45</v>
      </c>
      <c r="AM92" s="354">
        <v>25</v>
      </c>
      <c r="AN92" s="354">
        <v>289.90999999999997</v>
      </c>
      <c r="AO92" s="315" t="e">
        <v>#N/A</v>
      </c>
      <c r="AQ92" s="326" t="str">
        <f t="shared" si="86"/>
        <v>P1(40x60)</v>
      </c>
      <c r="AR92" s="326">
        <f t="shared" si="87"/>
        <v>0</v>
      </c>
      <c r="AS92" s="326">
        <f t="shared" si="88"/>
        <v>15.6283851236152</v>
      </c>
      <c r="AT92" s="326">
        <f t="shared" si="89"/>
        <v>0</v>
      </c>
      <c r="AU92" s="326">
        <f t="shared" si="90"/>
        <v>2.7088992502464699</v>
      </c>
      <c r="AV92" s="326">
        <f t="shared" si="91"/>
        <v>26.949587307162052</v>
      </c>
      <c r="AW92" s="326">
        <f t="shared" si="92"/>
        <v>0</v>
      </c>
      <c r="AX92" s="326">
        <f t="shared" si="93"/>
        <v>0</v>
      </c>
      <c r="AY92" s="326">
        <f t="shared" si="94"/>
        <v>0</v>
      </c>
      <c r="AZ92" s="326">
        <f t="shared" si="95"/>
        <v>0</v>
      </c>
      <c r="BA92" s="326">
        <f t="shared" si="96"/>
        <v>0</v>
      </c>
      <c r="BB92" s="326">
        <f t="shared" si="97"/>
        <v>0</v>
      </c>
      <c r="BC92" s="326">
        <f t="shared" si="98"/>
        <v>0</v>
      </c>
      <c r="BD92" s="326">
        <f t="shared" si="99"/>
        <v>0</v>
      </c>
      <c r="BE92" s="326">
        <f t="shared" si="100"/>
        <v>0</v>
      </c>
      <c r="BF92" s="326">
        <f t="shared" si="101"/>
        <v>0</v>
      </c>
      <c r="BG92" s="326">
        <f t="shared" si="102"/>
        <v>16.975551921270828</v>
      </c>
      <c r="BH92" s="326">
        <f t="shared" si="103"/>
        <v>0</v>
      </c>
      <c r="BI92" s="326">
        <f t="shared" si="104"/>
        <v>66.62693145899631</v>
      </c>
      <c r="BJ92" s="326">
        <f t="shared" si="105"/>
        <v>0</v>
      </c>
      <c r="BK92" s="326">
        <f t="shared" si="106"/>
        <v>4.4228329899831014</v>
      </c>
      <c r="BL92" s="326">
        <f t="shared" si="107"/>
        <v>0</v>
      </c>
      <c r="BM92" s="326">
        <f t="shared" si="108"/>
        <v>0</v>
      </c>
      <c r="BN92" s="326">
        <f t="shared" si="109"/>
        <v>0</v>
      </c>
      <c r="BO92" s="326">
        <f t="shared" si="110"/>
        <v>0</v>
      </c>
      <c r="BP92" s="326">
        <f t="shared" si="111"/>
        <v>0</v>
      </c>
      <c r="BQ92" s="326">
        <f t="shared" si="112"/>
        <v>0</v>
      </c>
      <c r="BR92" s="326">
        <f t="shared" si="113"/>
        <v>2544.3010981245543</v>
      </c>
      <c r="BS92" s="326">
        <f t="shared" si="114"/>
        <v>0</v>
      </c>
      <c r="BT92" s="326">
        <f t="shared" si="115"/>
        <v>0</v>
      </c>
      <c r="BU92" s="367" t="e">
        <f t="shared" si="116"/>
        <v>#VALUE!</v>
      </c>
      <c r="BV92" s="367">
        <f t="shared" si="117"/>
        <v>0.55099680950598018</v>
      </c>
      <c r="BW92" s="367">
        <f t="shared" si="118"/>
        <v>0.41022586271519013</v>
      </c>
      <c r="BX92" s="367">
        <f t="shared" si="119"/>
        <v>0.34395278458426026</v>
      </c>
      <c r="BY92" s="367">
        <f t="shared" si="120"/>
        <v>9.6304085134433635</v>
      </c>
      <c r="BZ92" s="367">
        <f t="shared" si="121"/>
        <v>0.69665643834282731</v>
      </c>
      <c r="CA92" s="367">
        <f t="shared" si="122"/>
        <v>0.14596757731218926</v>
      </c>
      <c r="CB92" s="367">
        <f t="shared" si="123"/>
        <v>4.563180507620296</v>
      </c>
      <c r="CC92" s="367">
        <f t="shared" si="124"/>
        <v>0.76987118835542856</v>
      </c>
      <c r="CD92" s="367">
        <f t="shared" si="125"/>
        <v>4.9168080068048896</v>
      </c>
      <c r="CE92" s="315"/>
      <c r="CG92" s="326" t="str">
        <f t="shared" si="72"/>
        <v>P1(40x60)</v>
      </c>
      <c r="CH92" s="326">
        <f t="shared" si="73"/>
        <v>0</v>
      </c>
      <c r="CI92" s="326">
        <f t="shared" si="74"/>
        <v>15.6283851236152</v>
      </c>
      <c r="CJ92" s="326">
        <f t="shared" si="75"/>
        <v>0</v>
      </c>
      <c r="CK92" s="326">
        <f t="shared" si="76"/>
        <v>2.7088992502464699</v>
      </c>
      <c r="CL92" s="326">
        <f t="shared" si="77"/>
        <v>26.949587307162052</v>
      </c>
      <c r="CM92">
        <v>0</v>
      </c>
      <c r="CN92">
        <v>0</v>
      </c>
      <c r="CO92">
        <v>0</v>
      </c>
      <c r="CP92" s="326">
        <f t="shared" si="126"/>
        <v>0</v>
      </c>
      <c r="CQ92" s="326">
        <f>BG92</f>
        <v>16.975551921270828</v>
      </c>
      <c r="CR92" s="326">
        <f t="shared" si="127"/>
        <v>0</v>
      </c>
      <c r="CS92" s="326">
        <f t="shared" si="128"/>
        <v>0</v>
      </c>
      <c r="CT92" s="326">
        <f t="shared" si="129"/>
        <v>0</v>
      </c>
      <c r="CU92" s="326">
        <f t="shared" si="130"/>
        <v>0</v>
      </c>
      <c r="CV92" s="326">
        <f t="shared" si="79"/>
        <v>0</v>
      </c>
      <c r="CW92" s="326">
        <f t="shared" si="80"/>
        <v>66.62693145899631</v>
      </c>
      <c r="CX92" s="326">
        <f t="shared" si="81"/>
        <v>0</v>
      </c>
      <c r="CY92" s="326">
        <f t="shared" si="82"/>
        <v>0</v>
      </c>
      <c r="CZ92" s="326">
        <f t="shared" si="83"/>
        <v>0</v>
      </c>
      <c r="DA92" s="326">
        <f t="shared" si="84"/>
        <v>0</v>
      </c>
      <c r="DB92" s="326">
        <f t="shared" si="85"/>
        <v>0</v>
      </c>
      <c r="DC92" s="326"/>
    </row>
    <row r="93" spans="1:107" x14ac:dyDescent="0.25">
      <c r="A93" s="315" t="str">
        <v>P11(C10)100X190</v>
      </c>
      <c r="B93" s="315">
        <v>0</v>
      </c>
      <c r="C93" s="315">
        <v>0</v>
      </c>
      <c r="D93" s="315">
        <v>0</v>
      </c>
      <c r="E93" s="315">
        <v>0</v>
      </c>
      <c r="F93" s="315">
        <v>0</v>
      </c>
      <c r="G93" s="315">
        <v>0</v>
      </c>
      <c r="H93" s="315">
        <v>0</v>
      </c>
      <c r="I93" s="315">
        <v>0</v>
      </c>
      <c r="J93" s="315">
        <v>0</v>
      </c>
      <c r="K93" s="315">
        <v>175.5</v>
      </c>
      <c r="L93" s="315">
        <v>1508.7150000000001</v>
      </c>
      <c r="M93" s="315">
        <v>0</v>
      </c>
      <c r="N93" s="315">
        <v>0</v>
      </c>
      <c r="O93" s="315">
        <v>0</v>
      </c>
      <c r="P93" s="315">
        <v>0</v>
      </c>
      <c r="Q93" s="315">
        <v>0</v>
      </c>
      <c r="R93" s="315">
        <v>0</v>
      </c>
      <c r="S93" s="315">
        <v>8511.75</v>
      </c>
      <c r="T93" s="315">
        <v>0</v>
      </c>
      <c r="U93" s="315">
        <v>452.38049999999998</v>
      </c>
      <c r="V93" s="315">
        <v>0</v>
      </c>
      <c r="W93" s="315">
        <v>0</v>
      </c>
      <c r="X93" s="315">
        <v>0</v>
      </c>
      <c r="Y93" s="315">
        <v>0</v>
      </c>
      <c r="Z93" s="315">
        <v>0</v>
      </c>
      <c r="AA93" s="315">
        <v>0</v>
      </c>
      <c r="AB93" s="315">
        <v>342225</v>
      </c>
      <c r="AC93" s="315">
        <v>0</v>
      </c>
      <c r="AD93" s="315">
        <v>0</v>
      </c>
      <c r="AE93" s="315">
        <v>0</v>
      </c>
      <c r="AF93" s="315">
        <v>0</v>
      </c>
      <c r="AG93" s="315">
        <v>0</v>
      </c>
      <c r="AH93" s="315">
        <v>0</v>
      </c>
      <c r="AI93" s="315">
        <v>0</v>
      </c>
      <c r="AJ93" s="315">
        <v>0</v>
      </c>
      <c r="AK93" s="315">
        <v>0</v>
      </c>
      <c r="AL93" s="315">
        <v>0</v>
      </c>
      <c r="AM93" s="315">
        <v>0</v>
      </c>
      <c r="AN93" s="315">
        <v>0</v>
      </c>
      <c r="AO93" s="315" t="e">
        <v>#N/A</v>
      </c>
      <c r="AQ93" s="326" t="str">
        <f t="shared" si="86"/>
        <v>P11(C10)100X190</v>
      </c>
      <c r="AR93" s="326">
        <f t="shared" si="87"/>
        <v>0</v>
      </c>
      <c r="AS93" s="326">
        <f t="shared" si="88"/>
        <v>0</v>
      </c>
      <c r="AT93" s="326">
        <f t="shared" si="89"/>
        <v>0</v>
      </c>
      <c r="AU93" s="326">
        <f t="shared" si="90"/>
        <v>0</v>
      </c>
      <c r="AV93" s="326">
        <f t="shared" si="91"/>
        <v>0</v>
      </c>
      <c r="AW93" s="326">
        <f t="shared" si="92"/>
        <v>0</v>
      </c>
      <c r="AX93" s="326">
        <f t="shared" si="93"/>
        <v>0</v>
      </c>
      <c r="AY93" s="326">
        <f t="shared" si="94"/>
        <v>0</v>
      </c>
      <c r="AZ93" s="326">
        <f t="shared" si="95"/>
        <v>0</v>
      </c>
      <c r="BA93" s="326">
        <f t="shared" si="96"/>
        <v>3.9520375115240478</v>
      </c>
      <c r="BB93" s="326">
        <f t="shared" si="97"/>
        <v>27.695338431186304</v>
      </c>
      <c r="BC93" s="326">
        <f t="shared" si="98"/>
        <v>0</v>
      </c>
      <c r="BD93" s="326">
        <f t="shared" si="99"/>
        <v>0</v>
      </c>
      <c r="BE93" s="326">
        <f t="shared" si="100"/>
        <v>0</v>
      </c>
      <c r="BF93" s="326">
        <f t="shared" si="101"/>
        <v>0</v>
      </c>
      <c r="BG93" s="326">
        <f t="shared" si="102"/>
        <v>0</v>
      </c>
      <c r="BH93" s="326">
        <f t="shared" si="103"/>
        <v>0</v>
      </c>
      <c r="BI93" s="326">
        <f t="shared" si="104"/>
        <v>135.68707160363749</v>
      </c>
      <c r="BJ93" s="326">
        <f t="shared" si="105"/>
        <v>0</v>
      </c>
      <c r="BK93" s="326">
        <f t="shared" si="106"/>
        <v>8.2652754884888129</v>
      </c>
      <c r="BL93" s="326">
        <f t="shared" si="107"/>
        <v>0</v>
      </c>
      <c r="BM93" s="326">
        <f t="shared" si="108"/>
        <v>0</v>
      </c>
      <c r="BN93" s="326">
        <f t="shared" si="109"/>
        <v>0</v>
      </c>
      <c r="BO93" s="326">
        <f t="shared" si="110"/>
        <v>0</v>
      </c>
      <c r="BP93" s="326">
        <f t="shared" si="111"/>
        <v>0</v>
      </c>
      <c r="BQ93" s="326">
        <f t="shared" si="112"/>
        <v>0</v>
      </c>
      <c r="BR93" s="326">
        <f t="shared" si="113"/>
        <v>5278.3908416024888</v>
      </c>
      <c r="BS93" s="326">
        <f t="shared" si="114"/>
        <v>0</v>
      </c>
      <c r="BT93" s="326">
        <f t="shared" si="115"/>
        <v>0</v>
      </c>
      <c r="BU93" s="326">
        <f t="shared" si="116"/>
        <v>0</v>
      </c>
      <c r="BV93" s="326">
        <f t="shared" si="117"/>
        <v>0</v>
      </c>
      <c r="BW93" s="326">
        <f t="shared" si="118"/>
        <v>0</v>
      </c>
      <c r="BX93" s="326">
        <f t="shared" si="119"/>
        <v>0</v>
      </c>
      <c r="BY93" s="326">
        <f t="shared" si="120"/>
        <v>0</v>
      </c>
      <c r="BZ93" s="326">
        <f t="shared" si="121"/>
        <v>0</v>
      </c>
      <c r="CA93" s="326">
        <f t="shared" si="122"/>
        <v>0</v>
      </c>
      <c r="CB93" s="326">
        <f t="shared" si="123"/>
        <v>0</v>
      </c>
      <c r="CC93" s="326">
        <f t="shared" si="124"/>
        <v>0</v>
      </c>
      <c r="CD93" s="326">
        <f t="shared" si="125"/>
        <v>0</v>
      </c>
      <c r="CE93" s="315"/>
      <c r="CG93" s="326" t="str">
        <f t="shared" si="72"/>
        <v>P11(C10)100X190</v>
      </c>
      <c r="CH93" s="326">
        <f t="shared" si="73"/>
        <v>0</v>
      </c>
      <c r="CI93" s="326">
        <f t="shared" si="74"/>
        <v>0</v>
      </c>
      <c r="CJ93" s="326">
        <f t="shared" si="75"/>
        <v>0</v>
      </c>
      <c r="CK93" s="326">
        <f t="shared" si="76"/>
        <v>0</v>
      </c>
      <c r="CL93" s="326">
        <f t="shared" si="77"/>
        <v>0</v>
      </c>
      <c r="CM93">
        <v>0</v>
      </c>
      <c r="CN93">
        <v>0</v>
      </c>
      <c r="CO93">
        <v>0</v>
      </c>
      <c r="CP93" s="326">
        <f t="shared" si="126"/>
        <v>3.9520375115240478</v>
      </c>
      <c r="CQ93" s="326">
        <f t="shared" ref="CQ93:CQ102" si="131">BB93</f>
        <v>27.695338431186304</v>
      </c>
      <c r="CR93" s="326">
        <f t="shared" si="127"/>
        <v>0</v>
      </c>
      <c r="CS93" s="326">
        <f t="shared" si="128"/>
        <v>0</v>
      </c>
      <c r="CT93" s="326">
        <f t="shared" si="129"/>
        <v>0</v>
      </c>
      <c r="CU93" s="326">
        <f t="shared" si="130"/>
        <v>0</v>
      </c>
      <c r="CV93" s="326">
        <f t="shared" si="79"/>
        <v>0</v>
      </c>
      <c r="CW93" s="326">
        <f t="shared" si="80"/>
        <v>135.68707160363749</v>
      </c>
      <c r="CX93" s="326">
        <f t="shared" si="81"/>
        <v>0</v>
      </c>
      <c r="CY93" s="326">
        <f t="shared" si="82"/>
        <v>0</v>
      </c>
      <c r="CZ93" s="326">
        <f t="shared" si="83"/>
        <v>0</v>
      </c>
      <c r="DA93" s="326">
        <f t="shared" si="84"/>
        <v>0</v>
      </c>
      <c r="DB93" s="326">
        <f t="shared" si="85"/>
        <v>0</v>
      </c>
      <c r="DC93" s="326"/>
    </row>
    <row r="94" spans="1:107" x14ac:dyDescent="0.25">
      <c r="A94" s="315" t="str">
        <v>P4(C15)100X190</v>
      </c>
      <c r="B94" s="315">
        <v>0</v>
      </c>
      <c r="C94" s="315">
        <v>0</v>
      </c>
      <c r="D94" s="315">
        <v>0</v>
      </c>
      <c r="E94" s="315">
        <v>0</v>
      </c>
      <c r="F94" s="315">
        <v>0</v>
      </c>
      <c r="G94" s="315">
        <v>0</v>
      </c>
      <c r="H94" s="315">
        <v>0</v>
      </c>
      <c r="I94" s="315">
        <v>0</v>
      </c>
      <c r="J94" s="315">
        <v>0</v>
      </c>
      <c r="K94" s="315">
        <v>83.391099999999994</v>
      </c>
      <c r="L94" s="315">
        <v>830.32300000000009</v>
      </c>
      <c r="M94" s="315">
        <v>12423.449999999999</v>
      </c>
      <c r="N94" s="315">
        <v>866.80100000000004</v>
      </c>
      <c r="O94" s="315">
        <v>0</v>
      </c>
      <c r="P94" s="315">
        <v>0</v>
      </c>
      <c r="Q94" s="315">
        <v>0</v>
      </c>
      <c r="R94" s="315">
        <v>0</v>
      </c>
      <c r="S94" s="315">
        <v>0</v>
      </c>
      <c r="T94" s="315">
        <v>0</v>
      </c>
      <c r="U94" s="315">
        <v>0</v>
      </c>
      <c r="V94" s="315">
        <v>0</v>
      </c>
      <c r="W94" s="315">
        <v>0</v>
      </c>
      <c r="X94" s="315">
        <v>0</v>
      </c>
      <c r="Y94" s="315">
        <v>0</v>
      </c>
      <c r="Z94" s="315">
        <v>0</v>
      </c>
      <c r="AA94" s="315">
        <v>0</v>
      </c>
      <c r="AB94" s="315">
        <v>89401</v>
      </c>
      <c r="AC94" s="315">
        <v>0</v>
      </c>
      <c r="AD94" s="315">
        <v>0</v>
      </c>
      <c r="AE94" s="315">
        <v>0</v>
      </c>
      <c r="AF94" s="315">
        <v>0</v>
      </c>
      <c r="AG94" s="315">
        <v>0</v>
      </c>
      <c r="AH94" s="315">
        <v>0</v>
      </c>
      <c r="AI94" s="315">
        <v>0</v>
      </c>
      <c r="AJ94" s="315">
        <v>0</v>
      </c>
      <c r="AK94" s="315">
        <v>0</v>
      </c>
      <c r="AL94" s="315">
        <v>0</v>
      </c>
      <c r="AM94" s="315">
        <v>0</v>
      </c>
      <c r="AN94" s="315">
        <v>0</v>
      </c>
      <c r="AO94" s="315" t="e">
        <v>#N/A</v>
      </c>
      <c r="AQ94" s="326" t="str">
        <f t="shared" si="86"/>
        <v>P4(C15)100X190</v>
      </c>
      <c r="AR94" s="326">
        <f t="shared" si="87"/>
        <v>0</v>
      </c>
      <c r="AS94" s="326">
        <f t="shared" si="88"/>
        <v>0</v>
      </c>
      <c r="AT94" s="326">
        <f t="shared" si="89"/>
        <v>0</v>
      </c>
      <c r="AU94" s="326">
        <f t="shared" si="90"/>
        <v>0</v>
      </c>
      <c r="AV94" s="326">
        <f t="shared" si="91"/>
        <v>0</v>
      </c>
      <c r="AW94" s="326">
        <f t="shared" si="92"/>
        <v>0</v>
      </c>
      <c r="AX94" s="326">
        <f t="shared" si="93"/>
        <v>0</v>
      </c>
      <c r="AY94" s="326">
        <f t="shared" si="94"/>
        <v>0</v>
      </c>
      <c r="AZ94" s="326">
        <f t="shared" si="95"/>
        <v>0</v>
      </c>
      <c r="BA94" s="326">
        <f t="shared" si="96"/>
        <v>1.9310763703349931</v>
      </c>
      <c r="BB94" s="326">
        <f t="shared" si="97"/>
        <v>15.143377053147917</v>
      </c>
      <c r="BC94" s="326">
        <f t="shared" si="98"/>
        <v>198.97751990911527</v>
      </c>
      <c r="BD94" s="326">
        <f t="shared" si="99"/>
        <v>18.263392445151791</v>
      </c>
      <c r="BE94" s="326">
        <f t="shared" si="100"/>
        <v>0</v>
      </c>
      <c r="BF94" s="326">
        <f t="shared" si="101"/>
        <v>0</v>
      </c>
      <c r="BG94" s="326">
        <f t="shared" si="102"/>
        <v>0</v>
      </c>
      <c r="BH94" s="326">
        <f t="shared" si="103"/>
        <v>0</v>
      </c>
      <c r="BI94" s="326">
        <f t="shared" si="104"/>
        <v>0</v>
      </c>
      <c r="BJ94" s="326">
        <f t="shared" si="105"/>
        <v>0</v>
      </c>
      <c r="BK94" s="326">
        <f t="shared" si="106"/>
        <v>0</v>
      </c>
      <c r="BL94" s="326">
        <f t="shared" si="107"/>
        <v>0</v>
      </c>
      <c r="BM94" s="326">
        <f t="shared" si="108"/>
        <v>0</v>
      </c>
      <c r="BN94" s="326">
        <f t="shared" si="109"/>
        <v>0</v>
      </c>
      <c r="BO94" s="326">
        <f t="shared" si="110"/>
        <v>0</v>
      </c>
      <c r="BP94" s="326">
        <f t="shared" si="111"/>
        <v>0</v>
      </c>
      <c r="BQ94" s="326">
        <f t="shared" si="112"/>
        <v>0</v>
      </c>
      <c r="BR94" s="326">
        <f t="shared" si="113"/>
        <v>1381.1489119096389</v>
      </c>
      <c r="BS94" s="326">
        <f t="shared" si="114"/>
        <v>0</v>
      </c>
      <c r="BT94" s="326">
        <f t="shared" si="115"/>
        <v>0</v>
      </c>
      <c r="BU94" s="326">
        <f t="shared" si="116"/>
        <v>0</v>
      </c>
      <c r="BV94" s="326">
        <f t="shared" si="117"/>
        <v>0</v>
      </c>
      <c r="BW94" s="326">
        <f t="shared" si="118"/>
        <v>0</v>
      </c>
      <c r="BX94" s="326">
        <f t="shared" si="119"/>
        <v>0</v>
      </c>
      <c r="BY94" s="326">
        <f t="shared" si="120"/>
        <v>0</v>
      </c>
      <c r="BZ94" s="326">
        <f t="shared" si="121"/>
        <v>0</v>
      </c>
      <c r="CA94" s="326">
        <f t="shared" si="122"/>
        <v>0</v>
      </c>
      <c r="CB94" s="326">
        <f t="shared" si="123"/>
        <v>0</v>
      </c>
      <c r="CC94" s="326">
        <f t="shared" si="124"/>
        <v>0</v>
      </c>
      <c r="CD94" s="326">
        <f t="shared" si="125"/>
        <v>0</v>
      </c>
      <c r="CE94" s="315"/>
      <c r="CG94" s="326" t="str">
        <f t="shared" si="72"/>
        <v>P4(C15)100X190</v>
      </c>
      <c r="CH94" s="326">
        <f t="shared" si="73"/>
        <v>0</v>
      </c>
      <c r="CI94" s="326">
        <f t="shared" si="74"/>
        <v>0</v>
      </c>
      <c r="CJ94" s="326">
        <f t="shared" si="75"/>
        <v>0</v>
      </c>
      <c r="CK94" s="326">
        <f t="shared" si="76"/>
        <v>0</v>
      </c>
      <c r="CL94" s="326">
        <f t="shared" si="77"/>
        <v>0</v>
      </c>
      <c r="CM94">
        <v>0</v>
      </c>
      <c r="CN94">
        <v>0</v>
      </c>
      <c r="CO94">
        <v>0</v>
      </c>
      <c r="CP94" s="326">
        <f t="shared" si="126"/>
        <v>1.9310763703349931</v>
      </c>
      <c r="CQ94" s="326">
        <f t="shared" si="131"/>
        <v>15.143377053147917</v>
      </c>
      <c r="CR94" s="326">
        <f t="shared" si="127"/>
        <v>198.97751990911527</v>
      </c>
      <c r="CS94" s="326">
        <f t="shared" si="128"/>
        <v>18.263392445151791</v>
      </c>
      <c r="CT94" s="326">
        <f t="shared" si="129"/>
        <v>0</v>
      </c>
      <c r="CU94" s="326">
        <f t="shared" si="130"/>
        <v>0</v>
      </c>
      <c r="CV94" s="326">
        <f t="shared" si="79"/>
        <v>0</v>
      </c>
      <c r="CW94" s="326">
        <f t="shared" si="80"/>
        <v>0</v>
      </c>
      <c r="CX94" s="326">
        <f t="shared" si="81"/>
        <v>0</v>
      </c>
      <c r="CY94" s="326">
        <f t="shared" si="82"/>
        <v>0</v>
      </c>
      <c r="CZ94" s="326">
        <f t="shared" si="83"/>
        <v>0</v>
      </c>
      <c r="DA94" s="326">
        <f t="shared" si="84"/>
        <v>0</v>
      </c>
      <c r="DB94" s="326">
        <f t="shared" si="85"/>
        <v>0</v>
      </c>
      <c r="DC94" s="326"/>
    </row>
    <row r="95" spans="1:107" x14ac:dyDescent="0.25">
      <c r="A95" s="315" t="str">
        <v>P6 100 X 190</v>
      </c>
      <c r="B95" s="315">
        <v>0</v>
      </c>
      <c r="C95" s="315">
        <v>0</v>
      </c>
      <c r="D95" s="315">
        <v>0</v>
      </c>
      <c r="E95" s="315">
        <v>0</v>
      </c>
      <c r="F95" s="315">
        <v>0</v>
      </c>
      <c r="G95" s="315">
        <v>0</v>
      </c>
      <c r="H95" s="315">
        <v>0</v>
      </c>
      <c r="I95" s="315">
        <v>0</v>
      </c>
      <c r="J95" s="315">
        <v>0</v>
      </c>
      <c r="K95" s="315">
        <v>74.58</v>
      </c>
      <c r="L95" s="315">
        <v>305.47000000000003</v>
      </c>
      <c r="M95" s="315">
        <v>7624.1</v>
      </c>
      <c r="N95" s="315">
        <v>318.89</v>
      </c>
      <c r="O95" s="315">
        <v>0</v>
      </c>
      <c r="P95" s="315">
        <v>0</v>
      </c>
      <c r="Q95" s="315">
        <v>0</v>
      </c>
      <c r="R95" s="315">
        <v>0</v>
      </c>
      <c r="S95" s="315">
        <v>0</v>
      </c>
      <c r="T95" s="315">
        <v>0</v>
      </c>
      <c r="U95" s="315">
        <v>0</v>
      </c>
      <c r="V95" s="315">
        <v>0</v>
      </c>
      <c r="W95" s="315">
        <v>0</v>
      </c>
      <c r="X95" s="315">
        <v>0</v>
      </c>
      <c r="Y95" s="315">
        <v>0</v>
      </c>
      <c r="Z95" s="315">
        <v>0</v>
      </c>
      <c r="AA95" s="315">
        <v>0</v>
      </c>
      <c r="AB95" s="315">
        <v>12100</v>
      </c>
      <c r="AC95" s="315">
        <v>0</v>
      </c>
      <c r="AD95" s="315">
        <v>0</v>
      </c>
      <c r="AE95" s="315">
        <v>0</v>
      </c>
      <c r="AF95" s="315">
        <v>0</v>
      </c>
      <c r="AG95" s="315">
        <v>0</v>
      </c>
      <c r="AH95" s="315">
        <v>0</v>
      </c>
      <c r="AI95" s="315">
        <v>0</v>
      </c>
      <c r="AJ95" s="315">
        <v>0</v>
      </c>
      <c r="AK95" s="315">
        <v>0</v>
      </c>
      <c r="AL95" s="315">
        <v>0</v>
      </c>
      <c r="AM95" s="315">
        <v>0</v>
      </c>
      <c r="AN95" s="315">
        <v>0</v>
      </c>
      <c r="AO95" s="315" t="e">
        <v>#N/A</v>
      </c>
      <c r="AQ95" s="326" t="str">
        <f t="shared" si="86"/>
        <v>P6 100 X 190</v>
      </c>
      <c r="AR95" s="326">
        <f t="shared" si="87"/>
        <v>0</v>
      </c>
      <c r="AS95" s="326">
        <f t="shared" si="88"/>
        <v>0</v>
      </c>
      <c r="AT95" s="326">
        <f t="shared" si="89"/>
        <v>0</v>
      </c>
      <c r="AU95" s="326">
        <f t="shared" si="90"/>
        <v>0</v>
      </c>
      <c r="AV95" s="326">
        <f t="shared" si="91"/>
        <v>0</v>
      </c>
      <c r="AW95" s="326">
        <f t="shared" si="92"/>
        <v>0</v>
      </c>
      <c r="AX95" s="326">
        <f t="shared" si="93"/>
        <v>0</v>
      </c>
      <c r="AY95" s="326">
        <f t="shared" si="94"/>
        <v>0</v>
      </c>
      <c r="AZ95" s="326">
        <f t="shared" si="95"/>
        <v>0</v>
      </c>
      <c r="BA95" s="326">
        <f t="shared" si="96"/>
        <v>1.3815646423513508</v>
      </c>
      <c r="BB95" s="326">
        <f t="shared" si="97"/>
        <v>5.5039015100955613</v>
      </c>
      <c r="BC95" s="326">
        <f t="shared" si="98"/>
        <v>121.56820371387833</v>
      </c>
      <c r="BD95" s="326">
        <f t="shared" si="99"/>
        <v>6.7189738092531668</v>
      </c>
      <c r="BE95" s="326">
        <f t="shared" si="100"/>
        <v>0</v>
      </c>
      <c r="BF95" s="326">
        <f t="shared" si="101"/>
        <v>0</v>
      </c>
      <c r="BG95" s="326">
        <f t="shared" si="102"/>
        <v>0</v>
      </c>
      <c r="BH95" s="326">
        <f t="shared" si="103"/>
        <v>0</v>
      </c>
      <c r="BI95" s="326">
        <f t="shared" si="104"/>
        <v>0</v>
      </c>
      <c r="BJ95" s="326">
        <f t="shared" si="105"/>
        <v>0</v>
      </c>
      <c r="BK95" s="326">
        <f t="shared" si="106"/>
        <v>0</v>
      </c>
      <c r="BL95" s="326">
        <f t="shared" si="107"/>
        <v>0</v>
      </c>
      <c r="BM95" s="326">
        <f t="shared" si="108"/>
        <v>0</v>
      </c>
      <c r="BN95" s="326">
        <f t="shared" si="109"/>
        <v>0</v>
      </c>
      <c r="BO95" s="326">
        <f t="shared" si="110"/>
        <v>0</v>
      </c>
      <c r="BP95" s="326">
        <f t="shared" si="111"/>
        <v>0</v>
      </c>
      <c r="BQ95" s="326">
        <f t="shared" si="112"/>
        <v>0</v>
      </c>
      <c r="BR95" s="326">
        <f t="shared" si="113"/>
        <v>188.00254419639563</v>
      </c>
      <c r="BS95" s="326">
        <f t="shared" si="114"/>
        <v>0</v>
      </c>
      <c r="BT95" s="326">
        <f t="shared" si="115"/>
        <v>0</v>
      </c>
      <c r="BU95" s="326">
        <f t="shared" si="116"/>
        <v>0</v>
      </c>
      <c r="BV95" s="326">
        <f t="shared" si="117"/>
        <v>0</v>
      </c>
      <c r="BW95" s="326">
        <f t="shared" si="118"/>
        <v>0</v>
      </c>
      <c r="BX95" s="326">
        <f t="shared" si="119"/>
        <v>0</v>
      </c>
      <c r="BY95" s="326">
        <f t="shared" si="120"/>
        <v>0</v>
      </c>
      <c r="BZ95" s="326">
        <f t="shared" si="121"/>
        <v>0</v>
      </c>
      <c r="CA95" s="326">
        <f t="shared" si="122"/>
        <v>0</v>
      </c>
      <c r="CB95" s="326">
        <f t="shared" si="123"/>
        <v>0</v>
      </c>
      <c r="CC95" s="326">
        <f t="shared" si="124"/>
        <v>0</v>
      </c>
      <c r="CD95" s="326">
        <f t="shared" si="125"/>
        <v>0</v>
      </c>
      <c r="CE95" s="315"/>
      <c r="CG95" s="326" t="str">
        <f t="shared" si="72"/>
        <v>P6 100 X 190</v>
      </c>
      <c r="CH95" s="326">
        <f t="shared" si="73"/>
        <v>0</v>
      </c>
      <c r="CI95" s="326">
        <f t="shared" si="74"/>
        <v>0</v>
      </c>
      <c r="CJ95" s="326">
        <f t="shared" si="75"/>
        <v>0</v>
      </c>
      <c r="CK95" s="326">
        <f t="shared" si="76"/>
        <v>0</v>
      </c>
      <c r="CL95" s="326">
        <f t="shared" si="77"/>
        <v>0</v>
      </c>
      <c r="CM95">
        <v>0</v>
      </c>
      <c r="CN95">
        <v>0</v>
      </c>
      <c r="CO95">
        <v>0</v>
      </c>
      <c r="CP95" s="326">
        <f t="shared" si="126"/>
        <v>1.3815646423513508</v>
      </c>
      <c r="CQ95" s="326">
        <f t="shared" si="131"/>
        <v>5.5039015100955613</v>
      </c>
      <c r="CR95" s="326">
        <f t="shared" si="127"/>
        <v>121.56820371387833</v>
      </c>
      <c r="CS95" s="326">
        <f t="shared" si="128"/>
        <v>6.7189738092531668</v>
      </c>
      <c r="CT95" s="326">
        <f t="shared" si="129"/>
        <v>0</v>
      </c>
      <c r="CU95" s="326">
        <f t="shared" si="130"/>
        <v>0</v>
      </c>
      <c r="CV95" s="326">
        <f t="shared" si="79"/>
        <v>0</v>
      </c>
      <c r="CW95" s="326">
        <f t="shared" si="80"/>
        <v>0</v>
      </c>
      <c r="CX95" s="326">
        <f t="shared" si="81"/>
        <v>0</v>
      </c>
      <c r="CY95" s="326">
        <f t="shared" si="82"/>
        <v>0</v>
      </c>
      <c r="CZ95" s="326">
        <f t="shared" si="83"/>
        <v>0</v>
      </c>
      <c r="DA95" s="326">
        <f t="shared" si="84"/>
        <v>0</v>
      </c>
      <c r="DB95" s="326">
        <f t="shared" si="85"/>
        <v>0</v>
      </c>
      <c r="DC95" s="326"/>
    </row>
    <row r="96" spans="1:107" x14ac:dyDescent="0.25">
      <c r="A96" s="315" t="str">
        <v>P7 100 X 190</v>
      </c>
      <c r="B96" s="315">
        <v>0</v>
      </c>
      <c r="C96" s="315">
        <v>0</v>
      </c>
      <c r="D96" s="315">
        <v>0</v>
      </c>
      <c r="E96" s="315">
        <v>0</v>
      </c>
      <c r="F96" s="315">
        <v>0</v>
      </c>
      <c r="G96" s="315">
        <v>0</v>
      </c>
      <c r="H96" s="315">
        <v>0</v>
      </c>
      <c r="I96" s="315">
        <v>0</v>
      </c>
      <c r="J96" s="315">
        <v>0</v>
      </c>
      <c r="K96" s="315">
        <v>0</v>
      </c>
      <c r="L96" s="315">
        <v>322.13200000000001</v>
      </c>
      <c r="M96" s="315">
        <v>8121.1600000000008</v>
      </c>
      <c r="N96" s="315">
        <v>336.28399999999999</v>
      </c>
      <c r="O96" s="315">
        <v>0</v>
      </c>
      <c r="P96" s="315">
        <v>0</v>
      </c>
      <c r="Q96" s="315">
        <v>0</v>
      </c>
      <c r="R96" s="315">
        <v>0</v>
      </c>
      <c r="S96" s="315">
        <v>0</v>
      </c>
      <c r="T96" s="315">
        <v>0</v>
      </c>
      <c r="U96" s="315">
        <v>0</v>
      </c>
      <c r="V96" s="315">
        <v>0</v>
      </c>
      <c r="W96" s="315">
        <v>0</v>
      </c>
      <c r="X96" s="315">
        <v>0</v>
      </c>
      <c r="Y96" s="315">
        <v>0</v>
      </c>
      <c r="Z96" s="315">
        <v>0</v>
      </c>
      <c r="AA96" s="315">
        <v>0</v>
      </c>
      <c r="AB96" s="315">
        <v>13456</v>
      </c>
      <c r="AC96" s="315">
        <v>0</v>
      </c>
      <c r="AD96" s="315">
        <v>0</v>
      </c>
      <c r="AE96" s="315">
        <v>0</v>
      </c>
      <c r="AF96" s="315">
        <v>0</v>
      </c>
      <c r="AG96" s="315">
        <v>0</v>
      </c>
      <c r="AH96" s="315">
        <v>0</v>
      </c>
      <c r="AI96" s="315">
        <v>0</v>
      </c>
      <c r="AJ96" s="315">
        <v>0</v>
      </c>
      <c r="AK96" s="315">
        <v>0</v>
      </c>
      <c r="AL96" s="315">
        <v>0</v>
      </c>
      <c r="AM96" s="315">
        <v>0</v>
      </c>
      <c r="AN96" s="315">
        <v>0</v>
      </c>
      <c r="AO96" s="315" t="e">
        <v>#N/A</v>
      </c>
      <c r="AQ96" s="326" t="str">
        <f t="shared" si="86"/>
        <v>P7 100 X 190</v>
      </c>
      <c r="AR96" s="326">
        <f t="shared" si="87"/>
        <v>0</v>
      </c>
      <c r="AS96" s="326">
        <f t="shared" si="88"/>
        <v>0</v>
      </c>
      <c r="AT96" s="326">
        <f t="shared" si="89"/>
        <v>0</v>
      </c>
      <c r="AU96" s="326">
        <f t="shared" si="90"/>
        <v>0</v>
      </c>
      <c r="AV96" s="326">
        <f t="shared" si="91"/>
        <v>0</v>
      </c>
      <c r="AW96" s="326">
        <f t="shared" si="92"/>
        <v>0</v>
      </c>
      <c r="AX96" s="326">
        <f t="shared" si="93"/>
        <v>0</v>
      </c>
      <c r="AY96" s="326">
        <f t="shared" si="94"/>
        <v>0</v>
      </c>
      <c r="AZ96" s="326">
        <f t="shared" si="95"/>
        <v>0</v>
      </c>
      <c r="BA96" s="326">
        <f t="shared" si="96"/>
        <v>0</v>
      </c>
      <c r="BB96" s="326">
        <f t="shared" si="97"/>
        <v>5.8491240688931487</v>
      </c>
      <c r="BC96" s="326">
        <f t="shared" si="98"/>
        <v>129.17369343497705</v>
      </c>
      <c r="BD96" s="326">
        <f t="shared" si="99"/>
        <v>7.0854632897578851</v>
      </c>
      <c r="BE96" s="326">
        <f t="shared" si="100"/>
        <v>0</v>
      </c>
      <c r="BF96" s="326">
        <f t="shared" si="101"/>
        <v>0</v>
      </c>
      <c r="BG96" s="326">
        <f t="shared" si="102"/>
        <v>0</v>
      </c>
      <c r="BH96" s="326">
        <f t="shared" si="103"/>
        <v>0</v>
      </c>
      <c r="BI96" s="326">
        <f t="shared" si="104"/>
        <v>0</v>
      </c>
      <c r="BJ96" s="326">
        <f t="shared" si="105"/>
        <v>0</v>
      </c>
      <c r="BK96" s="326">
        <f t="shared" si="106"/>
        <v>0</v>
      </c>
      <c r="BL96" s="326">
        <f t="shared" si="107"/>
        <v>0</v>
      </c>
      <c r="BM96" s="326">
        <f t="shared" si="108"/>
        <v>0</v>
      </c>
      <c r="BN96" s="326">
        <f t="shared" si="109"/>
        <v>0</v>
      </c>
      <c r="BO96" s="326">
        <f t="shared" si="110"/>
        <v>0</v>
      </c>
      <c r="BP96" s="326">
        <f t="shared" si="111"/>
        <v>0</v>
      </c>
      <c r="BQ96" s="326">
        <f t="shared" si="112"/>
        <v>0</v>
      </c>
      <c r="BR96" s="326">
        <f t="shared" si="113"/>
        <v>208.97383536719752</v>
      </c>
      <c r="BS96" s="326">
        <f t="shared" si="114"/>
        <v>0</v>
      </c>
      <c r="BT96" s="326">
        <f t="shared" si="115"/>
        <v>0</v>
      </c>
      <c r="BU96" s="326">
        <f t="shared" si="116"/>
        <v>0</v>
      </c>
      <c r="BV96" s="326">
        <f t="shared" si="117"/>
        <v>0</v>
      </c>
      <c r="BW96" s="326">
        <f t="shared" si="118"/>
        <v>0</v>
      </c>
      <c r="BX96" s="326">
        <f t="shared" si="119"/>
        <v>0</v>
      </c>
      <c r="BY96" s="326">
        <f t="shared" si="120"/>
        <v>0</v>
      </c>
      <c r="BZ96" s="326">
        <f t="shared" si="121"/>
        <v>0</v>
      </c>
      <c r="CA96" s="326">
        <f t="shared" si="122"/>
        <v>0</v>
      </c>
      <c r="CB96" s="326">
        <f t="shared" si="123"/>
        <v>0</v>
      </c>
      <c r="CC96" s="326">
        <f t="shared" si="124"/>
        <v>0</v>
      </c>
      <c r="CD96" s="326">
        <f t="shared" si="125"/>
        <v>0</v>
      </c>
      <c r="CE96" s="315"/>
      <c r="CG96" s="326" t="str">
        <f t="shared" si="72"/>
        <v>P7 100 X 190</v>
      </c>
      <c r="CH96" s="326">
        <f t="shared" si="73"/>
        <v>0</v>
      </c>
      <c r="CI96" s="326">
        <f t="shared" si="74"/>
        <v>0</v>
      </c>
      <c r="CJ96" s="326">
        <f t="shared" si="75"/>
        <v>0</v>
      </c>
      <c r="CK96" s="326">
        <f t="shared" si="76"/>
        <v>0</v>
      </c>
      <c r="CL96" s="326">
        <f t="shared" si="77"/>
        <v>0</v>
      </c>
      <c r="CM96">
        <v>0</v>
      </c>
      <c r="CN96">
        <v>0</v>
      </c>
      <c r="CO96">
        <v>0</v>
      </c>
      <c r="CP96" s="326">
        <f t="shared" si="126"/>
        <v>0</v>
      </c>
      <c r="CQ96" s="326">
        <f t="shared" si="131"/>
        <v>5.8491240688931487</v>
      </c>
      <c r="CR96" s="326">
        <f t="shared" si="127"/>
        <v>129.17369343497705</v>
      </c>
      <c r="CS96" s="326">
        <f t="shared" si="128"/>
        <v>7.0854632897578851</v>
      </c>
      <c r="CT96" s="326">
        <f t="shared" si="129"/>
        <v>0</v>
      </c>
      <c r="CU96" s="326">
        <f t="shared" si="130"/>
        <v>0</v>
      </c>
      <c r="CV96" s="326">
        <f t="shared" si="79"/>
        <v>0</v>
      </c>
      <c r="CW96" s="326">
        <f t="shared" si="80"/>
        <v>0</v>
      </c>
      <c r="CX96" s="326">
        <f t="shared" si="81"/>
        <v>0</v>
      </c>
      <c r="CY96" s="326">
        <f t="shared" si="82"/>
        <v>0</v>
      </c>
      <c r="CZ96" s="326">
        <f t="shared" si="83"/>
        <v>0</v>
      </c>
      <c r="DA96" s="326">
        <f t="shared" si="84"/>
        <v>0</v>
      </c>
      <c r="DB96" s="326">
        <f t="shared" si="85"/>
        <v>0</v>
      </c>
      <c r="DC96" s="326"/>
    </row>
    <row r="97" spans="1:107 2757:2797" x14ac:dyDescent="0.25">
      <c r="A97" s="315" t="str">
        <v>P9 100 X 190</v>
      </c>
      <c r="B97" s="315">
        <v>0</v>
      </c>
      <c r="C97" s="315">
        <v>0</v>
      </c>
      <c r="D97" s="315">
        <v>0</v>
      </c>
      <c r="E97" s="315">
        <v>0</v>
      </c>
      <c r="F97" s="315">
        <v>0</v>
      </c>
      <c r="G97" s="315">
        <v>0</v>
      </c>
      <c r="H97" s="315">
        <v>0</v>
      </c>
      <c r="I97" s="315">
        <v>0</v>
      </c>
      <c r="J97" s="315">
        <v>0</v>
      </c>
      <c r="K97" s="315">
        <v>0</v>
      </c>
      <c r="L97" s="315">
        <v>333.06399999999996</v>
      </c>
      <c r="M97" s="315">
        <v>5317.12</v>
      </c>
      <c r="N97" s="315">
        <v>359.476</v>
      </c>
      <c r="O97" s="315">
        <v>0</v>
      </c>
      <c r="P97" s="315">
        <v>0</v>
      </c>
      <c r="Q97" s="315">
        <v>0</v>
      </c>
      <c r="R97" s="315">
        <v>0</v>
      </c>
      <c r="S97" s="315">
        <v>0</v>
      </c>
      <c r="T97" s="315">
        <v>0</v>
      </c>
      <c r="U97" s="315">
        <v>0</v>
      </c>
      <c r="V97" s="315">
        <v>0</v>
      </c>
      <c r="W97" s="315">
        <v>0</v>
      </c>
      <c r="X97" s="315">
        <v>0</v>
      </c>
      <c r="Y97" s="315">
        <v>0</v>
      </c>
      <c r="Z97" s="315">
        <v>0</v>
      </c>
      <c r="AA97" s="315">
        <v>0</v>
      </c>
      <c r="AB97" s="315">
        <v>15376</v>
      </c>
      <c r="AC97" s="315">
        <v>0</v>
      </c>
      <c r="AD97" s="315">
        <v>0</v>
      </c>
      <c r="AE97" s="315">
        <v>0</v>
      </c>
      <c r="AF97" s="315">
        <v>0</v>
      </c>
      <c r="AG97" s="315">
        <v>0</v>
      </c>
      <c r="AH97" s="315">
        <v>0</v>
      </c>
      <c r="AI97" s="315">
        <v>0</v>
      </c>
      <c r="AJ97" s="315">
        <v>0</v>
      </c>
      <c r="AK97" s="315">
        <v>0</v>
      </c>
      <c r="AL97" s="315">
        <v>0</v>
      </c>
      <c r="AM97" s="315">
        <v>0</v>
      </c>
      <c r="AN97" s="315">
        <v>0</v>
      </c>
      <c r="AO97" s="315" t="e">
        <v>#N/A</v>
      </c>
      <c r="AQ97" s="326" t="str">
        <f t="shared" si="86"/>
        <v>P9 100 X 190</v>
      </c>
      <c r="AR97" s="326">
        <f t="shared" si="87"/>
        <v>0</v>
      </c>
      <c r="AS97" s="326">
        <f t="shared" si="88"/>
        <v>0</v>
      </c>
      <c r="AT97" s="326">
        <f t="shared" si="89"/>
        <v>0</v>
      </c>
      <c r="AU97" s="326">
        <f t="shared" si="90"/>
        <v>0</v>
      </c>
      <c r="AV97" s="326">
        <f t="shared" si="91"/>
        <v>0</v>
      </c>
      <c r="AW97" s="326">
        <f t="shared" si="92"/>
        <v>0</v>
      </c>
      <c r="AX97" s="326">
        <f t="shared" si="93"/>
        <v>0</v>
      </c>
      <c r="AY97" s="326">
        <f t="shared" si="94"/>
        <v>0</v>
      </c>
      <c r="AZ97" s="326">
        <f t="shared" si="95"/>
        <v>0</v>
      </c>
      <c r="BA97" s="326">
        <f t="shared" si="96"/>
        <v>0</v>
      </c>
      <c r="BB97" s="326">
        <f t="shared" si="97"/>
        <v>6.1213443621261208</v>
      </c>
      <c r="BC97" s="326">
        <f t="shared" si="98"/>
        <v>85.438395203138342</v>
      </c>
      <c r="BD97" s="326">
        <f t="shared" si="99"/>
        <v>7.5741159304308425</v>
      </c>
      <c r="BE97" s="326">
        <f t="shared" si="100"/>
        <v>0</v>
      </c>
      <c r="BF97" s="326">
        <f t="shared" si="101"/>
        <v>0</v>
      </c>
      <c r="BG97" s="326">
        <f t="shared" si="102"/>
        <v>0</v>
      </c>
      <c r="BH97" s="326">
        <f t="shared" si="103"/>
        <v>0</v>
      </c>
      <c r="BI97" s="326">
        <f t="shared" si="104"/>
        <v>0</v>
      </c>
      <c r="BJ97" s="326">
        <f t="shared" si="105"/>
        <v>0</v>
      </c>
      <c r="BK97" s="326">
        <f t="shared" si="106"/>
        <v>0</v>
      </c>
      <c r="BL97" s="326">
        <f t="shared" si="107"/>
        <v>0</v>
      </c>
      <c r="BM97" s="326">
        <f t="shared" si="108"/>
        <v>0</v>
      </c>
      <c r="BN97" s="326">
        <f t="shared" si="109"/>
        <v>0</v>
      </c>
      <c r="BO97" s="326">
        <f t="shared" si="110"/>
        <v>0</v>
      </c>
      <c r="BP97" s="326">
        <f t="shared" si="111"/>
        <v>0</v>
      </c>
      <c r="BQ97" s="326">
        <f t="shared" si="112"/>
        <v>0</v>
      </c>
      <c r="BR97" s="326">
        <f t="shared" si="113"/>
        <v>238.66006839018283</v>
      </c>
      <c r="BS97" s="326">
        <f t="shared" si="114"/>
        <v>0</v>
      </c>
      <c r="BT97" s="326">
        <f t="shared" si="115"/>
        <v>0</v>
      </c>
      <c r="BU97" s="326">
        <f t="shared" si="116"/>
        <v>0</v>
      </c>
      <c r="BV97" s="326">
        <f t="shared" si="117"/>
        <v>0</v>
      </c>
      <c r="BW97" s="326">
        <f t="shared" si="118"/>
        <v>0</v>
      </c>
      <c r="BX97" s="326">
        <f t="shared" si="119"/>
        <v>0</v>
      </c>
      <c r="BY97" s="326">
        <f t="shared" si="120"/>
        <v>0</v>
      </c>
      <c r="BZ97" s="326">
        <f t="shared" si="121"/>
        <v>0</v>
      </c>
      <c r="CA97" s="326">
        <f t="shared" si="122"/>
        <v>0</v>
      </c>
      <c r="CB97" s="326">
        <f t="shared" si="123"/>
        <v>0</v>
      </c>
      <c r="CC97" s="326">
        <f t="shared" si="124"/>
        <v>0</v>
      </c>
      <c r="CD97" s="326">
        <f t="shared" si="125"/>
        <v>0</v>
      </c>
      <c r="CE97" s="315"/>
      <c r="CG97" s="326" t="str">
        <f t="shared" si="72"/>
        <v>P9 100 X 190</v>
      </c>
      <c r="CH97" s="326">
        <f t="shared" si="73"/>
        <v>0</v>
      </c>
      <c r="CI97" s="326">
        <f t="shared" si="74"/>
        <v>0</v>
      </c>
      <c r="CJ97" s="326">
        <f t="shared" si="75"/>
        <v>0</v>
      </c>
      <c r="CK97" s="326">
        <f t="shared" si="76"/>
        <v>0</v>
      </c>
      <c r="CL97" s="326">
        <f t="shared" si="77"/>
        <v>0</v>
      </c>
      <c r="CM97">
        <v>0</v>
      </c>
      <c r="CN97">
        <v>0</v>
      </c>
      <c r="CO97">
        <v>0</v>
      </c>
      <c r="CP97" s="326">
        <f t="shared" si="126"/>
        <v>0</v>
      </c>
      <c r="CQ97" s="326">
        <f t="shared" si="131"/>
        <v>6.1213443621261208</v>
      </c>
      <c r="CR97" s="326">
        <f t="shared" si="127"/>
        <v>85.438395203138342</v>
      </c>
      <c r="CS97" s="326">
        <f t="shared" si="128"/>
        <v>7.5741159304308425</v>
      </c>
      <c r="CT97" s="326">
        <f t="shared" si="129"/>
        <v>0</v>
      </c>
      <c r="CU97" s="326">
        <f t="shared" si="130"/>
        <v>0</v>
      </c>
      <c r="CV97" s="326">
        <f t="shared" si="79"/>
        <v>0</v>
      </c>
      <c r="CW97" s="326">
        <f t="shared" si="80"/>
        <v>0</v>
      </c>
      <c r="CX97" s="326">
        <f t="shared" si="81"/>
        <v>0</v>
      </c>
      <c r="CY97" s="326">
        <f t="shared" si="82"/>
        <v>0</v>
      </c>
      <c r="CZ97" s="326">
        <f t="shared" si="83"/>
        <v>0</v>
      </c>
      <c r="DA97" s="326">
        <f t="shared" si="84"/>
        <v>0</v>
      </c>
      <c r="DB97" s="326">
        <f t="shared" si="85"/>
        <v>0</v>
      </c>
      <c r="DC97" s="326"/>
    </row>
    <row r="98" spans="1:107 2757:2797" x14ac:dyDescent="0.25">
      <c r="A98" s="315" t="str">
        <v>P8 100 X 190</v>
      </c>
      <c r="B98" s="315">
        <v>0</v>
      </c>
      <c r="C98" s="315">
        <v>0</v>
      </c>
      <c r="D98" s="315">
        <v>0</v>
      </c>
      <c r="E98" s="315">
        <v>0</v>
      </c>
      <c r="F98" s="315">
        <v>0</v>
      </c>
      <c r="G98" s="315">
        <v>0</v>
      </c>
      <c r="H98" s="315">
        <v>0</v>
      </c>
      <c r="I98" s="315">
        <v>0</v>
      </c>
      <c r="J98" s="315">
        <v>0</v>
      </c>
      <c r="K98" s="315">
        <v>0</v>
      </c>
      <c r="L98" s="315">
        <v>284.98599999999999</v>
      </c>
      <c r="M98" s="315">
        <v>4871.6786000000002</v>
      </c>
      <c r="N98" s="315">
        <v>327.58699999999999</v>
      </c>
      <c r="O98" s="315">
        <v>0</v>
      </c>
      <c r="P98" s="315">
        <v>0</v>
      </c>
      <c r="Q98" s="315">
        <v>0</v>
      </c>
      <c r="R98" s="315">
        <v>0</v>
      </c>
      <c r="S98" s="315">
        <v>0</v>
      </c>
      <c r="T98" s="315">
        <v>0</v>
      </c>
      <c r="U98" s="315">
        <v>0</v>
      </c>
      <c r="V98" s="315">
        <v>0</v>
      </c>
      <c r="W98" s="315">
        <v>0</v>
      </c>
      <c r="X98" s="315">
        <v>0</v>
      </c>
      <c r="Y98" s="315">
        <v>0</v>
      </c>
      <c r="Z98" s="315">
        <v>0</v>
      </c>
      <c r="AA98" s="315">
        <v>0</v>
      </c>
      <c r="AB98" s="315">
        <v>12769</v>
      </c>
      <c r="AC98" s="315">
        <v>0</v>
      </c>
      <c r="AD98" s="315">
        <v>0</v>
      </c>
      <c r="AE98" s="315">
        <v>0</v>
      </c>
      <c r="AF98" s="315">
        <v>0</v>
      </c>
      <c r="AG98" s="315">
        <v>0</v>
      </c>
      <c r="AH98" s="315">
        <v>0</v>
      </c>
      <c r="AI98" s="315">
        <v>0</v>
      </c>
      <c r="AJ98" s="315">
        <v>0</v>
      </c>
      <c r="AK98" s="315">
        <v>0</v>
      </c>
      <c r="AL98" s="315">
        <v>0</v>
      </c>
      <c r="AM98" s="315">
        <v>0</v>
      </c>
      <c r="AN98" s="315">
        <v>0</v>
      </c>
      <c r="AO98" s="315" t="e">
        <v>#N/A</v>
      </c>
      <c r="AQ98" s="326" t="str">
        <f t="shared" si="86"/>
        <v>P8 100 X 190</v>
      </c>
      <c r="AR98" s="326">
        <f t="shared" si="87"/>
        <v>0</v>
      </c>
      <c r="AS98" s="326">
        <f t="shared" si="88"/>
        <v>0</v>
      </c>
      <c r="AT98" s="326">
        <f t="shared" si="89"/>
        <v>0</v>
      </c>
      <c r="AU98" s="326">
        <f t="shared" si="90"/>
        <v>0</v>
      </c>
      <c r="AV98" s="326">
        <f t="shared" si="91"/>
        <v>0</v>
      </c>
      <c r="AW98" s="326">
        <f t="shared" si="92"/>
        <v>0</v>
      </c>
      <c r="AX98" s="326">
        <f t="shared" si="93"/>
        <v>0</v>
      </c>
      <c r="AY98" s="326">
        <f t="shared" si="94"/>
        <v>0</v>
      </c>
      <c r="AZ98" s="326">
        <f t="shared" si="95"/>
        <v>0</v>
      </c>
      <c r="BA98" s="326">
        <f t="shared" si="96"/>
        <v>0</v>
      </c>
      <c r="BB98" s="326">
        <f t="shared" si="97"/>
        <v>5.3545695956902586</v>
      </c>
      <c r="BC98" s="326">
        <f t="shared" si="98"/>
        <v>78.353838821640338</v>
      </c>
      <c r="BD98" s="326">
        <f t="shared" si="99"/>
        <v>6.9022185495055259</v>
      </c>
      <c r="BE98" s="326">
        <f t="shared" si="100"/>
        <v>0</v>
      </c>
      <c r="BF98" s="326">
        <f t="shared" si="101"/>
        <v>0</v>
      </c>
      <c r="BG98" s="326">
        <f t="shared" si="102"/>
        <v>0</v>
      </c>
      <c r="BH98" s="326">
        <f t="shared" si="103"/>
        <v>0</v>
      </c>
      <c r="BI98" s="326">
        <f t="shared" si="104"/>
        <v>0</v>
      </c>
      <c r="BJ98" s="326">
        <f t="shared" si="105"/>
        <v>0</v>
      </c>
      <c r="BK98" s="326">
        <f t="shared" si="106"/>
        <v>0</v>
      </c>
      <c r="BL98" s="326">
        <f t="shared" si="107"/>
        <v>0</v>
      </c>
      <c r="BM98" s="326">
        <f t="shared" si="108"/>
        <v>0</v>
      </c>
      <c r="BN98" s="326">
        <f t="shared" si="109"/>
        <v>0</v>
      </c>
      <c r="BO98" s="326">
        <f t="shared" si="110"/>
        <v>0</v>
      </c>
      <c r="BP98" s="326">
        <f t="shared" si="111"/>
        <v>0</v>
      </c>
      <c r="BQ98" s="326">
        <f t="shared" si="112"/>
        <v>0</v>
      </c>
      <c r="BR98" s="326">
        <f t="shared" si="113"/>
        <v>198.3496129678926</v>
      </c>
      <c r="BS98" s="326">
        <f t="shared" si="114"/>
        <v>0</v>
      </c>
      <c r="BT98" s="326">
        <f t="shared" si="115"/>
        <v>0</v>
      </c>
      <c r="BU98" s="326">
        <f t="shared" si="116"/>
        <v>0</v>
      </c>
      <c r="BV98" s="326">
        <f t="shared" si="117"/>
        <v>0</v>
      </c>
      <c r="BW98" s="326">
        <f t="shared" si="118"/>
        <v>0</v>
      </c>
      <c r="BX98" s="326">
        <f t="shared" si="119"/>
        <v>0</v>
      </c>
      <c r="BY98" s="326">
        <f t="shared" si="120"/>
        <v>0</v>
      </c>
      <c r="BZ98" s="326">
        <f t="shared" si="121"/>
        <v>0</v>
      </c>
      <c r="CA98" s="326">
        <f t="shared" si="122"/>
        <v>0</v>
      </c>
      <c r="CB98" s="326">
        <f t="shared" si="123"/>
        <v>0</v>
      </c>
      <c r="CC98" s="326">
        <f t="shared" si="124"/>
        <v>0</v>
      </c>
      <c r="CD98" s="326">
        <f t="shared" si="125"/>
        <v>0</v>
      </c>
      <c r="CE98" s="315"/>
      <c r="CG98" s="326" t="str">
        <f t="shared" si="72"/>
        <v>P8 100 X 190</v>
      </c>
      <c r="CH98" s="326">
        <f t="shared" si="73"/>
        <v>0</v>
      </c>
      <c r="CI98" s="326">
        <f t="shared" si="74"/>
        <v>0</v>
      </c>
      <c r="CJ98" s="326">
        <f t="shared" si="75"/>
        <v>0</v>
      </c>
      <c r="CK98" s="326">
        <f t="shared" si="76"/>
        <v>0</v>
      </c>
      <c r="CL98" s="326">
        <f t="shared" si="77"/>
        <v>0</v>
      </c>
      <c r="CM98">
        <v>0</v>
      </c>
      <c r="CN98">
        <v>0</v>
      </c>
      <c r="CO98">
        <v>0</v>
      </c>
      <c r="CP98" s="326">
        <f t="shared" si="126"/>
        <v>0</v>
      </c>
      <c r="CQ98" s="326">
        <f t="shared" si="131"/>
        <v>5.3545695956902586</v>
      </c>
      <c r="CR98" s="326">
        <f t="shared" si="127"/>
        <v>78.353838821640338</v>
      </c>
      <c r="CS98" s="326">
        <f t="shared" si="128"/>
        <v>6.9022185495055259</v>
      </c>
      <c r="CT98" s="326">
        <f t="shared" si="129"/>
        <v>0</v>
      </c>
      <c r="CU98" s="326">
        <f t="shared" si="130"/>
        <v>0</v>
      </c>
      <c r="CV98" s="326">
        <f t="shared" si="79"/>
        <v>0</v>
      </c>
      <c r="CW98" s="326">
        <f t="shared" si="80"/>
        <v>0</v>
      </c>
      <c r="CX98" s="326">
        <f t="shared" si="81"/>
        <v>0</v>
      </c>
      <c r="CY98" s="326">
        <f t="shared" si="82"/>
        <v>0</v>
      </c>
      <c r="CZ98" s="326">
        <f t="shared" si="83"/>
        <v>0</v>
      </c>
      <c r="DA98" s="326">
        <f t="shared" si="84"/>
        <v>0</v>
      </c>
      <c r="DB98" s="326">
        <f t="shared" si="85"/>
        <v>0</v>
      </c>
      <c r="DC98" s="326"/>
    </row>
    <row r="99" spans="1:107 2757:2797" x14ac:dyDescent="0.25">
      <c r="A99" s="315" t="str">
        <v>P10 100 x 190</v>
      </c>
      <c r="B99" s="315">
        <v>0</v>
      </c>
      <c r="C99" s="315">
        <v>0</v>
      </c>
      <c r="D99" s="315">
        <v>0</v>
      </c>
      <c r="E99" s="315">
        <v>0</v>
      </c>
      <c r="F99" s="315">
        <v>0</v>
      </c>
      <c r="G99" s="315">
        <v>0</v>
      </c>
      <c r="H99" s="315">
        <v>0</v>
      </c>
      <c r="I99" s="315">
        <v>0</v>
      </c>
      <c r="J99" s="315">
        <v>0</v>
      </c>
      <c r="K99" s="315">
        <v>148.60169999999999</v>
      </c>
      <c r="L99" s="315">
        <v>452.41300000000001</v>
      </c>
      <c r="M99" s="315">
        <v>7696.26</v>
      </c>
      <c r="N99" s="315">
        <v>489.93099999999998</v>
      </c>
      <c r="O99" s="315">
        <v>0</v>
      </c>
      <c r="P99" s="315">
        <v>0</v>
      </c>
      <c r="Q99" s="315">
        <v>0</v>
      </c>
      <c r="R99" s="315">
        <v>0</v>
      </c>
      <c r="S99" s="315">
        <v>0</v>
      </c>
      <c r="T99" s="315">
        <v>0</v>
      </c>
      <c r="U99" s="315">
        <v>0</v>
      </c>
      <c r="V99" s="315">
        <v>0</v>
      </c>
      <c r="W99" s="315">
        <v>0</v>
      </c>
      <c r="X99" s="315">
        <v>0</v>
      </c>
      <c r="Y99" s="315">
        <v>0</v>
      </c>
      <c r="Z99" s="315">
        <v>0</v>
      </c>
      <c r="AA99" s="315">
        <v>0</v>
      </c>
      <c r="AB99" s="315">
        <v>28561</v>
      </c>
      <c r="AC99" s="315">
        <v>0</v>
      </c>
      <c r="AD99" s="315">
        <v>0</v>
      </c>
      <c r="AE99" s="315">
        <v>0</v>
      </c>
      <c r="AF99" s="315">
        <v>0</v>
      </c>
      <c r="AG99" s="315">
        <v>0</v>
      </c>
      <c r="AH99" s="315">
        <v>0</v>
      </c>
      <c r="AI99" s="315">
        <v>0</v>
      </c>
      <c r="AJ99" s="315">
        <v>0</v>
      </c>
      <c r="AK99" s="315">
        <v>0</v>
      </c>
      <c r="AL99" s="315">
        <v>0</v>
      </c>
      <c r="AM99" s="315">
        <v>0</v>
      </c>
      <c r="AN99" s="315">
        <v>0</v>
      </c>
      <c r="AO99" s="315" t="e">
        <v>#N/A</v>
      </c>
      <c r="AQ99" s="326" t="str">
        <f t="shared" si="86"/>
        <v>P10 100 x 190</v>
      </c>
      <c r="AR99" s="326">
        <f t="shared" si="87"/>
        <v>0</v>
      </c>
      <c r="AS99" s="326">
        <f t="shared" si="88"/>
        <v>0</v>
      </c>
      <c r="AT99" s="326">
        <f t="shared" si="89"/>
        <v>0</v>
      </c>
      <c r="AU99" s="326">
        <f t="shared" si="90"/>
        <v>0</v>
      </c>
      <c r="AV99" s="326">
        <f t="shared" si="91"/>
        <v>0</v>
      </c>
      <c r="AW99" s="326">
        <f t="shared" si="92"/>
        <v>0</v>
      </c>
      <c r="AX99" s="326">
        <f t="shared" si="93"/>
        <v>0</v>
      </c>
      <c r="AY99" s="326">
        <f t="shared" si="94"/>
        <v>0</v>
      </c>
      <c r="AZ99" s="326">
        <f t="shared" si="95"/>
        <v>0</v>
      </c>
      <c r="BA99" s="326">
        <f t="shared" si="96"/>
        <v>2.6229819335744793</v>
      </c>
      <c r="BB99" s="326">
        <f t="shared" si="97"/>
        <v>8.5747309096950701</v>
      </c>
      <c r="BC99" s="326">
        <f t="shared" si="98"/>
        <v>122.5359317976411</v>
      </c>
      <c r="BD99" s="326">
        <f t="shared" si="99"/>
        <v>10.32278703421623</v>
      </c>
      <c r="BE99" s="326">
        <f t="shared" si="100"/>
        <v>0</v>
      </c>
      <c r="BF99" s="326">
        <f t="shared" si="101"/>
        <v>0</v>
      </c>
      <c r="BG99" s="326">
        <f t="shared" si="102"/>
        <v>0</v>
      </c>
      <c r="BH99" s="326">
        <f t="shared" si="103"/>
        <v>0</v>
      </c>
      <c r="BI99" s="326">
        <f t="shared" si="104"/>
        <v>0</v>
      </c>
      <c r="BJ99" s="326">
        <f t="shared" si="105"/>
        <v>0</v>
      </c>
      <c r="BK99" s="326">
        <f t="shared" si="106"/>
        <v>0</v>
      </c>
      <c r="BL99" s="326">
        <f t="shared" si="107"/>
        <v>0</v>
      </c>
      <c r="BM99" s="326">
        <f t="shared" si="108"/>
        <v>0</v>
      </c>
      <c r="BN99" s="326">
        <f t="shared" si="109"/>
        <v>0</v>
      </c>
      <c r="BO99" s="326">
        <f t="shared" si="110"/>
        <v>0</v>
      </c>
      <c r="BP99" s="326">
        <f t="shared" si="111"/>
        <v>0</v>
      </c>
      <c r="BQ99" s="326">
        <f t="shared" si="112"/>
        <v>0</v>
      </c>
      <c r="BR99" s="326">
        <f t="shared" si="113"/>
        <v>442.36798482902924</v>
      </c>
      <c r="BS99" s="326">
        <f t="shared" si="114"/>
        <v>0</v>
      </c>
      <c r="BT99" s="326">
        <f t="shared" si="115"/>
        <v>0</v>
      </c>
      <c r="BU99" s="326">
        <f t="shared" si="116"/>
        <v>0</v>
      </c>
      <c r="BV99" s="326">
        <f t="shared" si="117"/>
        <v>0</v>
      </c>
      <c r="BW99" s="326">
        <f t="shared" si="118"/>
        <v>0</v>
      </c>
      <c r="BX99" s="326">
        <f t="shared" si="119"/>
        <v>0</v>
      </c>
      <c r="BY99" s="326">
        <f t="shared" si="120"/>
        <v>0</v>
      </c>
      <c r="BZ99" s="326">
        <f t="shared" si="121"/>
        <v>0</v>
      </c>
      <c r="CA99" s="326">
        <f t="shared" si="122"/>
        <v>0</v>
      </c>
      <c r="CB99" s="326">
        <f t="shared" si="123"/>
        <v>0</v>
      </c>
      <c r="CC99" s="326">
        <f t="shared" si="124"/>
        <v>0</v>
      </c>
      <c r="CD99" s="326">
        <f t="shared" si="125"/>
        <v>0</v>
      </c>
      <c r="CE99" s="315"/>
      <c r="CG99" s="326" t="str">
        <f t="shared" si="72"/>
        <v>P10 100 x 190</v>
      </c>
      <c r="CH99" s="326">
        <f t="shared" si="73"/>
        <v>0</v>
      </c>
      <c r="CI99" s="326">
        <f t="shared" si="74"/>
        <v>0</v>
      </c>
      <c r="CJ99" s="326">
        <f t="shared" si="75"/>
        <v>0</v>
      </c>
      <c r="CK99" s="326">
        <f t="shared" si="76"/>
        <v>0</v>
      </c>
      <c r="CL99" s="326">
        <f t="shared" si="77"/>
        <v>0</v>
      </c>
      <c r="CM99">
        <v>0</v>
      </c>
      <c r="CN99">
        <v>0</v>
      </c>
      <c r="CO99">
        <v>0</v>
      </c>
      <c r="CP99" s="326">
        <f t="shared" si="126"/>
        <v>2.6229819335744793</v>
      </c>
      <c r="CQ99" s="326">
        <f t="shared" si="131"/>
        <v>8.5747309096950701</v>
      </c>
      <c r="CR99" s="326">
        <f t="shared" si="127"/>
        <v>122.5359317976411</v>
      </c>
      <c r="CS99" s="326">
        <f t="shared" si="128"/>
        <v>10.32278703421623</v>
      </c>
      <c r="CT99" s="326">
        <f t="shared" si="129"/>
        <v>0</v>
      </c>
      <c r="CU99" s="326">
        <f t="shared" si="130"/>
        <v>0</v>
      </c>
      <c r="CV99" s="326">
        <f t="shared" si="79"/>
        <v>0</v>
      </c>
      <c r="CW99" s="326">
        <f t="shared" si="80"/>
        <v>0</v>
      </c>
      <c r="CX99" s="326">
        <f t="shared" si="81"/>
        <v>0</v>
      </c>
      <c r="CY99" s="326">
        <f t="shared" si="82"/>
        <v>0</v>
      </c>
      <c r="CZ99" s="326">
        <f t="shared" si="83"/>
        <v>0</v>
      </c>
      <c r="DA99" s="326">
        <f t="shared" si="84"/>
        <v>0</v>
      </c>
      <c r="DB99" s="326">
        <f t="shared" si="85"/>
        <v>0</v>
      </c>
      <c r="DC99" s="326"/>
    </row>
    <row r="100" spans="1:107 2757:2797" x14ac:dyDescent="0.25">
      <c r="A100" s="348" t="str">
        <v>P5 100 x 190</v>
      </c>
      <c r="B100" s="348">
        <v>21742.080000000002</v>
      </c>
      <c r="C100" s="348">
        <v>0</v>
      </c>
      <c r="D100" s="348">
        <v>0</v>
      </c>
      <c r="E100" s="348">
        <v>0</v>
      </c>
      <c r="F100" s="348">
        <v>0</v>
      </c>
      <c r="G100" s="348">
        <v>0</v>
      </c>
      <c r="H100" s="348">
        <v>0</v>
      </c>
      <c r="I100" s="348">
        <v>0</v>
      </c>
      <c r="J100" s="348">
        <v>0</v>
      </c>
      <c r="K100" s="348">
        <v>0</v>
      </c>
      <c r="L100" s="348">
        <v>1139.8499999999999</v>
      </c>
      <c r="M100" s="348">
        <v>0</v>
      </c>
      <c r="N100" s="348">
        <v>0</v>
      </c>
      <c r="O100" s="348">
        <v>0</v>
      </c>
      <c r="P100" s="348">
        <v>0</v>
      </c>
      <c r="Q100" s="348">
        <v>0</v>
      </c>
      <c r="R100" s="348">
        <v>0</v>
      </c>
      <c r="S100" s="348">
        <v>0</v>
      </c>
      <c r="T100" s="348">
        <v>0</v>
      </c>
      <c r="U100" s="348">
        <v>0</v>
      </c>
      <c r="V100" s="348">
        <v>0</v>
      </c>
      <c r="W100" s="348">
        <v>0</v>
      </c>
      <c r="X100" s="348">
        <v>0</v>
      </c>
      <c r="Y100" s="348">
        <v>0</v>
      </c>
      <c r="Z100" s="348">
        <v>0</v>
      </c>
      <c r="AA100" s="348">
        <v>0</v>
      </c>
      <c r="AB100" s="348">
        <v>199809</v>
      </c>
      <c r="AC100" s="348">
        <v>0</v>
      </c>
      <c r="AD100" s="348">
        <v>0</v>
      </c>
      <c r="AE100" s="348">
        <v>0</v>
      </c>
      <c r="AF100" s="348">
        <v>0</v>
      </c>
      <c r="AG100" s="348">
        <v>0</v>
      </c>
      <c r="AH100" s="348">
        <v>0</v>
      </c>
      <c r="AI100" s="348">
        <v>0</v>
      </c>
      <c r="AJ100" s="348">
        <v>0</v>
      </c>
      <c r="AK100" s="348">
        <v>0</v>
      </c>
      <c r="AL100" s="348">
        <v>0</v>
      </c>
      <c r="AM100" s="348">
        <v>0</v>
      </c>
      <c r="AN100" s="348">
        <v>0</v>
      </c>
      <c r="AO100" s="348" t="e">
        <v>#N/A</v>
      </c>
      <c r="AQ100" s="326" t="str">
        <f t="shared" si="86"/>
        <v>P5 100 x 190</v>
      </c>
      <c r="AR100" s="326">
        <f t="shared" si="87"/>
        <v>339.46598556347402</v>
      </c>
      <c r="AS100" s="326">
        <f t="shared" si="88"/>
        <v>0</v>
      </c>
      <c r="AT100" s="326">
        <f t="shared" si="89"/>
        <v>0</v>
      </c>
      <c r="AU100" s="326">
        <f t="shared" si="90"/>
        <v>0</v>
      </c>
      <c r="AV100" s="326">
        <f t="shared" si="91"/>
        <v>0</v>
      </c>
      <c r="AW100" s="326">
        <f t="shared" si="92"/>
        <v>0</v>
      </c>
      <c r="AX100" s="326">
        <f t="shared" si="93"/>
        <v>0</v>
      </c>
      <c r="AY100" s="326">
        <f t="shared" si="94"/>
        <v>0</v>
      </c>
      <c r="AZ100" s="326">
        <f t="shared" si="95"/>
        <v>0</v>
      </c>
      <c r="BA100" s="326">
        <f t="shared" si="96"/>
        <v>0</v>
      </c>
      <c r="BB100" s="326">
        <f t="shared" si="97"/>
        <v>20.661710568540389</v>
      </c>
      <c r="BC100" s="326">
        <f t="shared" si="98"/>
        <v>0</v>
      </c>
      <c r="BD100" s="326">
        <f t="shared" si="99"/>
        <v>0</v>
      </c>
      <c r="BE100" s="326">
        <f t="shared" si="100"/>
        <v>0</v>
      </c>
      <c r="BF100" s="326">
        <f t="shared" si="101"/>
        <v>0</v>
      </c>
      <c r="BG100" s="326">
        <f t="shared" si="102"/>
        <v>0</v>
      </c>
      <c r="BH100" s="326">
        <f t="shared" si="103"/>
        <v>0</v>
      </c>
      <c r="BI100" s="326">
        <f t="shared" si="104"/>
        <v>0</v>
      </c>
      <c r="BJ100" s="326">
        <f t="shared" si="105"/>
        <v>0</v>
      </c>
      <c r="BK100" s="326">
        <f t="shared" si="106"/>
        <v>0</v>
      </c>
      <c r="BL100" s="326">
        <f t="shared" si="107"/>
        <v>0</v>
      </c>
      <c r="BM100" s="326">
        <f t="shared" si="108"/>
        <v>0</v>
      </c>
      <c r="BN100" s="326">
        <f t="shared" si="109"/>
        <v>0</v>
      </c>
      <c r="BO100" s="326">
        <f t="shared" si="110"/>
        <v>0</v>
      </c>
      <c r="BP100" s="326">
        <f t="shared" si="111"/>
        <v>0</v>
      </c>
      <c r="BQ100" s="326">
        <f t="shared" si="112"/>
        <v>0</v>
      </c>
      <c r="BR100" s="326">
        <f t="shared" si="113"/>
        <v>3083.426493906094</v>
      </c>
      <c r="BS100" s="326">
        <f t="shared" si="114"/>
        <v>0</v>
      </c>
      <c r="BT100" s="326">
        <f t="shared" si="115"/>
        <v>0</v>
      </c>
      <c r="BU100" s="326">
        <f t="shared" si="116"/>
        <v>0</v>
      </c>
      <c r="BV100" s="326">
        <f t="shared" si="117"/>
        <v>0</v>
      </c>
      <c r="BW100" s="326">
        <f t="shared" si="118"/>
        <v>0</v>
      </c>
      <c r="BX100" s="326">
        <f t="shared" si="119"/>
        <v>0</v>
      </c>
      <c r="BY100" s="326">
        <f t="shared" si="120"/>
        <v>0</v>
      </c>
      <c r="BZ100" s="326">
        <f t="shared" si="121"/>
        <v>0</v>
      </c>
      <c r="CA100" s="326">
        <f t="shared" si="122"/>
        <v>0</v>
      </c>
      <c r="CB100" s="326">
        <f t="shared" si="123"/>
        <v>0</v>
      </c>
      <c r="CC100" s="326">
        <f t="shared" si="124"/>
        <v>0</v>
      </c>
      <c r="CD100" s="326">
        <f t="shared" si="125"/>
        <v>0</v>
      </c>
      <c r="CE100" s="348"/>
      <c r="CG100" s="326" t="str">
        <f t="shared" si="72"/>
        <v>P5 100 x 190</v>
      </c>
      <c r="CH100" s="326">
        <f t="shared" si="73"/>
        <v>339.46598556347402</v>
      </c>
      <c r="CI100" s="326">
        <f t="shared" si="74"/>
        <v>0</v>
      </c>
      <c r="CJ100" s="326">
        <f t="shared" si="75"/>
        <v>0</v>
      </c>
      <c r="CK100" s="326">
        <f t="shared" si="76"/>
        <v>0</v>
      </c>
      <c r="CL100" s="326">
        <f t="shared" si="77"/>
        <v>0</v>
      </c>
      <c r="CM100">
        <v>0</v>
      </c>
      <c r="CN100">
        <v>0</v>
      </c>
      <c r="CO100">
        <v>0</v>
      </c>
      <c r="CP100" s="326">
        <f t="shared" si="126"/>
        <v>0</v>
      </c>
      <c r="CQ100" s="326">
        <f t="shared" si="131"/>
        <v>20.661710568540389</v>
      </c>
      <c r="CR100" s="326">
        <f t="shared" si="127"/>
        <v>0</v>
      </c>
      <c r="CS100" s="326">
        <f t="shared" si="128"/>
        <v>0</v>
      </c>
      <c r="CT100" s="326">
        <f t="shared" si="129"/>
        <v>0</v>
      </c>
      <c r="CU100" s="326">
        <f t="shared" si="130"/>
        <v>0</v>
      </c>
      <c r="CV100" s="326">
        <f t="shared" si="79"/>
        <v>0</v>
      </c>
      <c r="CW100" s="326">
        <f t="shared" si="80"/>
        <v>0</v>
      </c>
      <c r="CX100" s="326">
        <f t="shared" si="81"/>
        <v>0</v>
      </c>
      <c r="CY100" s="326">
        <f t="shared" si="82"/>
        <v>0</v>
      </c>
      <c r="CZ100" s="326">
        <f t="shared" si="83"/>
        <v>0</v>
      </c>
      <c r="DA100" s="326">
        <f t="shared" si="84"/>
        <v>0</v>
      </c>
      <c r="DB100" s="326">
        <f t="shared" si="85"/>
        <v>0</v>
      </c>
      <c r="DC100" s="326"/>
    </row>
    <row r="101" spans="1:107 2757:2797" x14ac:dyDescent="0.25">
      <c r="A101" s="366" t="str">
        <f>AE91</f>
        <v>Bloques</v>
      </c>
      <c r="B101" s="366"/>
      <c r="C101" s="366"/>
      <c r="D101" s="366"/>
      <c r="E101" s="366"/>
      <c r="F101" s="366"/>
      <c r="G101" s="366"/>
      <c r="H101" s="366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  <c r="S101" s="366"/>
      <c r="T101" s="366"/>
      <c r="U101" s="366"/>
      <c r="V101" s="366"/>
      <c r="W101" s="366"/>
      <c r="X101" s="366"/>
      <c r="Y101" s="366"/>
      <c r="Z101" s="366"/>
      <c r="AA101" s="366"/>
      <c r="AB101" s="366"/>
      <c r="AC101" s="366"/>
      <c r="AD101" s="366"/>
      <c r="AE101" s="366"/>
      <c r="AF101" s="366">
        <f>AF91</f>
        <v>111.24100000000001</v>
      </c>
      <c r="AG101" s="366">
        <f t="shared" ref="AG101:AN101" si="132">AG91</f>
        <v>5.0955000000000004</v>
      </c>
      <c r="AH101" s="366">
        <f t="shared" si="132"/>
        <v>5.9196666666666662</v>
      </c>
      <c r="AI101" s="366">
        <f t="shared" si="132"/>
        <v>234.47900000000001</v>
      </c>
      <c r="AJ101" s="366">
        <f t="shared" si="132"/>
        <v>247.67999999999998</v>
      </c>
      <c r="AK101" s="366">
        <f t="shared" si="132"/>
        <v>0</v>
      </c>
      <c r="AL101" s="366">
        <f t="shared" si="132"/>
        <v>0</v>
      </c>
      <c r="AM101" s="366">
        <f t="shared" si="132"/>
        <v>1849</v>
      </c>
      <c r="AN101" s="366">
        <f t="shared" si="132"/>
        <v>0</v>
      </c>
      <c r="AO101" s="366"/>
      <c r="AQ101" s="326" t="str">
        <f t="shared" si="86"/>
        <v>Bloques</v>
      </c>
      <c r="AR101" s="326">
        <f t="shared" si="87"/>
        <v>0</v>
      </c>
      <c r="AS101" s="326">
        <f t="shared" si="88"/>
        <v>0</v>
      </c>
      <c r="AT101" s="326">
        <f t="shared" si="89"/>
        <v>0</v>
      </c>
      <c r="AU101" s="326">
        <f t="shared" si="90"/>
        <v>0</v>
      </c>
      <c r="AV101" s="326">
        <f t="shared" si="91"/>
        <v>0</v>
      </c>
      <c r="AW101" s="326">
        <f t="shared" si="92"/>
        <v>0</v>
      </c>
      <c r="AX101" s="326">
        <f t="shared" si="93"/>
        <v>0</v>
      </c>
      <c r="AY101" s="326">
        <f t="shared" si="94"/>
        <v>0</v>
      </c>
      <c r="AZ101" s="326">
        <f t="shared" si="95"/>
        <v>0</v>
      </c>
      <c r="BA101" s="326">
        <f t="shared" si="96"/>
        <v>0</v>
      </c>
      <c r="BB101" s="326">
        <f t="shared" si="97"/>
        <v>0</v>
      </c>
      <c r="BC101" s="326">
        <f t="shared" si="98"/>
        <v>0</v>
      </c>
      <c r="BD101" s="326">
        <f t="shared" si="99"/>
        <v>0</v>
      </c>
      <c r="BE101" s="326">
        <f t="shared" si="100"/>
        <v>0</v>
      </c>
      <c r="BF101" s="326">
        <f t="shared" si="101"/>
        <v>0</v>
      </c>
      <c r="BG101" s="326">
        <f t="shared" si="102"/>
        <v>0</v>
      </c>
      <c r="BH101" s="326">
        <f t="shared" si="103"/>
        <v>0</v>
      </c>
      <c r="BI101" s="326">
        <f t="shared" si="104"/>
        <v>0</v>
      </c>
      <c r="BJ101" s="326">
        <f t="shared" si="105"/>
        <v>0</v>
      </c>
      <c r="BK101" s="326">
        <f t="shared" si="106"/>
        <v>0</v>
      </c>
      <c r="BL101" s="326">
        <f t="shared" si="107"/>
        <v>0</v>
      </c>
      <c r="BM101" s="326">
        <f t="shared" si="108"/>
        <v>0</v>
      </c>
      <c r="BN101" s="326">
        <f t="shared" si="109"/>
        <v>0</v>
      </c>
      <c r="BO101" s="326">
        <f t="shared" si="110"/>
        <v>0</v>
      </c>
      <c r="BP101" s="326">
        <f t="shared" si="111"/>
        <v>0</v>
      </c>
      <c r="BQ101" s="326">
        <f t="shared" si="112"/>
        <v>0</v>
      </c>
      <c r="BR101" s="326">
        <f t="shared" si="113"/>
        <v>0</v>
      </c>
      <c r="BS101" s="326">
        <f t="shared" si="114"/>
        <v>0</v>
      </c>
      <c r="BT101" s="326">
        <f t="shared" si="115"/>
        <v>0</v>
      </c>
      <c r="BU101" s="326">
        <f t="shared" si="116"/>
        <v>0</v>
      </c>
      <c r="BV101" s="326">
        <f t="shared" si="117"/>
        <v>4.1539477787380852</v>
      </c>
      <c r="BW101" s="326">
        <f t="shared" si="118"/>
        <v>3.5279424193506346</v>
      </c>
      <c r="BX101" s="326">
        <f t="shared" si="119"/>
        <v>2.9579939474246384</v>
      </c>
      <c r="BY101" s="326">
        <f t="shared" si="120"/>
        <v>83.061079165768078</v>
      </c>
      <c r="BZ101" s="326">
        <f t="shared" si="121"/>
        <v>5.3894062669633414</v>
      </c>
      <c r="CA101" s="326">
        <f t="shared" si="122"/>
        <v>0</v>
      </c>
      <c r="CB101" s="326">
        <f t="shared" si="123"/>
        <v>0</v>
      </c>
      <c r="CC101" s="326">
        <f t="shared" si="124"/>
        <v>56.939673090767492</v>
      </c>
      <c r="CD101" s="326">
        <f t="shared" si="125"/>
        <v>0</v>
      </c>
      <c r="CE101" s="366"/>
      <c r="CG101" s="326" t="str">
        <f>AQ101</f>
        <v>Bloques</v>
      </c>
      <c r="CH101" s="326"/>
      <c r="CI101" s="326">
        <f>BV101</f>
        <v>4.1539477787380852</v>
      </c>
      <c r="CJ101" s="326">
        <f t="shared" ref="CJ101:CL102" si="133">BW101</f>
        <v>3.5279424193506346</v>
      </c>
      <c r="CK101" s="326">
        <f t="shared" si="133"/>
        <v>2.9579939474246384</v>
      </c>
      <c r="CL101" s="326">
        <f t="shared" si="133"/>
        <v>83.061079165768078</v>
      </c>
      <c r="CM101" s="326">
        <f t="shared" ref="CM101:CM102" si="134">CA101</f>
        <v>0</v>
      </c>
      <c r="CN101" s="326">
        <f t="shared" ref="CN101:CN102" si="135">CB101</f>
        <v>0</v>
      </c>
      <c r="CO101" s="326">
        <f>CD101</f>
        <v>0</v>
      </c>
      <c r="CP101" s="326">
        <f t="shared" si="126"/>
        <v>0</v>
      </c>
      <c r="CQ101" s="326">
        <f t="shared" si="131"/>
        <v>0</v>
      </c>
      <c r="CR101" s="326">
        <f t="shared" si="127"/>
        <v>0</v>
      </c>
      <c r="CS101" s="326">
        <f t="shared" si="128"/>
        <v>0</v>
      </c>
      <c r="CT101" s="326">
        <f t="shared" si="129"/>
        <v>0</v>
      </c>
      <c r="CU101" s="326">
        <f t="shared" si="130"/>
        <v>0</v>
      </c>
      <c r="CV101" s="326">
        <f t="shared" si="79"/>
        <v>0</v>
      </c>
      <c r="CW101" s="326">
        <f t="shared" si="80"/>
        <v>0</v>
      </c>
      <c r="CX101" s="326">
        <f t="shared" si="81"/>
        <v>0</v>
      </c>
      <c r="CY101" s="326">
        <f t="shared" si="82"/>
        <v>0</v>
      </c>
      <c r="CZ101" s="326">
        <f t="shared" si="83"/>
        <v>0</v>
      </c>
      <c r="DA101" s="326">
        <f t="shared" si="84"/>
        <v>0</v>
      </c>
      <c r="DB101" s="326">
        <f t="shared" si="85"/>
        <v>0</v>
      </c>
      <c r="DC101" s="326"/>
    </row>
    <row r="102" spans="1:107 2757:2797" x14ac:dyDescent="0.25">
      <c r="A102" s="366" t="str">
        <f>AE92</f>
        <v>Cilindros</v>
      </c>
      <c r="B102" s="366"/>
      <c r="C102" s="366"/>
      <c r="D102" s="366"/>
      <c r="E102" s="366"/>
      <c r="F102" s="366"/>
      <c r="G102" s="366"/>
      <c r="H102" s="366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  <c r="S102" s="366"/>
      <c r="T102" s="366"/>
      <c r="U102" s="366"/>
      <c r="V102" s="366"/>
      <c r="W102" s="366"/>
      <c r="X102" s="366"/>
      <c r="Y102" s="366"/>
      <c r="Z102" s="366"/>
      <c r="AA102" s="366"/>
      <c r="AB102" s="366"/>
      <c r="AC102" s="366"/>
      <c r="AD102" s="366"/>
      <c r="AE102" s="366"/>
      <c r="AF102" s="366">
        <f>AF92</f>
        <v>17.395</v>
      </c>
      <c r="AG102" s="366">
        <f t="shared" ref="AG102:AN102" si="136">AG92</f>
        <v>0.59250000000000003</v>
      </c>
      <c r="AH102" s="366">
        <f t="shared" si="136"/>
        <v>0.68833333333333324</v>
      </c>
      <c r="AI102" s="366">
        <f t="shared" si="136"/>
        <v>25.455833333333334</v>
      </c>
      <c r="AJ102" s="366">
        <f t="shared" si="136"/>
        <v>30.85</v>
      </c>
      <c r="AK102" s="366">
        <f t="shared" si="136"/>
        <v>7.8133333333333335</v>
      </c>
      <c r="AL102" s="366">
        <f t="shared" si="136"/>
        <v>289.45</v>
      </c>
      <c r="AM102" s="366">
        <f t="shared" si="136"/>
        <v>25</v>
      </c>
      <c r="AN102" s="366">
        <f t="shared" si="136"/>
        <v>289.90999999999997</v>
      </c>
      <c r="AO102" s="366"/>
      <c r="AQ102" s="326" t="str">
        <f t="shared" si="86"/>
        <v>Cilindros</v>
      </c>
      <c r="AR102" s="326">
        <f t="shared" si="87"/>
        <v>0</v>
      </c>
      <c r="AS102" s="326">
        <f t="shared" si="88"/>
        <v>0</v>
      </c>
      <c r="AT102" s="326">
        <f t="shared" si="89"/>
        <v>0</v>
      </c>
      <c r="AU102" s="326">
        <f t="shared" si="90"/>
        <v>0</v>
      </c>
      <c r="AV102" s="326">
        <f t="shared" si="91"/>
        <v>0</v>
      </c>
      <c r="AW102" s="326">
        <f t="shared" si="92"/>
        <v>0</v>
      </c>
      <c r="AX102" s="326">
        <f t="shared" si="93"/>
        <v>0</v>
      </c>
      <c r="AY102" s="326">
        <f t="shared" si="94"/>
        <v>0</v>
      </c>
      <c r="AZ102" s="326">
        <f t="shared" si="95"/>
        <v>0</v>
      </c>
      <c r="BA102" s="326">
        <f t="shared" si="96"/>
        <v>0</v>
      </c>
      <c r="BB102" s="326">
        <f t="shared" si="97"/>
        <v>0</v>
      </c>
      <c r="BC102" s="326">
        <f t="shared" si="98"/>
        <v>0</v>
      </c>
      <c r="BD102" s="326">
        <f t="shared" si="99"/>
        <v>0</v>
      </c>
      <c r="BE102" s="326">
        <f t="shared" si="100"/>
        <v>0</v>
      </c>
      <c r="BF102" s="326">
        <f t="shared" si="101"/>
        <v>0</v>
      </c>
      <c r="BG102" s="326">
        <f t="shared" si="102"/>
        <v>0</v>
      </c>
      <c r="BH102" s="326">
        <f t="shared" si="103"/>
        <v>0</v>
      </c>
      <c r="BI102" s="326">
        <f t="shared" si="104"/>
        <v>0</v>
      </c>
      <c r="BJ102" s="326">
        <f t="shared" si="105"/>
        <v>0</v>
      </c>
      <c r="BK102" s="326">
        <f t="shared" si="106"/>
        <v>0</v>
      </c>
      <c r="BL102" s="326">
        <f t="shared" si="107"/>
        <v>0</v>
      </c>
      <c r="BM102" s="326">
        <f t="shared" si="108"/>
        <v>0</v>
      </c>
      <c r="BN102" s="326">
        <f t="shared" si="109"/>
        <v>0</v>
      </c>
      <c r="BO102" s="326">
        <f t="shared" si="110"/>
        <v>0</v>
      </c>
      <c r="BP102" s="326">
        <f t="shared" si="111"/>
        <v>0</v>
      </c>
      <c r="BQ102" s="326">
        <f t="shared" si="112"/>
        <v>0</v>
      </c>
      <c r="BR102" s="326">
        <f t="shared" si="113"/>
        <v>0</v>
      </c>
      <c r="BS102" s="326">
        <f t="shared" si="114"/>
        <v>0</v>
      </c>
      <c r="BT102" s="326">
        <f t="shared" si="115"/>
        <v>0</v>
      </c>
      <c r="BU102" s="326">
        <f t="shared" si="116"/>
        <v>0</v>
      </c>
      <c r="BV102" s="326">
        <f t="shared" si="117"/>
        <v>0.55099680950598018</v>
      </c>
      <c r="BW102" s="326">
        <f t="shared" si="118"/>
        <v>0.41022586271519013</v>
      </c>
      <c r="BX102" s="326">
        <f t="shared" si="119"/>
        <v>0.34395278458426026</v>
      </c>
      <c r="BY102" s="326">
        <f t="shared" si="120"/>
        <v>9.6304085134433635</v>
      </c>
      <c r="BZ102" s="326">
        <f t="shared" si="121"/>
        <v>0.69665643834282731</v>
      </c>
      <c r="CA102" s="326">
        <f t="shared" si="122"/>
        <v>0.14596757731218926</v>
      </c>
      <c r="CB102" s="326">
        <f t="shared" si="123"/>
        <v>4.563180507620296</v>
      </c>
      <c r="CC102" s="326">
        <f t="shared" si="124"/>
        <v>0.76987118835542856</v>
      </c>
      <c r="CD102" s="326">
        <f t="shared" si="125"/>
        <v>4.9168080068048896</v>
      </c>
      <c r="CE102" s="366"/>
      <c r="CG102" s="326" t="str">
        <f>AQ102</f>
        <v>Cilindros</v>
      </c>
      <c r="CH102" s="326">
        <f>AR102</f>
        <v>0</v>
      </c>
      <c r="CI102" s="326">
        <f>BV102</f>
        <v>0.55099680950598018</v>
      </c>
      <c r="CJ102" s="326">
        <f t="shared" si="133"/>
        <v>0.41022586271519013</v>
      </c>
      <c r="CK102" s="326">
        <f t="shared" si="133"/>
        <v>0.34395278458426026</v>
      </c>
      <c r="CL102" s="326">
        <f t="shared" si="133"/>
        <v>9.6304085134433635</v>
      </c>
      <c r="CM102" s="326">
        <f t="shared" si="134"/>
        <v>0.14596757731218926</v>
      </c>
      <c r="CN102" s="326">
        <f t="shared" si="135"/>
        <v>4.563180507620296</v>
      </c>
      <c r="CO102" s="326">
        <f>CD102</f>
        <v>4.9168080068048896</v>
      </c>
      <c r="CP102" s="326">
        <f t="shared" si="126"/>
        <v>0</v>
      </c>
      <c r="CQ102" s="326">
        <f t="shared" si="131"/>
        <v>0</v>
      </c>
      <c r="CR102" s="326">
        <f t="shared" si="127"/>
        <v>0</v>
      </c>
      <c r="CS102" s="326">
        <f t="shared" si="128"/>
        <v>0</v>
      </c>
      <c r="CT102" s="326">
        <f t="shared" si="129"/>
        <v>0</v>
      </c>
      <c r="CU102" s="326">
        <f t="shared" si="130"/>
        <v>0</v>
      </c>
      <c r="CV102" s="326">
        <f t="shared" si="79"/>
        <v>0</v>
      </c>
      <c r="CW102" s="326">
        <f t="shared" si="80"/>
        <v>0</v>
      </c>
      <c r="CX102" s="326">
        <f t="shared" si="81"/>
        <v>0</v>
      </c>
      <c r="CY102" s="326">
        <f t="shared" si="82"/>
        <v>0</v>
      </c>
      <c r="CZ102" s="326">
        <f t="shared" si="83"/>
        <v>0</v>
      </c>
      <c r="DA102" s="326">
        <f t="shared" si="84"/>
        <v>0</v>
      </c>
      <c r="DB102" s="326">
        <f t="shared" si="85"/>
        <v>0</v>
      </c>
      <c r="DC102" s="326"/>
    </row>
    <row r="103" spans="1:107 2757:2797" x14ac:dyDescent="0.25">
      <c r="A103" t="str">
        <f t="array" ref="A103:AO103">TRANSPOSE(L47:L86)</f>
        <v>P3 100 x 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19">
        <v>0</v>
      </c>
      <c r="V103">
        <v>0</v>
      </c>
      <c r="W103">
        <v>0</v>
      </c>
      <c r="X103">
        <v>1547.1000000000001</v>
      </c>
      <c r="Y103">
        <v>2553.12</v>
      </c>
      <c r="Z103">
        <v>1112.94</v>
      </c>
      <c r="AA103">
        <v>9344.16</v>
      </c>
      <c r="AB103">
        <v>26244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e">
        <v>#N/A</v>
      </c>
      <c r="AQ103" s="326" t="str">
        <f>A103</f>
        <v>P3 100 x 190</v>
      </c>
      <c r="AR103" s="326">
        <f>(B103+B117)/($AR$105*((1+$AR$104)^($AR$106))*60)</f>
        <v>0</v>
      </c>
      <c r="AS103" s="326">
        <f t="shared" ref="AS103:BR103" si="137">(C103+C117)/($AR$105*((1+$AR$104)^($AR$106))*60)</f>
        <v>0</v>
      </c>
      <c r="AT103" s="326">
        <f t="shared" si="137"/>
        <v>0</v>
      </c>
      <c r="AU103" s="326">
        <f t="shared" si="137"/>
        <v>0</v>
      </c>
      <c r="AV103" s="326">
        <f t="shared" si="137"/>
        <v>0</v>
      </c>
      <c r="AW103" s="326">
        <f t="shared" si="137"/>
        <v>0</v>
      </c>
      <c r="AX103" s="326">
        <f t="shared" si="137"/>
        <v>0</v>
      </c>
      <c r="AY103" s="326">
        <f t="shared" si="137"/>
        <v>0</v>
      </c>
      <c r="AZ103" s="326">
        <f t="shared" si="137"/>
        <v>0</v>
      </c>
      <c r="BA103" s="326">
        <f t="shared" si="137"/>
        <v>0</v>
      </c>
      <c r="BB103" s="326">
        <f t="shared" si="137"/>
        <v>0</v>
      </c>
      <c r="BC103" s="326">
        <f t="shared" si="137"/>
        <v>0</v>
      </c>
      <c r="BD103" s="326">
        <f t="shared" si="137"/>
        <v>0</v>
      </c>
      <c r="BE103" s="326">
        <f t="shared" si="137"/>
        <v>0</v>
      </c>
      <c r="BF103" s="326">
        <f t="shared" si="137"/>
        <v>0</v>
      </c>
      <c r="BG103" s="326">
        <f t="shared" si="137"/>
        <v>0</v>
      </c>
      <c r="BH103" s="326">
        <f t="shared" si="137"/>
        <v>0</v>
      </c>
      <c r="BI103" s="326">
        <f t="shared" si="137"/>
        <v>0</v>
      </c>
      <c r="BJ103" s="326">
        <f t="shared" si="137"/>
        <v>0</v>
      </c>
      <c r="BK103" s="326">
        <f t="shared" si="137"/>
        <v>0</v>
      </c>
      <c r="BL103" s="326">
        <f t="shared" si="137"/>
        <v>0</v>
      </c>
      <c r="BM103" s="326">
        <f t="shared" si="137"/>
        <v>0</v>
      </c>
      <c r="BN103" s="326">
        <f t="shared" si="137"/>
        <v>33.265087024021909</v>
      </c>
      <c r="BO103" s="326">
        <f t="shared" si="137"/>
        <v>40.112167399017409</v>
      </c>
      <c r="BP103" s="326">
        <f t="shared" si="137"/>
        <v>20.159600579494978</v>
      </c>
      <c r="BQ103" s="326">
        <f t="shared" si="137"/>
        <v>149.22893643514806</v>
      </c>
      <c r="BR103" s="326">
        <f t="shared" si="137"/>
        <v>406.58437199426891</v>
      </c>
      <c r="BS103" s="326">
        <f t="shared" ref="BS103:CD103" si="138">(AC103+AC117)/($AR$105*((1+$AR$104)^($AR$106))*60)</f>
        <v>0</v>
      </c>
      <c r="BT103" s="326">
        <f t="shared" si="138"/>
        <v>0</v>
      </c>
      <c r="BU103" s="326">
        <f t="shared" si="138"/>
        <v>0</v>
      </c>
      <c r="BV103" s="326">
        <f t="shared" si="138"/>
        <v>0</v>
      </c>
      <c r="BW103" s="326">
        <f t="shared" si="138"/>
        <v>0</v>
      </c>
      <c r="BX103" s="326">
        <f t="shared" si="138"/>
        <v>0</v>
      </c>
      <c r="BY103" s="326">
        <f t="shared" si="138"/>
        <v>0</v>
      </c>
      <c r="BZ103" s="326">
        <f t="shared" si="138"/>
        <v>0</v>
      </c>
      <c r="CA103" s="326">
        <f t="shared" si="138"/>
        <v>0</v>
      </c>
      <c r="CB103" s="326">
        <f t="shared" si="138"/>
        <v>0</v>
      </c>
      <c r="CC103" s="326">
        <f t="shared" si="138"/>
        <v>0</v>
      </c>
      <c r="CD103" s="326">
        <f t="shared" si="138"/>
        <v>0</v>
      </c>
      <c r="CE103" s="366" t="e">
        <f>AO103</f>
        <v>#N/A</v>
      </c>
      <c r="CG103" s="326" t="str">
        <f>AQ103</f>
        <v>P3 100 x 190</v>
      </c>
      <c r="CH103" s="326">
        <f t="shared" ref="CH103:CX103" si="139">AR103</f>
        <v>0</v>
      </c>
      <c r="CI103" s="326">
        <f t="shared" si="139"/>
        <v>0</v>
      </c>
      <c r="CJ103" s="326">
        <f t="shared" si="139"/>
        <v>0</v>
      </c>
      <c r="CK103" s="326">
        <f t="shared" si="139"/>
        <v>0</v>
      </c>
      <c r="CL103" s="326">
        <f t="shared" si="139"/>
        <v>0</v>
      </c>
      <c r="CM103" s="326">
        <f t="shared" si="139"/>
        <v>0</v>
      </c>
      <c r="CN103" s="326">
        <f t="shared" si="139"/>
        <v>0</v>
      </c>
      <c r="CO103" s="326">
        <f t="shared" si="139"/>
        <v>0</v>
      </c>
      <c r="CP103" s="326">
        <f t="shared" si="139"/>
        <v>0</v>
      </c>
      <c r="CQ103" s="326">
        <f t="shared" si="139"/>
        <v>0</v>
      </c>
      <c r="CR103" s="326">
        <f t="shared" si="139"/>
        <v>0</v>
      </c>
      <c r="CS103" s="326">
        <f t="shared" si="139"/>
        <v>0</v>
      </c>
      <c r="CT103" s="326">
        <f t="shared" si="139"/>
        <v>0</v>
      </c>
      <c r="CU103" s="326">
        <f t="shared" si="139"/>
        <v>0</v>
      </c>
      <c r="CV103" s="326">
        <f t="shared" si="139"/>
        <v>0</v>
      </c>
      <c r="CW103" s="326">
        <f t="shared" si="139"/>
        <v>0</v>
      </c>
      <c r="CX103" s="326">
        <f t="shared" si="139"/>
        <v>0</v>
      </c>
      <c r="CY103" s="326">
        <f>BN103</f>
        <v>33.265087024021909</v>
      </c>
      <c r="CZ103" s="326">
        <f t="shared" ref="CZ103:DB103" si="140">BO103</f>
        <v>40.112167399017409</v>
      </c>
      <c r="DA103" s="326">
        <f t="shared" si="140"/>
        <v>20.159600579494978</v>
      </c>
      <c r="DB103" s="326">
        <f t="shared" si="140"/>
        <v>149.22893643514806</v>
      </c>
      <c r="DC103" s="326"/>
    </row>
    <row r="104" spans="1:107 2757:2797" x14ac:dyDescent="0.25">
      <c r="A104" s="326">
        <f t="array" ref="A104:AO114">TRANSPOSE(O47:Z86)</f>
        <v>0</v>
      </c>
      <c r="B104" s="326" t="str">
        <v>Confección colchón algodón</v>
      </c>
      <c r="C104" s="326" t="str">
        <v>Pesado de MP</v>
      </c>
      <c r="D104" s="326" t="str">
        <v>Pre-mezclado</v>
      </c>
      <c r="E104" s="326" t="str">
        <v>Mezclado</v>
      </c>
      <c r="F104" s="326" t="str">
        <v>Moldeo</v>
      </c>
      <c r="G104" s="326" t="str">
        <v>Desmoldeo</v>
      </c>
      <c r="H104" s="326" t="str">
        <v>Curado</v>
      </c>
      <c r="I104" s="326" t="str">
        <v>Perforación Cilindro</v>
      </c>
      <c r="J104" s="326" t="str">
        <v>Corte de espuma continua</v>
      </c>
      <c r="K104" s="326" t="str">
        <v>Corte bloque espuma en láminas</v>
      </c>
      <c r="L104" s="326" t="str">
        <v>Corte tapa tela acolchada</v>
      </c>
      <c r="M104" s="326" t="str">
        <v>Confección colchón (+Cerrado y tapizado(resortados))</v>
      </c>
      <c r="N104" s="326" t="str">
        <v>Triturado-corte manual</v>
      </c>
      <c r="O104" s="326" t="str">
        <v>Corte tapas de espuma</v>
      </c>
      <c r="P104" s="326" t="str">
        <v>Pegar tapas de espuma</v>
      </c>
      <c r="Q104" s="326" t="str">
        <v>Corte tapa tela sin cremallera/con</v>
      </c>
      <c r="R104" s="326" t="str">
        <v>Rellenado-Pesado</v>
      </c>
      <c r="S104" s="326" t="str">
        <v>Confección funda tela sin cremallera</v>
      </c>
      <c r="T104" s="326" t="str">
        <v>Sellado bolsa espuma</v>
      </c>
      <c r="U104" s="326" t="str">
        <v>Enfundado</v>
      </c>
      <c r="V104" s="326">
        <v>60</v>
      </c>
      <c r="W104" s="326">
        <v>0</v>
      </c>
      <c r="X104" s="326" t="str">
        <v>Corte madera</v>
      </c>
      <c r="Y104" s="326" t="str">
        <v>Lijado</v>
      </c>
      <c r="Z104" s="326" t="str">
        <v>Barnizado</v>
      </c>
      <c r="AA104" s="326" t="str">
        <v>Ensamble base cama</v>
      </c>
      <c r="AB104" s="326" t="str">
        <v>Lj</v>
      </c>
      <c r="AC104" s="326">
        <v>0</v>
      </c>
      <c r="AD104" s="326">
        <v>0</v>
      </c>
      <c r="AE104" s="367">
        <v>0</v>
      </c>
      <c r="AF104" s="367" t="str">
        <v>Pesado de MP</v>
      </c>
      <c r="AG104" s="367" t="str">
        <v>Pre-mezclado</v>
      </c>
      <c r="AH104" s="367" t="str">
        <v>Mezclado</v>
      </c>
      <c r="AI104" s="367" t="str">
        <v>Moldeo</v>
      </c>
      <c r="AJ104" s="367" t="str">
        <v>Desmoldeo</v>
      </c>
      <c r="AK104" s="367" t="str">
        <v>Perforación Cilindro</v>
      </c>
      <c r="AL104" s="367" t="str">
        <v>Corte de espuma continua</v>
      </c>
      <c r="AM104" s="367" t="str">
        <v>Lj</v>
      </c>
      <c r="AN104" s="367" t="str">
        <v>Acolchado</v>
      </c>
      <c r="AO104" s="326" t="e">
        <v>#N/A</v>
      </c>
      <c r="AQ104" t="s">
        <v>311</v>
      </c>
      <c r="AR104" s="368">
        <v>0.02</v>
      </c>
    </row>
    <row r="105" spans="1:107 2757:2797" x14ac:dyDescent="0.25">
      <c r="A105" s="326" t="str">
        <v>P2(45x60)</v>
      </c>
      <c r="B105" s="326">
        <v>0</v>
      </c>
      <c r="C105" s="326">
        <v>0</v>
      </c>
      <c r="D105" s="326">
        <v>0</v>
      </c>
      <c r="E105" s="326">
        <v>0</v>
      </c>
      <c r="F105" s="326">
        <v>0</v>
      </c>
      <c r="G105" s="326">
        <v>0</v>
      </c>
      <c r="H105" s="326">
        <v>0</v>
      </c>
      <c r="I105" s="326">
        <v>0</v>
      </c>
      <c r="J105" s="326">
        <v>0</v>
      </c>
      <c r="K105" s="326">
        <v>0</v>
      </c>
      <c r="L105" s="326">
        <v>0</v>
      </c>
      <c r="M105" s="326">
        <v>0</v>
      </c>
      <c r="N105" s="326">
        <v>58.563250000000004</v>
      </c>
      <c r="O105" s="326">
        <v>253.00190000000001</v>
      </c>
      <c r="P105" s="326">
        <v>93.679549999999992</v>
      </c>
      <c r="Q105" s="326">
        <v>119.29150000000001</v>
      </c>
      <c r="R105" s="326">
        <v>10.132200000000001</v>
      </c>
      <c r="S105" s="326">
        <v>80.689550000000011</v>
      </c>
      <c r="T105" s="326">
        <v>75.883250000000004</v>
      </c>
      <c r="U105" s="326">
        <v>50.516666666666666</v>
      </c>
      <c r="V105" s="326">
        <v>0</v>
      </c>
      <c r="W105" s="326">
        <v>0</v>
      </c>
      <c r="X105" s="326">
        <v>0</v>
      </c>
      <c r="Y105" s="326">
        <v>0</v>
      </c>
      <c r="Z105" s="326">
        <v>0</v>
      </c>
      <c r="AA105" s="326">
        <v>0</v>
      </c>
      <c r="AB105" s="326">
        <v>433</v>
      </c>
      <c r="AC105" s="326">
        <v>0</v>
      </c>
      <c r="AD105" s="326">
        <v>0</v>
      </c>
      <c r="AE105" s="367" t="str">
        <v>Bloques</v>
      </c>
      <c r="AF105" s="367">
        <v>158.541</v>
      </c>
      <c r="AG105" s="367">
        <v>224.03</v>
      </c>
      <c r="AH105" s="367">
        <v>186.19</v>
      </c>
      <c r="AI105" s="367">
        <v>5160</v>
      </c>
      <c r="AJ105" s="367">
        <v>102.33999999999999</v>
      </c>
      <c r="AK105" s="367">
        <v>0</v>
      </c>
      <c r="AL105" s="367">
        <v>0</v>
      </c>
      <c r="AM105" s="367">
        <v>1849</v>
      </c>
      <c r="AN105" s="367">
        <v>0</v>
      </c>
      <c r="AO105" s="326" t="e">
        <v>#N/A</v>
      </c>
      <c r="AQ105" t="s">
        <v>312</v>
      </c>
      <c r="AR105">
        <v>1</v>
      </c>
    </row>
    <row r="106" spans="1:107 2757:2797" x14ac:dyDescent="0.25">
      <c r="A106" s="315" t="str">
        <v>P1(40x60)</v>
      </c>
      <c r="B106" s="315">
        <v>0</v>
      </c>
      <c r="C106" s="315">
        <v>0</v>
      </c>
      <c r="D106" s="315">
        <v>0</v>
      </c>
      <c r="E106" s="315">
        <v>121.8</v>
      </c>
      <c r="F106" s="315">
        <v>207.46600000000001</v>
      </c>
      <c r="G106" s="315">
        <v>0</v>
      </c>
      <c r="H106" s="315">
        <v>0</v>
      </c>
      <c r="I106" s="315">
        <v>0</v>
      </c>
      <c r="J106" s="315">
        <v>0</v>
      </c>
      <c r="K106" s="315">
        <v>0</v>
      </c>
      <c r="L106" s="315">
        <v>0</v>
      </c>
      <c r="M106" s="315">
        <v>0</v>
      </c>
      <c r="N106" s="315">
        <v>0</v>
      </c>
      <c r="O106" s="315">
        <v>0</v>
      </c>
      <c r="P106" s="315">
        <v>0</v>
      </c>
      <c r="Q106" s="315">
        <v>90.659800000000004</v>
      </c>
      <c r="R106" s="315">
        <v>0</v>
      </c>
      <c r="S106" s="315">
        <v>198.12799999999999</v>
      </c>
      <c r="T106" s="315">
        <v>0</v>
      </c>
      <c r="U106" s="315">
        <v>60.9</v>
      </c>
      <c r="V106" s="315">
        <v>0</v>
      </c>
      <c r="W106" s="315">
        <v>0</v>
      </c>
      <c r="X106" s="315">
        <v>0</v>
      </c>
      <c r="Y106" s="315">
        <v>0</v>
      </c>
      <c r="Z106" s="315">
        <v>0</v>
      </c>
      <c r="AA106" s="315">
        <v>0</v>
      </c>
      <c r="AB106" s="315">
        <v>406</v>
      </c>
      <c r="AC106" s="315">
        <v>0</v>
      </c>
      <c r="AD106" s="315">
        <v>0</v>
      </c>
      <c r="AE106" s="354" t="str">
        <v>Cilindro</v>
      </c>
      <c r="AF106" s="354">
        <v>18.39</v>
      </c>
      <c r="AG106" s="354">
        <v>26.05</v>
      </c>
      <c r="AH106" s="354">
        <v>21.65</v>
      </c>
      <c r="AI106" s="354">
        <v>600</v>
      </c>
      <c r="AJ106" s="354">
        <v>14.395</v>
      </c>
      <c r="AK106" s="354">
        <v>1.6666666666666665</v>
      </c>
      <c r="AL106" s="354">
        <v>6.9099999999999993</v>
      </c>
      <c r="AM106" s="354">
        <v>25</v>
      </c>
      <c r="AN106" s="354">
        <v>29.416666666666668</v>
      </c>
      <c r="AO106" s="315" t="e">
        <v>#N/A</v>
      </c>
      <c r="AQ106" t="s">
        <v>313</v>
      </c>
      <c r="AR106">
        <v>4</v>
      </c>
    </row>
    <row r="107" spans="1:107 2757:2797" x14ac:dyDescent="0.25">
      <c r="A107" s="315" t="str">
        <v>P11(C10)100X190</v>
      </c>
      <c r="B107" s="315">
        <v>0</v>
      </c>
      <c r="C107" s="315">
        <v>0</v>
      </c>
      <c r="D107" s="315">
        <v>0</v>
      </c>
      <c r="E107" s="315">
        <v>0</v>
      </c>
      <c r="F107" s="315">
        <v>0</v>
      </c>
      <c r="G107" s="315">
        <v>0</v>
      </c>
      <c r="H107" s="315">
        <v>0</v>
      </c>
      <c r="I107" s="315">
        <v>0</v>
      </c>
      <c r="J107" s="315">
        <v>0</v>
      </c>
      <c r="K107" s="315">
        <v>81.168750000000003</v>
      </c>
      <c r="L107" s="315">
        <v>289.98449999999997</v>
      </c>
      <c r="M107" s="315">
        <v>0</v>
      </c>
      <c r="N107" s="315">
        <v>0</v>
      </c>
      <c r="O107" s="315">
        <v>0</v>
      </c>
      <c r="P107" s="315">
        <v>0</v>
      </c>
      <c r="Q107" s="315">
        <v>0</v>
      </c>
      <c r="R107" s="315">
        <v>0</v>
      </c>
      <c r="S107" s="315">
        <v>300.57300000000004</v>
      </c>
      <c r="T107" s="315">
        <v>0</v>
      </c>
      <c r="U107" s="315">
        <v>84.415500000000009</v>
      </c>
      <c r="V107" s="315">
        <v>0</v>
      </c>
      <c r="W107" s="315">
        <v>0</v>
      </c>
      <c r="X107" s="315">
        <v>0</v>
      </c>
      <c r="Y107" s="315">
        <v>0</v>
      </c>
      <c r="Z107" s="315">
        <v>0</v>
      </c>
      <c r="AA107" s="315">
        <v>0</v>
      </c>
      <c r="AB107" s="315">
        <v>585</v>
      </c>
      <c r="AC107" s="315">
        <v>0</v>
      </c>
      <c r="AD107" s="315">
        <v>0</v>
      </c>
      <c r="AE107" s="315">
        <v>0</v>
      </c>
      <c r="AF107" s="315">
        <v>0</v>
      </c>
      <c r="AG107" s="315">
        <v>0</v>
      </c>
      <c r="AH107" s="315">
        <v>0</v>
      </c>
      <c r="AI107" s="315">
        <v>0</v>
      </c>
      <c r="AJ107" s="315">
        <v>0</v>
      </c>
      <c r="AK107" s="315">
        <v>0</v>
      </c>
      <c r="AL107" s="315">
        <v>0</v>
      </c>
      <c r="AM107" s="315">
        <v>0</v>
      </c>
      <c r="AN107" s="315">
        <v>0</v>
      </c>
      <c r="AO107" s="315" t="e">
        <v>#N/A</v>
      </c>
      <c r="AQ107" s="349" t="s">
        <v>315</v>
      </c>
      <c r="BD107" s="106"/>
      <c r="BH107">
        <v>20</v>
      </c>
      <c r="BK107" s="219"/>
      <c r="BV107" s="14"/>
      <c r="BW107" s="14"/>
      <c r="BX107" s="14"/>
      <c r="BY107" s="14"/>
      <c r="BZ107" s="220"/>
      <c r="CA107" s="14"/>
      <c r="CB107" s="14"/>
      <c r="CC107" s="14"/>
      <c r="CD107" s="14"/>
      <c r="DBB107" t="s">
        <v>266</v>
      </c>
      <c r="DBC107" t="s">
        <v>82</v>
      </c>
      <c r="DBD107" t="s">
        <v>83</v>
      </c>
      <c r="DBE107" t="s">
        <v>84</v>
      </c>
      <c r="DBF107" t="s">
        <v>85</v>
      </c>
      <c r="DBK107" t="s">
        <v>147</v>
      </c>
      <c r="DBL107" t="s">
        <v>148</v>
      </c>
      <c r="DBM107" t="s">
        <v>180</v>
      </c>
      <c r="DBN107" s="106" t="s">
        <v>309</v>
      </c>
      <c r="DBO107" t="s">
        <v>71</v>
      </c>
      <c r="DBP107" t="s">
        <v>79</v>
      </c>
      <c r="DBQ107" t="s">
        <v>149</v>
      </c>
      <c r="DBR107" t="s">
        <v>43</v>
      </c>
      <c r="DBS107" t="s">
        <v>77</v>
      </c>
      <c r="DBT107" t="s">
        <v>74</v>
      </c>
      <c r="DBU107" s="219" t="s">
        <v>3</v>
      </c>
      <c r="DBX107" t="s">
        <v>295</v>
      </c>
      <c r="DBY107" t="s">
        <v>291</v>
      </c>
      <c r="DBZ107" t="s">
        <v>292</v>
      </c>
      <c r="DCA107" t="s">
        <v>296</v>
      </c>
      <c r="DCF107" s="14" t="s">
        <v>82</v>
      </c>
      <c r="DCG107" s="14" t="s">
        <v>83</v>
      </c>
      <c r="DCH107" s="14" t="s">
        <v>84</v>
      </c>
      <c r="DCI107" s="14" t="s">
        <v>85</v>
      </c>
      <c r="DCJ107" s="14" t="s">
        <v>86</v>
      </c>
      <c r="DCK107" s="14" t="s">
        <v>81</v>
      </c>
      <c r="DCL107" s="14" t="s">
        <v>80</v>
      </c>
      <c r="DCM107" s="14"/>
      <c r="DCN107" s="14" t="s">
        <v>213</v>
      </c>
    </row>
    <row r="108" spans="1:107 2757:2797" x14ac:dyDescent="0.25">
      <c r="A108" s="315" t="str">
        <v>P4(C15)100X190</v>
      </c>
      <c r="B108" s="315">
        <v>0</v>
      </c>
      <c r="C108" s="315">
        <v>0</v>
      </c>
      <c r="D108" s="315">
        <v>0</v>
      </c>
      <c r="E108" s="315">
        <v>0</v>
      </c>
      <c r="F108" s="315">
        <v>0</v>
      </c>
      <c r="G108" s="315">
        <v>0</v>
      </c>
      <c r="H108" s="315">
        <v>0</v>
      </c>
      <c r="I108" s="315">
        <v>0</v>
      </c>
      <c r="J108" s="315">
        <v>0</v>
      </c>
      <c r="K108" s="315">
        <v>42.024450000000002</v>
      </c>
      <c r="L108" s="315">
        <v>153.17769999999999</v>
      </c>
      <c r="M108" s="315">
        <v>499.33</v>
      </c>
      <c r="N108" s="315">
        <v>319.33199999999999</v>
      </c>
      <c r="O108" s="315">
        <v>0</v>
      </c>
      <c r="P108" s="315">
        <v>0</v>
      </c>
      <c r="Q108" s="315">
        <v>0</v>
      </c>
      <c r="R108" s="315">
        <v>0</v>
      </c>
      <c r="S108" s="315">
        <v>0</v>
      </c>
      <c r="T108" s="315">
        <v>0</v>
      </c>
      <c r="U108" s="315">
        <v>0</v>
      </c>
      <c r="V108" s="315">
        <v>0</v>
      </c>
      <c r="W108" s="315">
        <v>0</v>
      </c>
      <c r="X108" s="315">
        <v>0</v>
      </c>
      <c r="Y108" s="315">
        <v>0</v>
      </c>
      <c r="Z108" s="315">
        <v>0</v>
      </c>
      <c r="AA108" s="315">
        <v>0</v>
      </c>
      <c r="AB108" s="315">
        <v>299</v>
      </c>
      <c r="AC108" s="315">
        <v>0</v>
      </c>
      <c r="AD108" s="315">
        <v>0</v>
      </c>
      <c r="AE108" s="315">
        <v>0</v>
      </c>
      <c r="AF108" s="315">
        <v>0</v>
      </c>
      <c r="AG108" s="315">
        <v>0</v>
      </c>
      <c r="AH108" s="315">
        <v>0</v>
      </c>
      <c r="AI108" s="315">
        <v>0</v>
      </c>
      <c r="AJ108" s="315">
        <v>0</v>
      </c>
      <c r="AK108" s="315">
        <v>0</v>
      </c>
      <c r="AL108" s="315">
        <v>0</v>
      </c>
      <c r="AM108" s="315">
        <v>0</v>
      </c>
      <c r="AN108" s="315">
        <v>0</v>
      </c>
      <c r="AO108" s="315" t="e">
        <v>#N/A</v>
      </c>
      <c r="AQ108" s="326">
        <f>AQ90</f>
        <v>0</v>
      </c>
      <c r="AR108" s="326" t="str">
        <f t="shared" ref="AR108:CD108" si="141">AR90</f>
        <v>Confección colchón algodón</v>
      </c>
      <c r="AS108" s="326" t="str">
        <f t="shared" si="141"/>
        <v>Pesado de MP</v>
      </c>
      <c r="AT108" s="326" t="str">
        <f t="shared" si="141"/>
        <v>Pre-mezclado</v>
      </c>
      <c r="AU108" s="326" t="str">
        <f t="shared" si="141"/>
        <v>Mezclado</v>
      </c>
      <c r="AV108" s="326" t="str">
        <f t="shared" si="141"/>
        <v>Moldeo</v>
      </c>
      <c r="AW108" s="326" t="str">
        <f t="shared" si="141"/>
        <v>Desmoldeo</v>
      </c>
      <c r="AX108" s="326" t="str">
        <f t="shared" si="141"/>
        <v>Curado</v>
      </c>
      <c r="AY108" s="326" t="str">
        <f t="shared" si="141"/>
        <v>Perforación Cilindro</v>
      </c>
      <c r="AZ108" s="326" t="str">
        <f t="shared" si="141"/>
        <v>Corte de espuma continua</v>
      </c>
      <c r="BA108" s="326" t="str">
        <f t="shared" si="141"/>
        <v>Corte bloque espuma en láminas</v>
      </c>
      <c r="BB108" s="314" t="str">
        <f t="shared" si="141"/>
        <v>Corte tapa tela acolchada</v>
      </c>
      <c r="BC108" s="326" t="str">
        <f t="shared" si="141"/>
        <v>Confección colchón (+Cerrado y tapizado(resortados))</v>
      </c>
      <c r="BD108" s="326" t="str">
        <f t="shared" si="141"/>
        <v>Triturado-corte manual</v>
      </c>
      <c r="BE108" s="326" t="str">
        <f t="shared" si="141"/>
        <v>Corte tapas de espuma</v>
      </c>
      <c r="BF108" s="326" t="str">
        <f t="shared" si="141"/>
        <v>Pegar tapas de espuma</v>
      </c>
      <c r="BG108" s="314" t="str">
        <f t="shared" si="141"/>
        <v>Corte tapa tela sin cremallera/con</v>
      </c>
      <c r="BH108" s="326" t="str">
        <f t="shared" si="141"/>
        <v>Rellenado-Pesado</v>
      </c>
      <c r="BI108" s="326" t="str">
        <f t="shared" si="141"/>
        <v>Confección funda tela sin cremallera</v>
      </c>
      <c r="BJ108" s="326" t="str">
        <f t="shared" si="141"/>
        <v>Sellado bolsa espuma</v>
      </c>
      <c r="BK108" s="326" t="str">
        <f t="shared" si="141"/>
        <v>Enfundado</v>
      </c>
      <c r="BL108" s="326">
        <f t="shared" si="141"/>
        <v>0</v>
      </c>
      <c r="BM108" s="326">
        <f t="shared" si="141"/>
        <v>0</v>
      </c>
      <c r="BN108" s="326" t="str">
        <f t="shared" si="141"/>
        <v>Corte madera</v>
      </c>
      <c r="BO108" s="326" t="str">
        <f t="shared" si="141"/>
        <v>Lijado</v>
      </c>
      <c r="BP108" s="326" t="str">
        <f t="shared" si="141"/>
        <v>Barnizado</v>
      </c>
      <c r="BQ108" s="326" t="str">
        <f t="shared" si="141"/>
        <v>Ensamble base cama</v>
      </c>
      <c r="BR108" s="326" t="str">
        <f t="shared" si="141"/>
        <v>nj</v>
      </c>
      <c r="BS108" s="326">
        <f t="shared" si="141"/>
        <v>0</v>
      </c>
      <c r="BT108" s="326">
        <f t="shared" si="141"/>
        <v>0</v>
      </c>
      <c r="BU108" s="367">
        <f t="shared" si="141"/>
        <v>0</v>
      </c>
      <c r="BV108" s="367" t="str">
        <f t="shared" si="141"/>
        <v>Pesado de MP</v>
      </c>
      <c r="BW108" s="367" t="str">
        <f t="shared" si="141"/>
        <v>Pre-mezclado</v>
      </c>
      <c r="BX108" s="367" t="str">
        <f t="shared" si="141"/>
        <v>Mezclado</v>
      </c>
      <c r="BY108" s="367" t="str">
        <f t="shared" si="141"/>
        <v>Moldeo</v>
      </c>
      <c r="BZ108" s="367" t="str">
        <f t="shared" si="141"/>
        <v>Desmoldeo</v>
      </c>
      <c r="CA108" s="367" t="str">
        <f t="shared" si="141"/>
        <v>Perforación Cilindro</v>
      </c>
      <c r="CB108" s="367" t="str">
        <f t="shared" si="141"/>
        <v>Corte de espuma continua</v>
      </c>
      <c r="CC108" s="367" t="str">
        <f t="shared" si="141"/>
        <v>nj</v>
      </c>
      <c r="CD108" s="367" t="str">
        <f t="shared" si="141"/>
        <v>Acolchado</v>
      </c>
      <c r="CE108" s="370" t="s">
        <v>299</v>
      </c>
      <c r="CG108" s="326">
        <f t="shared" ref="CG108:CG118" si="142">AQ108</f>
        <v>0</v>
      </c>
      <c r="CH108" s="326" t="str">
        <f t="shared" ref="CH108:CH118" si="143">AR108</f>
        <v>Confección colchón algodón</v>
      </c>
      <c r="CI108" s="326" t="str">
        <f t="shared" ref="CI108:CI118" si="144">AS108</f>
        <v>Pesado de MP</v>
      </c>
      <c r="CJ108" s="367" t="str">
        <f t="shared" ref="CJ108:CJ118" si="145">AT108</f>
        <v>Pre-mezclado</v>
      </c>
      <c r="CK108" s="326" t="str">
        <f t="shared" ref="CK108:CK118" si="146">AU108</f>
        <v>Mezclado</v>
      </c>
      <c r="CL108" s="326" t="str">
        <f t="shared" ref="CL108:CL118" si="147">AV108</f>
        <v>Moldeo</v>
      </c>
      <c r="CM108" s="326" t="str">
        <f>CA108</f>
        <v>Perforación Cilindro</v>
      </c>
      <c r="CN108" s="326" t="str">
        <f>CB108</f>
        <v>Corte de espuma continua</v>
      </c>
      <c r="CO108" s="326" t="str">
        <f>CD108</f>
        <v>Acolchado</v>
      </c>
      <c r="CP108" s="326" t="str">
        <f t="shared" ref="CP108:CU108" si="148">BA108</f>
        <v>Corte bloque espuma en láminas</v>
      </c>
      <c r="CQ108" s="326" t="str">
        <f t="shared" si="148"/>
        <v>Corte tapa tela acolchada</v>
      </c>
      <c r="CR108" s="326" t="str">
        <f t="shared" si="148"/>
        <v>Confección colchón (+Cerrado y tapizado(resortados))</v>
      </c>
      <c r="CS108" s="326" t="str">
        <f t="shared" si="148"/>
        <v>Triturado-corte manual</v>
      </c>
      <c r="CT108" s="326" t="str">
        <f t="shared" si="148"/>
        <v>Corte tapas de espuma</v>
      </c>
      <c r="CU108" s="326" t="str">
        <f t="shared" si="148"/>
        <v>Pegar tapas de espuma</v>
      </c>
      <c r="CV108" s="326" t="str">
        <f t="shared" ref="CV108:CV120" si="149">BH108</f>
        <v>Rellenado-Pesado</v>
      </c>
      <c r="CW108" s="326" t="str">
        <f t="shared" ref="CW108:CW120" si="150">BI108</f>
        <v>Confección funda tela sin cremallera</v>
      </c>
      <c r="CX108" s="326" t="str">
        <f t="shared" ref="CX108:CX120" si="151">BJ108</f>
        <v>Sellado bolsa espuma</v>
      </c>
      <c r="CY108" s="326" t="str">
        <f t="shared" ref="CY108:CY120" si="152">BN108</f>
        <v>Corte madera</v>
      </c>
      <c r="CZ108" s="326" t="str">
        <f t="shared" ref="CZ108:CZ120" si="153">BO108</f>
        <v>Lijado</v>
      </c>
      <c r="DA108" s="326" t="str">
        <f t="shared" ref="DA108:DA120" si="154">BP108</f>
        <v>Barnizado</v>
      </c>
      <c r="DB108" s="326" t="str">
        <f t="shared" ref="DB108:DB120" si="155">BQ108</f>
        <v>Ensamble base cama</v>
      </c>
      <c r="DC108" s="326" t="str">
        <f>CE108</f>
        <v>nj</v>
      </c>
      <c r="DBA108" s="326" t="s">
        <v>78</v>
      </c>
      <c r="DBB108" s="326"/>
      <c r="DBC108" s="326"/>
      <c r="DBD108" s="326"/>
      <c r="DBE108" s="326"/>
      <c r="DBF108" s="326"/>
      <c r="DBG108" s="326"/>
      <c r="DBH108" s="326"/>
      <c r="DBI108" s="326"/>
      <c r="DBJ108" s="326"/>
      <c r="DBK108" s="326"/>
      <c r="DBL108" s="326"/>
      <c r="DBM108" s="326"/>
      <c r="DBN108" s="326">
        <v>1151.78</v>
      </c>
      <c r="DBO108" s="326">
        <v>1115.7111</v>
      </c>
      <c r="DBP108" s="326">
        <v>343.80200000000002</v>
      </c>
      <c r="DBQ108" s="326">
        <v>994.8896666666667</v>
      </c>
      <c r="DBR108" s="326">
        <v>1241.4110000000001</v>
      </c>
      <c r="DBS108" s="326">
        <v>3927.31</v>
      </c>
      <c r="DBT108" s="326">
        <v>151.76650000000001</v>
      </c>
      <c r="DBU108" s="326">
        <v>234.03649999999999</v>
      </c>
      <c r="DBV108" s="326"/>
      <c r="DBW108" s="326"/>
      <c r="DBX108" s="326"/>
      <c r="DBY108" s="326"/>
      <c r="DBZ108" s="326"/>
      <c r="DCA108" s="326"/>
      <c r="DCB108" s="326"/>
      <c r="DCC108" s="326"/>
      <c r="DCD108" s="326"/>
      <c r="DCE108" s="326"/>
      <c r="DCF108" s="326"/>
      <c r="DCG108" s="326"/>
      <c r="DCH108" s="326"/>
      <c r="DCI108" s="326"/>
      <c r="DCJ108" s="326"/>
      <c r="DCK108" s="326"/>
      <c r="DCL108" s="326"/>
      <c r="DCM108" s="326"/>
      <c r="DCN108" s="326"/>
      <c r="DCO108" s="326">
        <f>COUNT(DBB108:DCN108)</f>
        <v>8</v>
      </c>
    </row>
    <row r="109" spans="1:107 2757:2797" x14ac:dyDescent="0.25">
      <c r="A109" s="315" t="str">
        <v>P6 100 X 190</v>
      </c>
      <c r="B109" s="315">
        <v>0</v>
      </c>
      <c r="C109" s="315">
        <v>0</v>
      </c>
      <c r="D109" s="315">
        <v>0</v>
      </c>
      <c r="E109" s="315">
        <v>0</v>
      </c>
      <c r="F109" s="315">
        <v>0</v>
      </c>
      <c r="G109" s="315">
        <v>0</v>
      </c>
      <c r="H109" s="315">
        <v>0</v>
      </c>
      <c r="I109" s="315">
        <v>0</v>
      </c>
      <c r="J109" s="315">
        <v>0</v>
      </c>
      <c r="K109" s="315">
        <v>15.146999999999998</v>
      </c>
      <c r="L109" s="315">
        <v>51.986000000000004</v>
      </c>
      <c r="M109" s="315">
        <v>271.26000000000005</v>
      </c>
      <c r="N109" s="315">
        <v>117.48</v>
      </c>
      <c r="O109" s="315">
        <v>0</v>
      </c>
      <c r="P109" s="315">
        <v>0</v>
      </c>
      <c r="Q109" s="315">
        <v>0</v>
      </c>
      <c r="R109" s="315">
        <v>0</v>
      </c>
      <c r="S109" s="315">
        <v>0</v>
      </c>
      <c r="T109" s="315">
        <v>0</v>
      </c>
      <c r="U109" s="315">
        <v>0</v>
      </c>
      <c r="V109" s="315">
        <v>0</v>
      </c>
      <c r="W109" s="315">
        <v>0</v>
      </c>
      <c r="X109" s="315">
        <v>0</v>
      </c>
      <c r="Y109" s="315">
        <v>0</v>
      </c>
      <c r="Z109" s="315">
        <v>0</v>
      </c>
      <c r="AA109" s="315">
        <v>0</v>
      </c>
      <c r="AB109" s="315">
        <v>110</v>
      </c>
      <c r="AC109" s="315">
        <v>0</v>
      </c>
      <c r="AD109" s="315">
        <v>0</v>
      </c>
      <c r="AE109" s="315">
        <v>0</v>
      </c>
      <c r="AF109" s="315">
        <v>0</v>
      </c>
      <c r="AG109" s="315">
        <v>0</v>
      </c>
      <c r="AH109" s="315">
        <v>0</v>
      </c>
      <c r="AI109" s="315">
        <v>0</v>
      </c>
      <c r="AJ109" s="315">
        <v>0</v>
      </c>
      <c r="AK109" s="315">
        <v>0</v>
      </c>
      <c r="AL109" s="315">
        <v>0</v>
      </c>
      <c r="AM109" s="315">
        <v>0</v>
      </c>
      <c r="AN109" s="315">
        <v>0</v>
      </c>
      <c r="AO109" s="315" t="e">
        <v>#N/A</v>
      </c>
      <c r="AQ109" s="326" t="str">
        <f t="shared" ref="AQ109:BF120" si="156">AQ91</f>
        <v>P2(45x60)</v>
      </c>
      <c r="AR109" s="326">
        <f>AR91</f>
        <v>0</v>
      </c>
      <c r="AS109" s="326">
        <f t="shared" ref="AS109:CD109" si="157">AS91</f>
        <v>0</v>
      </c>
      <c r="AT109" s="326">
        <f t="shared" si="157"/>
        <v>0</v>
      </c>
      <c r="AU109" s="326">
        <f t="shared" si="157"/>
        <v>0</v>
      </c>
      <c r="AV109" s="326">
        <f t="shared" si="157"/>
        <v>0</v>
      </c>
      <c r="AW109" s="326">
        <f t="shared" si="157"/>
        <v>0</v>
      </c>
      <c r="AX109" s="326">
        <f t="shared" si="157"/>
        <v>0</v>
      </c>
      <c r="AY109" s="326">
        <f t="shared" si="157"/>
        <v>0</v>
      </c>
      <c r="AZ109" s="326">
        <f t="shared" si="157"/>
        <v>0</v>
      </c>
      <c r="BA109" s="326">
        <f t="shared" si="157"/>
        <v>0</v>
      </c>
      <c r="BB109" s="326">
        <f t="shared" si="157"/>
        <v>0</v>
      </c>
      <c r="BC109" s="326">
        <f t="shared" si="157"/>
        <v>0</v>
      </c>
      <c r="BD109" s="369">
        <v>8</v>
      </c>
      <c r="BE109" s="379">
        <v>0</v>
      </c>
      <c r="BF109" s="369">
        <v>9</v>
      </c>
      <c r="BG109" s="369">
        <v>6</v>
      </c>
      <c r="BH109" s="369">
        <v>10</v>
      </c>
      <c r="BI109" s="369">
        <v>11</v>
      </c>
      <c r="BJ109" s="369">
        <v>12</v>
      </c>
      <c r="BK109" s="326">
        <f t="shared" si="157"/>
        <v>4.3813856914393394</v>
      </c>
      <c r="BL109" s="326">
        <f t="shared" si="157"/>
        <v>0</v>
      </c>
      <c r="BM109" s="326">
        <f t="shared" si="157"/>
        <v>0</v>
      </c>
      <c r="BN109" s="326">
        <f t="shared" si="157"/>
        <v>0</v>
      </c>
      <c r="BO109" s="326">
        <f t="shared" si="157"/>
        <v>0</v>
      </c>
      <c r="BP109" s="326">
        <f t="shared" si="157"/>
        <v>0</v>
      </c>
      <c r="BQ109" s="326">
        <f t="shared" si="157"/>
        <v>0</v>
      </c>
      <c r="BR109" s="326">
        <f t="shared" si="157"/>
        <v>2893.5146691625769</v>
      </c>
      <c r="BS109" s="326">
        <f t="shared" si="157"/>
        <v>0</v>
      </c>
      <c r="BT109" s="326">
        <f t="shared" si="157"/>
        <v>0</v>
      </c>
      <c r="BU109" s="367" t="e">
        <f t="shared" si="157"/>
        <v>#VALUE!</v>
      </c>
      <c r="BV109" s="367">
        <f t="shared" si="157"/>
        <v>4.1539477787380852</v>
      </c>
      <c r="BW109" s="367">
        <f t="shared" si="157"/>
        <v>3.5279424193506346</v>
      </c>
      <c r="BX109" s="367">
        <f t="shared" si="157"/>
        <v>2.9579939474246384</v>
      </c>
      <c r="BY109" s="367">
        <f t="shared" si="157"/>
        <v>83.061079165768078</v>
      </c>
      <c r="BZ109" s="367">
        <f t="shared" si="157"/>
        <v>5.3894062669633414</v>
      </c>
      <c r="CA109" s="367">
        <f t="shared" si="157"/>
        <v>0</v>
      </c>
      <c r="CB109" s="367">
        <f t="shared" si="157"/>
        <v>0</v>
      </c>
      <c r="CC109" s="367">
        <f t="shared" si="157"/>
        <v>56.939673090767492</v>
      </c>
      <c r="CD109" s="367">
        <f t="shared" si="157"/>
        <v>0</v>
      </c>
      <c r="CE109" s="370">
        <f t="array" ref="CE109:CE118">TRANSPOSE(B28:K28)</f>
        <v>433</v>
      </c>
      <c r="CG109" s="326" t="str">
        <f t="shared" si="142"/>
        <v>P2(45x60)</v>
      </c>
      <c r="CH109" s="326">
        <f t="shared" si="143"/>
        <v>0</v>
      </c>
      <c r="CI109" s="326">
        <f t="shared" si="144"/>
        <v>0</v>
      </c>
      <c r="CJ109" s="326">
        <f t="shared" si="145"/>
        <v>0</v>
      </c>
      <c r="CK109" s="326">
        <f t="shared" si="146"/>
        <v>0</v>
      </c>
      <c r="CL109" s="326">
        <f t="shared" si="147"/>
        <v>0</v>
      </c>
      <c r="CM109">
        <v>0</v>
      </c>
      <c r="CN109">
        <v>0</v>
      </c>
      <c r="CO109">
        <v>0</v>
      </c>
      <c r="CP109" s="326">
        <f t="shared" ref="CP109:CP120" si="158">BA109</f>
        <v>0</v>
      </c>
      <c r="CQ109" s="326">
        <f>BG109</f>
        <v>6</v>
      </c>
      <c r="CR109" s="326">
        <f t="shared" ref="CR109:CR120" si="159">BC109</f>
        <v>0</v>
      </c>
      <c r="CS109" s="326">
        <f t="shared" ref="CS109:CS120" si="160">BD109</f>
        <v>8</v>
      </c>
      <c r="CT109" s="326">
        <f t="shared" ref="CT109:CT120" si="161">BE109</f>
        <v>0</v>
      </c>
      <c r="CU109" s="326">
        <f t="shared" ref="CU109:CU120" si="162">BF109</f>
        <v>9</v>
      </c>
      <c r="CV109" s="326">
        <f t="shared" si="149"/>
        <v>10</v>
      </c>
      <c r="CW109" s="326">
        <f t="shared" si="150"/>
        <v>11</v>
      </c>
      <c r="CX109" s="326">
        <f t="shared" si="151"/>
        <v>12</v>
      </c>
      <c r="CY109" s="326">
        <f t="shared" si="152"/>
        <v>0</v>
      </c>
      <c r="CZ109" s="326">
        <f t="shared" si="153"/>
        <v>0</v>
      </c>
      <c r="DA109" s="326">
        <f t="shared" si="154"/>
        <v>0</v>
      </c>
      <c r="DB109" s="326">
        <f t="shared" si="155"/>
        <v>0</v>
      </c>
      <c r="DC109" s="326">
        <f>CE109</f>
        <v>433</v>
      </c>
      <c r="DBA109" s="326" t="s">
        <v>97</v>
      </c>
      <c r="DBB109" s="326"/>
      <c r="DBC109" s="326">
        <v>1015</v>
      </c>
      <c r="DBD109" s="326"/>
      <c r="DBE109" s="326">
        <v>54.131979999999999</v>
      </c>
      <c r="DBF109" s="326">
        <v>1542.8</v>
      </c>
      <c r="DBG109" s="326"/>
      <c r="DBH109" s="326"/>
      <c r="DBI109" s="326"/>
      <c r="DBJ109" s="326"/>
      <c r="DBK109" s="326"/>
      <c r="DBL109" s="326"/>
      <c r="DBM109" s="326"/>
      <c r="DBN109" s="326"/>
      <c r="DBO109" s="326"/>
      <c r="DBP109" s="326"/>
      <c r="DBQ109" s="326">
        <v>1011.8332</v>
      </c>
      <c r="DBR109" s="326"/>
      <c r="DBS109" s="326">
        <v>4129.0199999999995</v>
      </c>
      <c r="DBT109" s="326"/>
      <c r="DBU109" s="326">
        <v>226.345</v>
      </c>
      <c r="DBV109" s="326"/>
      <c r="DBW109" s="326"/>
      <c r="DBX109" s="326"/>
      <c r="DBY109" s="326"/>
      <c r="DBZ109" s="326"/>
      <c r="DCA109" s="326"/>
      <c r="DCB109" s="326"/>
      <c r="DCC109" s="326"/>
      <c r="DCD109" s="326"/>
      <c r="DCE109" s="326"/>
      <c r="DCF109" s="326"/>
      <c r="DCG109" s="326"/>
      <c r="DCH109" s="326"/>
      <c r="DCI109" s="326"/>
      <c r="DCJ109" s="326"/>
      <c r="DCK109" s="326"/>
      <c r="DCL109" s="326"/>
      <c r="DCM109" s="326"/>
      <c r="DCN109" s="326"/>
      <c r="DCO109" s="326">
        <f t="shared" ref="DCO109:DCO120" si="163">COUNT(DBB109:DCN109)</f>
        <v>6</v>
      </c>
    </row>
    <row r="110" spans="1:107 2757:2797" x14ac:dyDescent="0.25">
      <c r="A110" s="315" t="str">
        <v>P7 100 X 190</v>
      </c>
      <c r="B110" s="315">
        <v>0</v>
      </c>
      <c r="C110" s="315">
        <v>0</v>
      </c>
      <c r="D110" s="315">
        <v>0</v>
      </c>
      <c r="E110" s="315">
        <v>0</v>
      </c>
      <c r="F110" s="315">
        <v>0</v>
      </c>
      <c r="G110" s="315">
        <v>0</v>
      </c>
      <c r="H110" s="315">
        <v>0</v>
      </c>
      <c r="I110" s="315">
        <v>0</v>
      </c>
      <c r="J110" s="315">
        <v>0</v>
      </c>
      <c r="K110" s="315">
        <v>0</v>
      </c>
      <c r="L110" s="315">
        <v>57.744800000000005</v>
      </c>
      <c r="M110" s="315">
        <v>268.1456</v>
      </c>
      <c r="N110" s="315">
        <v>123.88800000000001</v>
      </c>
      <c r="O110" s="315">
        <v>0</v>
      </c>
      <c r="P110" s="315">
        <v>0</v>
      </c>
      <c r="Q110" s="315">
        <v>0</v>
      </c>
      <c r="R110" s="315">
        <v>0</v>
      </c>
      <c r="S110" s="315">
        <v>0</v>
      </c>
      <c r="T110" s="315">
        <v>0</v>
      </c>
      <c r="U110" s="315">
        <v>0</v>
      </c>
      <c r="V110" s="315">
        <v>0</v>
      </c>
      <c r="W110" s="315">
        <v>0</v>
      </c>
      <c r="X110" s="315">
        <v>0</v>
      </c>
      <c r="Y110" s="315">
        <v>0</v>
      </c>
      <c r="Z110" s="315">
        <v>0</v>
      </c>
      <c r="AA110" s="315">
        <v>0</v>
      </c>
      <c r="AB110" s="315">
        <v>116</v>
      </c>
      <c r="AC110" s="315">
        <v>0</v>
      </c>
      <c r="AD110" s="315">
        <v>0</v>
      </c>
      <c r="AE110" s="315">
        <v>0</v>
      </c>
      <c r="AF110" s="315">
        <v>0</v>
      </c>
      <c r="AG110" s="315">
        <v>0</v>
      </c>
      <c r="AH110" s="315">
        <v>0</v>
      </c>
      <c r="AI110" s="315">
        <v>0</v>
      </c>
      <c r="AJ110" s="315">
        <v>0</v>
      </c>
      <c r="AK110" s="315">
        <v>0</v>
      </c>
      <c r="AL110" s="315">
        <v>0</v>
      </c>
      <c r="AM110" s="315">
        <v>0</v>
      </c>
      <c r="AN110" s="315">
        <v>0</v>
      </c>
      <c r="AO110" s="315" t="e">
        <v>#N/A</v>
      </c>
      <c r="AQ110" s="326" t="str">
        <f t="shared" si="156"/>
        <v>P1(40x60)</v>
      </c>
      <c r="AR110" s="326">
        <f t="shared" si="156"/>
        <v>0</v>
      </c>
      <c r="AS110" s="369">
        <v>2</v>
      </c>
      <c r="AT110" s="326">
        <f t="shared" si="156"/>
        <v>0</v>
      </c>
      <c r="AU110" s="369">
        <v>3</v>
      </c>
      <c r="AV110" s="369">
        <v>4</v>
      </c>
      <c r="AW110" s="326">
        <f t="shared" si="156"/>
        <v>0</v>
      </c>
      <c r="AX110" s="326">
        <f t="shared" si="156"/>
        <v>0</v>
      </c>
      <c r="AY110" s="326">
        <f t="shared" si="156"/>
        <v>0</v>
      </c>
      <c r="AZ110" s="326">
        <f t="shared" si="156"/>
        <v>0</v>
      </c>
      <c r="BA110" s="326">
        <f t="shared" si="156"/>
        <v>0</v>
      </c>
      <c r="BB110" s="326">
        <f t="shared" si="156"/>
        <v>0</v>
      </c>
      <c r="BC110" s="326">
        <f t="shared" si="156"/>
        <v>0</v>
      </c>
      <c r="BD110" s="326">
        <f t="shared" si="156"/>
        <v>0</v>
      </c>
      <c r="BE110" s="326">
        <f t="shared" si="156"/>
        <v>0</v>
      </c>
      <c r="BF110" s="326">
        <f t="shared" si="156"/>
        <v>0</v>
      </c>
      <c r="BG110" s="369">
        <v>6</v>
      </c>
      <c r="BH110" s="326">
        <f t="shared" ref="BH110:CD110" si="164">BH92</f>
        <v>0</v>
      </c>
      <c r="BI110" s="369">
        <v>11</v>
      </c>
      <c r="BJ110" s="326">
        <f t="shared" si="164"/>
        <v>0</v>
      </c>
      <c r="BK110" s="326">
        <f t="shared" si="164"/>
        <v>4.4228329899831014</v>
      </c>
      <c r="BL110" s="326">
        <f t="shared" si="164"/>
        <v>0</v>
      </c>
      <c r="BM110" s="326">
        <f t="shared" si="164"/>
        <v>0</v>
      </c>
      <c r="BN110" s="326">
        <f t="shared" si="164"/>
        <v>0</v>
      </c>
      <c r="BO110" s="326">
        <f t="shared" si="164"/>
        <v>0</v>
      </c>
      <c r="BP110" s="326">
        <f t="shared" si="164"/>
        <v>0</v>
      </c>
      <c r="BQ110" s="326">
        <f t="shared" si="164"/>
        <v>0</v>
      </c>
      <c r="BR110" s="326">
        <f t="shared" si="164"/>
        <v>2544.3010981245543</v>
      </c>
      <c r="BS110" s="326">
        <f t="shared" si="164"/>
        <v>0</v>
      </c>
      <c r="BT110" s="326">
        <f t="shared" si="164"/>
        <v>0</v>
      </c>
      <c r="BU110" s="367" t="e">
        <f t="shared" si="164"/>
        <v>#VALUE!</v>
      </c>
      <c r="BV110" s="367">
        <f t="shared" si="164"/>
        <v>0.55099680950598018</v>
      </c>
      <c r="BW110" s="367">
        <f t="shared" si="164"/>
        <v>0.41022586271519013</v>
      </c>
      <c r="BX110" s="367">
        <f t="shared" si="164"/>
        <v>0.34395278458426026</v>
      </c>
      <c r="BY110" s="367">
        <f t="shared" si="164"/>
        <v>9.6304085134433635</v>
      </c>
      <c r="BZ110" s="367">
        <f t="shared" si="164"/>
        <v>0.69665643834282731</v>
      </c>
      <c r="CA110" s="367">
        <f t="shared" si="164"/>
        <v>0.14596757731218926</v>
      </c>
      <c r="CB110" s="367">
        <f t="shared" si="164"/>
        <v>4.563180507620296</v>
      </c>
      <c r="CC110" s="367">
        <f t="shared" si="164"/>
        <v>0.76987118835542856</v>
      </c>
      <c r="CD110" s="367">
        <f t="shared" si="164"/>
        <v>4.9168080068048896</v>
      </c>
      <c r="CE110" s="370">
        <v>406</v>
      </c>
      <c r="CG110" s="326" t="str">
        <f t="shared" si="142"/>
        <v>P1(40x60)</v>
      </c>
      <c r="CH110" s="326">
        <f t="shared" si="143"/>
        <v>0</v>
      </c>
      <c r="CI110" s="326">
        <f t="shared" si="144"/>
        <v>2</v>
      </c>
      <c r="CJ110" s="326">
        <f t="shared" si="145"/>
        <v>0</v>
      </c>
      <c r="CK110" s="326">
        <f t="shared" si="146"/>
        <v>3</v>
      </c>
      <c r="CL110" s="326">
        <f t="shared" si="147"/>
        <v>4</v>
      </c>
      <c r="CM110">
        <v>0</v>
      </c>
      <c r="CN110">
        <v>0</v>
      </c>
      <c r="CO110">
        <v>0</v>
      </c>
      <c r="CP110" s="326">
        <f t="shared" si="158"/>
        <v>0</v>
      </c>
      <c r="CQ110" s="326">
        <f>BG110</f>
        <v>6</v>
      </c>
      <c r="CR110" s="326">
        <f t="shared" si="159"/>
        <v>0</v>
      </c>
      <c r="CS110" s="326">
        <f t="shared" si="160"/>
        <v>0</v>
      </c>
      <c r="CT110" s="326">
        <f t="shared" si="161"/>
        <v>0</v>
      </c>
      <c r="CU110" s="326">
        <f t="shared" si="162"/>
        <v>0</v>
      </c>
      <c r="CV110" s="326">
        <f t="shared" si="149"/>
        <v>0</v>
      </c>
      <c r="CW110" s="326">
        <f t="shared" si="150"/>
        <v>11</v>
      </c>
      <c r="CX110" s="326">
        <f t="shared" si="151"/>
        <v>0</v>
      </c>
      <c r="CY110" s="326">
        <f t="shared" si="152"/>
        <v>0</v>
      </c>
      <c r="CZ110" s="326">
        <f t="shared" si="153"/>
        <v>0</v>
      </c>
      <c r="DA110" s="326">
        <f t="shared" si="154"/>
        <v>0</v>
      </c>
      <c r="DB110" s="326">
        <f t="shared" si="155"/>
        <v>0</v>
      </c>
      <c r="DC110" s="326">
        <f>CE110</f>
        <v>406</v>
      </c>
      <c r="DBA110" s="315" t="s">
        <v>145</v>
      </c>
      <c r="DBB110" s="315"/>
      <c r="DBC110" s="315"/>
      <c r="DBD110" s="315"/>
      <c r="DBE110" s="315"/>
      <c r="DBF110" s="315"/>
      <c r="DBG110" s="315"/>
      <c r="DBH110" s="315"/>
      <c r="DBI110" s="315"/>
      <c r="DBJ110" s="315"/>
      <c r="DBK110" s="315">
        <v>175.5</v>
      </c>
      <c r="DBL110" s="315">
        <v>1508.7150000000001</v>
      </c>
      <c r="DBM110" s="315"/>
      <c r="DBN110" s="315"/>
      <c r="DBO110" s="315"/>
      <c r="DBP110" s="315"/>
      <c r="DBQ110" s="315"/>
      <c r="DBR110" s="315"/>
      <c r="DBS110" s="315">
        <v>8511.75</v>
      </c>
      <c r="DBT110" s="315"/>
      <c r="DBU110" s="315">
        <v>452.38049999999998</v>
      </c>
      <c r="DBV110" s="315"/>
      <c r="DBW110" s="315"/>
      <c r="DBX110" s="315"/>
      <c r="DBY110" s="315"/>
      <c r="DBZ110" s="315"/>
      <c r="DCA110" s="315"/>
      <c r="DCB110" s="315"/>
      <c r="DCC110" s="315"/>
      <c r="DCD110" s="315"/>
      <c r="DCE110" s="315"/>
      <c r="DCF110" s="315"/>
      <c r="DCG110" s="315"/>
      <c r="DCH110" s="315"/>
      <c r="DCI110" s="315"/>
      <c r="DCJ110" s="315"/>
      <c r="DCK110" s="315"/>
      <c r="DCL110" s="315"/>
      <c r="DCM110" s="315"/>
      <c r="DCN110" s="315"/>
      <c r="DCO110" s="315">
        <f t="shared" si="163"/>
        <v>4</v>
      </c>
    </row>
    <row r="111" spans="1:107 2757:2797" x14ac:dyDescent="0.25">
      <c r="A111" s="315" t="str">
        <v>P9 100 X 190</v>
      </c>
      <c r="B111" s="315">
        <v>0</v>
      </c>
      <c r="C111" s="315">
        <v>0</v>
      </c>
      <c r="D111" s="315">
        <v>0</v>
      </c>
      <c r="E111" s="315">
        <v>0</v>
      </c>
      <c r="F111" s="315">
        <v>0</v>
      </c>
      <c r="G111" s="315">
        <v>0</v>
      </c>
      <c r="H111" s="315">
        <v>0</v>
      </c>
      <c r="I111" s="315">
        <v>0</v>
      </c>
      <c r="J111" s="315">
        <v>0</v>
      </c>
      <c r="K111" s="315">
        <v>0</v>
      </c>
      <c r="L111" s="315">
        <v>64.492400000000004</v>
      </c>
      <c r="M111" s="315">
        <v>231.756</v>
      </c>
      <c r="N111" s="315">
        <v>132.43200000000002</v>
      </c>
      <c r="O111" s="315">
        <v>0</v>
      </c>
      <c r="P111" s="315">
        <v>0</v>
      </c>
      <c r="Q111" s="315">
        <v>0</v>
      </c>
      <c r="R111" s="315">
        <v>0</v>
      </c>
      <c r="S111" s="315">
        <v>0</v>
      </c>
      <c r="T111" s="315">
        <v>0</v>
      </c>
      <c r="U111" s="315">
        <v>0</v>
      </c>
      <c r="V111" s="315">
        <v>0</v>
      </c>
      <c r="W111" s="315">
        <v>0</v>
      </c>
      <c r="X111" s="315">
        <v>0</v>
      </c>
      <c r="Y111" s="315">
        <v>0</v>
      </c>
      <c r="Z111" s="315">
        <v>0</v>
      </c>
      <c r="AA111" s="315">
        <v>0</v>
      </c>
      <c r="AB111" s="315">
        <v>124</v>
      </c>
      <c r="AC111" s="315">
        <v>0</v>
      </c>
      <c r="AD111" s="315">
        <v>0</v>
      </c>
      <c r="AE111" s="315">
        <v>0</v>
      </c>
      <c r="AF111" s="315">
        <v>0</v>
      </c>
      <c r="AG111" s="315">
        <v>0</v>
      </c>
      <c r="AH111" s="315">
        <v>0</v>
      </c>
      <c r="AI111" s="315">
        <v>0</v>
      </c>
      <c r="AJ111" s="315">
        <v>0</v>
      </c>
      <c r="AK111" s="315">
        <v>0</v>
      </c>
      <c r="AL111" s="315">
        <v>0</v>
      </c>
      <c r="AM111" s="315">
        <v>0</v>
      </c>
      <c r="AN111" s="315">
        <v>0</v>
      </c>
      <c r="AO111" s="315" t="e">
        <v>#N/A</v>
      </c>
      <c r="AQ111" s="326" t="str">
        <f t="shared" si="156"/>
        <v>P11(C10)100X190</v>
      </c>
      <c r="AR111" s="326">
        <f t="shared" si="156"/>
        <v>0</v>
      </c>
      <c r="AS111" s="326">
        <f t="shared" si="156"/>
        <v>0</v>
      </c>
      <c r="AT111" s="326">
        <f t="shared" si="156"/>
        <v>0</v>
      </c>
      <c r="AU111" s="326">
        <f t="shared" si="156"/>
        <v>0</v>
      </c>
      <c r="AV111" s="326">
        <f t="shared" si="156"/>
        <v>0</v>
      </c>
      <c r="AW111" s="326">
        <f t="shared" si="156"/>
        <v>0</v>
      </c>
      <c r="AX111" s="326">
        <f t="shared" si="156"/>
        <v>0</v>
      </c>
      <c r="AY111" s="326">
        <f t="shared" si="156"/>
        <v>0</v>
      </c>
      <c r="AZ111" s="326">
        <f t="shared" si="156"/>
        <v>0</v>
      </c>
      <c r="BA111" s="369">
        <v>5</v>
      </c>
      <c r="BB111" s="369">
        <v>6</v>
      </c>
      <c r="BC111" s="326">
        <f t="shared" si="156"/>
        <v>0</v>
      </c>
      <c r="BD111" s="326">
        <f t="shared" si="156"/>
        <v>0</v>
      </c>
      <c r="BE111" s="326">
        <f t="shared" si="156"/>
        <v>0</v>
      </c>
      <c r="BF111" s="326">
        <f t="shared" si="156"/>
        <v>0</v>
      </c>
      <c r="BG111" s="326">
        <f t="shared" ref="BG111:CD111" si="165">BG93</f>
        <v>0</v>
      </c>
      <c r="BH111" s="326">
        <f t="shared" si="165"/>
        <v>0</v>
      </c>
      <c r="BI111" s="369">
        <v>11</v>
      </c>
      <c r="BJ111" s="326">
        <f t="shared" si="165"/>
        <v>0</v>
      </c>
      <c r="BK111" s="326">
        <f t="shared" si="165"/>
        <v>8.2652754884888129</v>
      </c>
      <c r="BL111" s="326">
        <f t="shared" si="165"/>
        <v>0</v>
      </c>
      <c r="BM111" s="326">
        <f t="shared" si="165"/>
        <v>0</v>
      </c>
      <c r="BN111" s="326">
        <f t="shared" si="165"/>
        <v>0</v>
      </c>
      <c r="BO111" s="326">
        <f t="shared" si="165"/>
        <v>0</v>
      </c>
      <c r="BP111" s="326">
        <f t="shared" si="165"/>
        <v>0</v>
      </c>
      <c r="BQ111" s="326">
        <f t="shared" si="165"/>
        <v>0</v>
      </c>
      <c r="BR111" s="326">
        <f t="shared" si="165"/>
        <v>5278.3908416024888</v>
      </c>
      <c r="BS111" s="326">
        <f t="shared" si="165"/>
        <v>0</v>
      </c>
      <c r="BT111" s="326">
        <f t="shared" si="165"/>
        <v>0</v>
      </c>
      <c r="BU111" s="326">
        <f t="shared" si="165"/>
        <v>0</v>
      </c>
      <c r="BV111" s="326">
        <f t="shared" si="165"/>
        <v>0</v>
      </c>
      <c r="BW111" s="326">
        <f t="shared" si="165"/>
        <v>0</v>
      </c>
      <c r="BX111" s="326">
        <f t="shared" si="165"/>
        <v>0</v>
      </c>
      <c r="BY111" s="326">
        <f t="shared" si="165"/>
        <v>0</v>
      </c>
      <c r="BZ111" s="326">
        <f t="shared" si="165"/>
        <v>0</v>
      </c>
      <c r="CA111" s="326">
        <f t="shared" si="165"/>
        <v>0</v>
      </c>
      <c r="CB111" s="326">
        <f t="shared" si="165"/>
        <v>0</v>
      </c>
      <c r="CC111" s="326">
        <f t="shared" si="165"/>
        <v>0</v>
      </c>
      <c r="CD111" s="326">
        <f t="shared" si="165"/>
        <v>0</v>
      </c>
      <c r="CE111" s="370">
        <v>585</v>
      </c>
      <c r="CG111" s="326" t="str">
        <f t="shared" si="142"/>
        <v>P11(C10)100X190</v>
      </c>
      <c r="CH111" s="326">
        <f t="shared" si="143"/>
        <v>0</v>
      </c>
      <c r="CI111" s="326">
        <f t="shared" si="144"/>
        <v>0</v>
      </c>
      <c r="CJ111" s="326">
        <f t="shared" si="145"/>
        <v>0</v>
      </c>
      <c r="CK111" s="326">
        <f t="shared" si="146"/>
        <v>0</v>
      </c>
      <c r="CL111" s="326">
        <f t="shared" si="147"/>
        <v>0</v>
      </c>
      <c r="CM111">
        <v>0</v>
      </c>
      <c r="CN111">
        <v>0</v>
      </c>
      <c r="CO111">
        <v>0</v>
      </c>
      <c r="CP111" s="326">
        <f t="shared" si="158"/>
        <v>5</v>
      </c>
      <c r="CQ111" s="326">
        <f t="shared" ref="CQ111:CQ120" si="166">BB111</f>
        <v>6</v>
      </c>
      <c r="CR111" s="326">
        <f t="shared" si="159"/>
        <v>0</v>
      </c>
      <c r="CS111" s="326">
        <f t="shared" si="160"/>
        <v>0</v>
      </c>
      <c r="CT111" s="326">
        <f t="shared" si="161"/>
        <v>0</v>
      </c>
      <c r="CU111" s="326">
        <f t="shared" si="162"/>
        <v>0</v>
      </c>
      <c r="CV111" s="326">
        <f t="shared" si="149"/>
        <v>0</v>
      </c>
      <c r="CW111" s="326">
        <f t="shared" si="150"/>
        <v>11</v>
      </c>
      <c r="CX111" s="326">
        <f t="shared" si="151"/>
        <v>0</v>
      </c>
      <c r="CY111" s="326">
        <f t="shared" si="152"/>
        <v>0</v>
      </c>
      <c r="CZ111" s="326">
        <f t="shared" si="153"/>
        <v>0</v>
      </c>
      <c r="DA111" s="326">
        <f t="shared" si="154"/>
        <v>0</v>
      </c>
      <c r="DB111" s="326">
        <f t="shared" si="155"/>
        <v>0</v>
      </c>
      <c r="DC111" s="326">
        <f>CE111</f>
        <v>585</v>
      </c>
      <c r="DBA111" s="315" t="s">
        <v>171</v>
      </c>
      <c r="DBB111" s="315"/>
      <c r="DBC111" s="315"/>
      <c r="DBD111" s="315"/>
      <c r="DBE111" s="315"/>
      <c r="DBF111" s="315"/>
      <c r="DBG111" s="315"/>
      <c r="DBH111" s="315"/>
      <c r="DBI111" s="315"/>
      <c r="DBJ111" s="315"/>
      <c r="DBK111" s="315">
        <v>83.391099999999994</v>
      </c>
      <c r="DBL111" s="315">
        <v>830.32300000000009</v>
      </c>
      <c r="DBM111" s="315">
        <v>12423.449999999999</v>
      </c>
      <c r="DBN111" s="315">
        <v>866.80100000000004</v>
      </c>
      <c r="DBO111" s="315"/>
      <c r="DBP111" s="315"/>
      <c r="DBQ111" s="315"/>
      <c r="DBR111" s="315"/>
      <c r="DBS111" s="315"/>
      <c r="DBT111" s="315"/>
      <c r="DBU111" s="315"/>
      <c r="DBV111" s="315"/>
      <c r="DBW111" s="315"/>
      <c r="DBX111" s="315"/>
      <c r="DBY111" s="315"/>
      <c r="DBZ111" s="315"/>
      <c r="DCA111" s="315"/>
      <c r="DCB111" s="315"/>
      <c r="DCC111" s="315"/>
      <c r="DCD111" s="315"/>
      <c r="DCE111" s="315"/>
      <c r="DCF111" s="315"/>
      <c r="DCG111" s="315"/>
      <c r="DCH111" s="315"/>
      <c r="DCI111" s="315"/>
      <c r="DCJ111" s="315"/>
      <c r="DCK111" s="315"/>
      <c r="DCL111" s="315"/>
      <c r="DCM111" s="315"/>
      <c r="DCN111" s="315"/>
      <c r="DCO111" s="315">
        <f t="shared" si="163"/>
        <v>4</v>
      </c>
    </row>
    <row r="112" spans="1:107 2757:2797" x14ac:dyDescent="0.25">
      <c r="A112" s="315" t="str">
        <v>P8 100 X 190</v>
      </c>
      <c r="B112" s="315">
        <v>0</v>
      </c>
      <c r="C112" s="315">
        <v>0</v>
      </c>
      <c r="D112" s="315">
        <v>0</v>
      </c>
      <c r="E112" s="315">
        <v>0</v>
      </c>
      <c r="F112" s="315">
        <v>0</v>
      </c>
      <c r="G112" s="315">
        <v>0</v>
      </c>
      <c r="H112" s="315">
        <v>0</v>
      </c>
      <c r="I112" s="315">
        <v>0</v>
      </c>
      <c r="J112" s="315">
        <v>0</v>
      </c>
      <c r="K112" s="315">
        <v>0</v>
      </c>
      <c r="L112" s="315">
        <v>62.771499999999996</v>
      </c>
      <c r="M112" s="315">
        <v>217.08430000000001</v>
      </c>
      <c r="N112" s="315">
        <v>120.68400000000001</v>
      </c>
      <c r="O112" s="315">
        <v>0</v>
      </c>
      <c r="P112" s="315">
        <v>0</v>
      </c>
      <c r="Q112" s="315">
        <v>0</v>
      </c>
      <c r="R112" s="315">
        <v>0</v>
      </c>
      <c r="S112" s="315">
        <v>0</v>
      </c>
      <c r="T112" s="315">
        <v>0</v>
      </c>
      <c r="U112" s="315">
        <v>0</v>
      </c>
      <c r="V112" s="315">
        <v>0</v>
      </c>
      <c r="W112" s="315">
        <v>0</v>
      </c>
      <c r="X112" s="315">
        <v>0</v>
      </c>
      <c r="Y112" s="315">
        <v>0</v>
      </c>
      <c r="Z112" s="315">
        <v>0</v>
      </c>
      <c r="AA112" s="315">
        <v>0</v>
      </c>
      <c r="AB112" s="315">
        <v>113</v>
      </c>
      <c r="AC112" s="315">
        <v>0</v>
      </c>
      <c r="AD112" s="315">
        <v>0</v>
      </c>
      <c r="AE112" s="315">
        <v>0</v>
      </c>
      <c r="AF112" s="315">
        <v>0</v>
      </c>
      <c r="AG112" s="315">
        <v>0</v>
      </c>
      <c r="AH112" s="315">
        <v>0</v>
      </c>
      <c r="AI112" s="315">
        <v>0</v>
      </c>
      <c r="AJ112" s="315">
        <v>0</v>
      </c>
      <c r="AK112" s="315">
        <v>0</v>
      </c>
      <c r="AL112" s="315">
        <v>0</v>
      </c>
      <c r="AM112" s="315">
        <v>0</v>
      </c>
      <c r="AN112" s="315">
        <v>0</v>
      </c>
      <c r="AO112" s="315" t="e">
        <v>#N/A</v>
      </c>
      <c r="AQ112" s="326" t="str">
        <f t="shared" si="156"/>
        <v>P4(C15)100X190</v>
      </c>
      <c r="AR112" s="326">
        <f t="shared" si="156"/>
        <v>0</v>
      </c>
      <c r="AS112" s="326">
        <f t="shared" si="156"/>
        <v>0</v>
      </c>
      <c r="AT112" s="326">
        <f t="shared" si="156"/>
        <v>0</v>
      </c>
      <c r="AU112" s="326">
        <f t="shared" si="156"/>
        <v>0</v>
      </c>
      <c r="AV112" s="326">
        <f t="shared" si="156"/>
        <v>0</v>
      </c>
      <c r="AW112" s="326">
        <f t="shared" si="156"/>
        <v>0</v>
      </c>
      <c r="AX112" s="326">
        <f t="shared" si="156"/>
        <v>0</v>
      </c>
      <c r="AY112" s="326">
        <f t="shared" si="156"/>
        <v>0</v>
      </c>
      <c r="AZ112" s="326">
        <f t="shared" si="156"/>
        <v>0</v>
      </c>
      <c r="BA112" s="369">
        <v>5</v>
      </c>
      <c r="BB112" s="369">
        <v>6</v>
      </c>
      <c r="BC112" s="369">
        <v>7</v>
      </c>
      <c r="BD112" s="369">
        <v>8</v>
      </c>
      <c r="BE112" s="326">
        <f t="shared" si="156"/>
        <v>0</v>
      </c>
      <c r="BF112" s="326">
        <f t="shared" si="156"/>
        <v>0</v>
      </c>
      <c r="BG112" s="326">
        <f t="shared" ref="BG112:CD112" si="167">BG94</f>
        <v>0</v>
      </c>
      <c r="BH112" s="326">
        <f t="shared" si="167"/>
        <v>0</v>
      </c>
      <c r="BI112" s="326">
        <f t="shared" si="167"/>
        <v>0</v>
      </c>
      <c r="BJ112" s="326">
        <f t="shared" si="167"/>
        <v>0</v>
      </c>
      <c r="BK112" s="326">
        <f t="shared" si="167"/>
        <v>0</v>
      </c>
      <c r="BL112" s="326">
        <f t="shared" si="167"/>
        <v>0</v>
      </c>
      <c r="BM112" s="326">
        <f t="shared" si="167"/>
        <v>0</v>
      </c>
      <c r="BN112" s="326">
        <f t="shared" si="167"/>
        <v>0</v>
      </c>
      <c r="BO112" s="326">
        <f t="shared" si="167"/>
        <v>0</v>
      </c>
      <c r="BP112" s="326">
        <f t="shared" si="167"/>
        <v>0</v>
      </c>
      <c r="BQ112" s="326">
        <f t="shared" si="167"/>
        <v>0</v>
      </c>
      <c r="BR112" s="326">
        <f t="shared" si="167"/>
        <v>1381.1489119096389</v>
      </c>
      <c r="BS112" s="326">
        <f t="shared" si="167"/>
        <v>0</v>
      </c>
      <c r="BT112" s="326">
        <f t="shared" si="167"/>
        <v>0</v>
      </c>
      <c r="BU112" s="326">
        <f t="shared" si="167"/>
        <v>0</v>
      </c>
      <c r="BV112" s="326">
        <f t="shared" si="167"/>
        <v>0</v>
      </c>
      <c r="BW112" s="326">
        <f t="shared" si="167"/>
        <v>0</v>
      </c>
      <c r="BX112" s="326">
        <f t="shared" si="167"/>
        <v>0</v>
      </c>
      <c r="BY112" s="326">
        <f t="shared" si="167"/>
        <v>0</v>
      </c>
      <c r="BZ112" s="326">
        <f t="shared" si="167"/>
        <v>0</v>
      </c>
      <c r="CA112" s="326">
        <f t="shared" si="167"/>
        <v>0</v>
      </c>
      <c r="CB112" s="326">
        <f t="shared" si="167"/>
        <v>0</v>
      </c>
      <c r="CC112" s="326">
        <f t="shared" si="167"/>
        <v>0</v>
      </c>
      <c r="CD112" s="326">
        <f t="shared" si="167"/>
        <v>0</v>
      </c>
      <c r="CE112" s="370">
        <v>299</v>
      </c>
      <c r="CG112" s="326" t="str">
        <f t="shared" si="142"/>
        <v>P4(C15)100X190</v>
      </c>
      <c r="CH112" s="326">
        <f t="shared" si="143"/>
        <v>0</v>
      </c>
      <c r="CI112" s="326">
        <f t="shared" si="144"/>
        <v>0</v>
      </c>
      <c r="CJ112" s="326">
        <f t="shared" si="145"/>
        <v>0</v>
      </c>
      <c r="CK112" s="326">
        <f t="shared" si="146"/>
        <v>0</v>
      </c>
      <c r="CL112" s="326">
        <f t="shared" si="147"/>
        <v>0</v>
      </c>
      <c r="CM112">
        <v>0</v>
      </c>
      <c r="CN112">
        <v>0</v>
      </c>
      <c r="CO112">
        <v>0</v>
      </c>
      <c r="CP112" s="326">
        <f t="shared" si="158"/>
        <v>5</v>
      </c>
      <c r="CQ112" s="326">
        <f t="shared" si="166"/>
        <v>6</v>
      </c>
      <c r="CR112" s="326">
        <f t="shared" si="159"/>
        <v>7</v>
      </c>
      <c r="CS112" s="326">
        <f t="shared" si="160"/>
        <v>8</v>
      </c>
      <c r="CT112" s="326">
        <f t="shared" si="161"/>
        <v>0</v>
      </c>
      <c r="CU112" s="326">
        <f t="shared" si="162"/>
        <v>0</v>
      </c>
      <c r="CV112" s="326">
        <f t="shared" si="149"/>
        <v>0</v>
      </c>
      <c r="CW112" s="326">
        <f t="shared" si="150"/>
        <v>0</v>
      </c>
      <c r="CX112" s="326">
        <f t="shared" si="151"/>
        <v>0</v>
      </c>
      <c r="CY112" s="326">
        <f t="shared" si="152"/>
        <v>0</v>
      </c>
      <c r="CZ112" s="326">
        <f t="shared" si="153"/>
        <v>0</v>
      </c>
      <c r="DA112" s="326">
        <f t="shared" si="154"/>
        <v>0</v>
      </c>
      <c r="DB112" s="326">
        <f t="shared" si="155"/>
        <v>0</v>
      </c>
      <c r="DC112" s="326">
        <f>CE112</f>
        <v>299</v>
      </c>
      <c r="DBA112" s="315" t="s">
        <v>178</v>
      </c>
      <c r="DBB112" s="315"/>
      <c r="DBC112" s="315"/>
      <c r="DBD112" s="315"/>
      <c r="DBE112" s="315"/>
      <c r="DBF112" s="315"/>
      <c r="DBG112" s="315"/>
      <c r="DBH112" s="315"/>
      <c r="DBI112" s="315"/>
      <c r="DBJ112" s="315"/>
      <c r="DBK112" s="315">
        <v>74.58</v>
      </c>
      <c r="DBL112" s="315">
        <v>305.47000000000003</v>
      </c>
      <c r="DBM112" s="315">
        <v>7624.1</v>
      </c>
      <c r="DBN112" s="315">
        <v>318.89</v>
      </c>
      <c r="DBO112" s="315"/>
      <c r="DBP112" s="315"/>
      <c r="DBQ112" s="315"/>
      <c r="DBR112" s="315"/>
      <c r="DBS112" s="315"/>
      <c r="DBT112" s="315"/>
      <c r="DBU112" s="315"/>
      <c r="DBV112" s="315"/>
      <c r="DBW112" s="315"/>
      <c r="DBX112" s="315"/>
      <c r="DBY112" s="315"/>
      <c r="DBZ112" s="315"/>
      <c r="DCA112" s="315"/>
      <c r="DCB112" s="315"/>
      <c r="DCC112" s="315"/>
      <c r="DCD112" s="315"/>
      <c r="DCE112" s="315"/>
      <c r="DCF112" s="315"/>
      <c r="DCG112" s="315"/>
      <c r="DCH112" s="315"/>
      <c r="DCI112" s="315"/>
      <c r="DCJ112" s="315"/>
      <c r="DCK112" s="315"/>
      <c r="DCL112" s="315"/>
      <c r="DCM112" s="315"/>
      <c r="DCN112" s="315"/>
      <c r="DCO112" s="315">
        <f t="shared" si="163"/>
        <v>4</v>
      </c>
    </row>
    <row r="113" spans="1:107 2757:2797" x14ac:dyDescent="0.25">
      <c r="A113" s="315" t="str">
        <v>P10 100 x 190</v>
      </c>
      <c r="B113" s="315">
        <v>0</v>
      </c>
      <c r="C113" s="315">
        <v>0</v>
      </c>
      <c r="D113" s="315">
        <v>0</v>
      </c>
      <c r="E113" s="315">
        <v>0</v>
      </c>
      <c r="F113" s="315">
        <v>0</v>
      </c>
      <c r="G113" s="315">
        <v>0</v>
      </c>
      <c r="H113" s="315">
        <v>0</v>
      </c>
      <c r="I113" s="315">
        <v>0</v>
      </c>
      <c r="J113" s="315">
        <v>0</v>
      </c>
      <c r="K113" s="315">
        <v>21.750300000000003</v>
      </c>
      <c r="L113" s="315">
        <v>104.48087</v>
      </c>
      <c r="M113" s="315">
        <v>261.95</v>
      </c>
      <c r="N113" s="315">
        <v>180.49200000000002</v>
      </c>
      <c r="O113" s="315">
        <v>0</v>
      </c>
      <c r="P113" s="315">
        <v>0</v>
      </c>
      <c r="Q113" s="315">
        <v>0</v>
      </c>
      <c r="R113" s="315">
        <v>0</v>
      </c>
      <c r="S113" s="315">
        <v>0</v>
      </c>
      <c r="T113" s="315">
        <v>0</v>
      </c>
      <c r="U113" s="315">
        <v>0</v>
      </c>
      <c r="V113" s="315">
        <v>0</v>
      </c>
      <c r="W113" s="315">
        <v>0</v>
      </c>
      <c r="X113" s="315">
        <v>0</v>
      </c>
      <c r="Y113" s="315">
        <v>0</v>
      </c>
      <c r="Z113" s="315">
        <v>0</v>
      </c>
      <c r="AA113" s="315">
        <v>0</v>
      </c>
      <c r="AB113" s="315">
        <v>169</v>
      </c>
      <c r="AC113" s="315">
        <v>0</v>
      </c>
      <c r="AD113" s="315">
        <v>0</v>
      </c>
      <c r="AE113" s="315">
        <v>0</v>
      </c>
      <c r="AF113" s="315">
        <v>0</v>
      </c>
      <c r="AG113" s="315">
        <v>0</v>
      </c>
      <c r="AH113" s="315">
        <v>0</v>
      </c>
      <c r="AI113" s="315">
        <v>0</v>
      </c>
      <c r="AJ113" s="315">
        <v>0</v>
      </c>
      <c r="AK113" s="315">
        <v>0</v>
      </c>
      <c r="AL113" s="315">
        <v>0</v>
      </c>
      <c r="AM113" s="315">
        <v>0</v>
      </c>
      <c r="AN113" s="315">
        <v>0</v>
      </c>
      <c r="AO113" s="315" t="e">
        <v>#N/A</v>
      </c>
      <c r="AQ113" s="326" t="str">
        <f t="shared" si="156"/>
        <v>P6 100 X 190</v>
      </c>
      <c r="AR113" s="326">
        <f t="shared" si="156"/>
        <v>0</v>
      </c>
      <c r="AS113" s="326">
        <f t="shared" si="156"/>
        <v>0</v>
      </c>
      <c r="AT113" s="326">
        <f t="shared" si="156"/>
        <v>0</v>
      </c>
      <c r="AU113" s="326">
        <f t="shared" si="156"/>
        <v>0</v>
      </c>
      <c r="AV113" s="326">
        <f t="shared" si="156"/>
        <v>0</v>
      </c>
      <c r="AW113" s="326">
        <f t="shared" si="156"/>
        <v>0</v>
      </c>
      <c r="AX113" s="326">
        <f t="shared" si="156"/>
        <v>0</v>
      </c>
      <c r="AY113" s="326">
        <f t="shared" si="156"/>
        <v>0</v>
      </c>
      <c r="AZ113" s="326">
        <f t="shared" si="156"/>
        <v>0</v>
      </c>
      <c r="BA113" s="369">
        <v>5</v>
      </c>
      <c r="BB113" s="369">
        <v>6</v>
      </c>
      <c r="BC113" s="369">
        <v>7</v>
      </c>
      <c r="BD113" s="369">
        <v>8</v>
      </c>
      <c r="BE113" s="326">
        <f t="shared" si="156"/>
        <v>0</v>
      </c>
      <c r="BF113" s="326">
        <f t="shared" si="156"/>
        <v>0</v>
      </c>
      <c r="BG113" s="326">
        <f t="shared" ref="BG113:CD113" si="168">BG95</f>
        <v>0</v>
      </c>
      <c r="BH113" s="326">
        <f t="shared" si="168"/>
        <v>0</v>
      </c>
      <c r="BI113" s="326">
        <f t="shared" si="168"/>
        <v>0</v>
      </c>
      <c r="BJ113" s="326">
        <f t="shared" si="168"/>
        <v>0</v>
      </c>
      <c r="BK113" s="326">
        <f t="shared" si="168"/>
        <v>0</v>
      </c>
      <c r="BL113" s="326">
        <f t="shared" si="168"/>
        <v>0</v>
      </c>
      <c r="BM113" s="326">
        <f t="shared" si="168"/>
        <v>0</v>
      </c>
      <c r="BN113" s="326">
        <f t="shared" si="168"/>
        <v>0</v>
      </c>
      <c r="BO113" s="326">
        <f t="shared" si="168"/>
        <v>0</v>
      </c>
      <c r="BP113" s="326">
        <f t="shared" si="168"/>
        <v>0</v>
      </c>
      <c r="BQ113" s="326">
        <f t="shared" si="168"/>
        <v>0</v>
      </c>
      <c r="BR113" s="326">
        <f t="shared" si="168"/>
        <v>188.00254419639563</v>
      </c>
      <c r="BS113" s="326">
        <f t="shared" si="168"/>
        <v>0</v>
      </c>
      <c r="BT113" s="326">
        <f t="shared" si="168"/>
        <v>0</v>
      </c>
      <c r="BU113" s="326">
        <f t="shared" si="168"/>
        <v>0</v>
      </c>
      <c r="BV113" s="326">
        <f t="shared" si="168"/>
        <v>0</v>
      </c>
      <c r="BW113" s="326">
        <f t="shared" si="168"/>
        <v>0</v>
      </c>
      <c r="BX113" s="326">
        <f t="shared" si="168"/>
        <v>0</v>
      </c>
      <c r="BY113" s="326">
        <f t="shared" si="168"/>
        <v>0</v>
      </c>
      <c r="BZ113" s="326">
        <f t="shared" si="168"/>
        <v>0</v>
      </c>
      <c r="CA113" s="326">
        <f t="shared" si="168"/>
        <v>0</v>
      </c>
      <c r="CB113" s="326">
        <f t="shared" si="168"/>
        <v>0</v>
      </c>
      <c r="CC113" s="326">
        <f t="shared" si="168"/>
        <v>0</v>
      </c>
      <c r="CD113" s="326">
        <f t="shared" si="168"/>
        <v>0</v>
      </c>
      <c r="CE113" s="370">
        <v>110</v>
      </c>
      <c r="CG113" s="326" t="str">
        <f t="shared" si="142"/>
        <v>P6 100 X 190</v>
      </c>
      <c r="CH113" s="326">
        <f t="shared" si="143"/>
        <v>0</v>
      </c>
      <c r="CI113" s="326">
        <f t="shared" si="144"/>
        <v>0</v>
      </c>
      <c r="CJ113" s="326">
        <f t="shared" si="145"/>
        <v>0</v>
      </c>
      <c r="CK113" s="326">
        <f t="shared" si="146"/>
        <v>0</v>
      </c>
      <c r="CL113" s="326">
        <f t="shared" si="147"/>
        <v>0</v>
      </c>
      <c r="CM113">
        <v>0</v>
      </c>
      <c r="CN113">
        <v>0</v>
      </c>
      <c r="CO113">
        <v>0</v>
      </c>
      <c r="CP113" s="326">
        <f t="shared" si="158"/>
        <v>5</v>
      </c>
      <c r="CQ113" s="326">
        <f t="shared" si="166"/>
        <v>6</v>
      </c>
      <c r="CR113" s="326">
        <f t="shared" si="159"/>
        <v>7</v>
      </c>
      <c r="CS113" s="326">
        <f t="shared" si="160"/>
        <v>8</v>
      </c>
      <c r="CT113" s="326">
        <f t="shared" si="161"/>
        <v>0</v>
      </c>
      <c r="CU113" s="326">
        <f t="shared" si="162"/>
        <v>0</v>
      </c>
      <c r="CV113" s="326">
        <f t="shared" si="149"/>
        <v>0</v>
      </c>
      <c r="CW113" s="326">
        <f t="shared" si="150"/>
        <v>0</v>
      </c>
      <c r="CX113" s="326">
        <f t="shared" si="151"/>
        <v>0</v>
      </c>
      <c r="CY113" s="326">
        <f t="shared" si="152"/>
        <v>0</v>
      </c>
      <c r="CZ113" s="326">
        <f t="shared" si="153"/>
        <v>0</v>
      </c>
      <c r="DA113" s="326">
        <f t="shared" si="154"/>
        <v>0</v>
      </c>
      <c r="DB113" s="326">
        <f t="shared" si="155"/>
        <v>0</v>
      </c>
      <c r="DC113" s="326">
        <f>CE113</f>
        <v>110</v>
      </c>
      <c r="DBA113" s="315" t="s">
        <v>207</v>
      </c>
      <c r="DBB113" s="315"/>
      <c r="DBC113" s="315"/>
      <c r="DBD113" s="315"/>
      <c r="DBE113" s="315"/>
      <c r="DBF113" s="315"/>
      <c r="DBG113" s="315"/>
      <c r="DBH113" s="315"/>
      <c r="DBI113" s="315"/>
      <c r="DBJ113" s="315"/>
      <c r="DBK113" s="315"/>
      <c r="DBL113" s="315">
        <v>322.13200000000001</v>
      </c>
      <c r="DBM113" s="315">
        <v>8121.1600000000008</v>
      </c>
      <c r="DBN113" s="315">
        <v>336.28399999999999</v>
      </c>
      <c r="DBO113" s="315"/>
      <c r="DBP113" s="315"/>
      <c r="DBQ113" s="315"/>
      <c r="DBR113" s="315"/>
      <c r="DBS113" s="315"/>
      <c r="DBT113" s="315"/>
      <c r="DBU113" s="315"/>
      <c r="DBV113" s="315"/>
      <c r="DBW113" s="315"/>
      <c r="DBX113" s="315"/>
      <c r="DBY113" s="315"/>
      <c r="DBZ113" s="315"/>
      <c r="DCA113" s="315"/>
      <c r="DCB113" s="315"/>
      <c r="DCC113" s="315"/>
      <c r="DCD113" s="315"/>
      <c r="DCE113" s="315"/>
      <c r="DCF113" s="315"/>
      <c r="DCG113" s="315"/>
      <c r="DCH113" s="315"/>
      <c r="DCI113" s="315"/>
      <c r="DCJ113" s="315"/>
      <c r="DCK113" s="315"/>
      <c r="DCL113" s="315"/>
      <c r="DCM113" s="315"/>
      <c r="DCN113" s="315"/>
      <c r="DCO113" s="315">
        <f t="shared" si="163"/>
        <v>3</v>
      </c>
    </row>
    <row r="114" spans="1:107 2757:2797" x14ac:dyDescent="0.25">
      <c r="A114" s="348" t="str">
        <v>P5 100 x 190</v>
      </c>
      <c r="B114" s="348">
        <v>304.85400000000004</v>
      </c>
      <c r="C114" s="348">
        <v>0</v>
      </c>
      <c r="D114" s="348">
        <v>0</v>
      </c>
      <c r="E114" s="348">
        <v>0</v>
      </c>
      <c r="F114" s="348">
        <v>0</v>
      </c>
      <c r="G114" s="348">
        <v>0</v>
      </c>
      <c r="H114" s="348">
        <v>0</v>
      </c>
      <c r="I114" s="348">
        <v>0</v>
      </c>
      <c r="J114" s="348">
        <v>0</v>
      </c>
      <c r="K114" s="348">
        <v>0</v>
      </c>
      <c r="L114" s="348">
        <v>202.04400000000001</v>
      </c>
      <c r="M114" s="348">
        <v>0</v>
      </c>
      <c r="N114" s="348">
        <v>0</v>
      </c>
      <c r="O114" s="348">
        <v>0</v>
      </c>
      <c r="P114" s="348">
        <v>0</v>
      </c>
      <c r="Q114" s="348">
        <v>0</v>
      </c>
      <c r="R114" s="348">
        <v>0</v>
      </c>
      <c r="S114" s="348">
        <v>0</v>
      </c>
      <c r="T114" s="348">
        <v>0</v>
      </c>
      <c r="U114" s="348">
        <v>0</v>
      </c>
      <c r="V114" s="348">
        <v>0</v>
      </c>
      <c r="W114" s="348">
        <v>0</v>
      </c>
      <c r="X114" s="348">
        <v>0</v>
      </c>
      <c r="Y114" s="348">
        <v>0</v>
      </c>
      <c r="Z114" s="348">
        <v>0</v>
      </c>
      <c r="AA114" s="348">
        <v>0</v>
      </c>
      <c r="AB114" s="348">
        <v>447</v>
      </c>
      <c r="AC114" s="348">
        <v>0</v>
      </c>
      <c r="AD114" s="348">
        <v>0</v>
      </c>
      <c r="AE114" s="348">
        <v>0</v>
      </c>
      <c r="AF114" s="348">
        <v>0</v>
      </c>
      <c r="AG114" s="348">
        <v>0</v>
      </c>
      <c r="AH114" s="348">
        <v>0</v>
      </c>
      <c r="AI114" s="348">
        <v>0</v>
      </c>
      <c r="AJ114" s="348">
        <v>0</v>
      </c>
      <c r="AK114" s="348">
        <v>0</v>
      </c>
      <c r="AL114" s="348">
        <v>0</v>
      </c>
      <c r="AM114" s="348">
        <v>0</v>
      </c>
      <c r="AN114" s="348">
        <v>0</v>
      </c>
      <c r="AO114" s="348" t="e">
        <v>#N/A</v>
      </c>
      <c r="AQ114" s="326" t="str">
        <f t="shared" si="156"/>
        <v>P7 100 X 190</v>
      </c>
      <c r="AR114" s="326">
        <f t="shared" si="156"/>
        <v>0</v>
      </c>
      <c r="AS114" s="326">
        <f t="shared" si="156"/>
        <v>0</v>
      </c>
      <c r="AT114" s="326">
        <f t="shared" si="156"/>
        <v>0</v>
      </c>
      <c r="AU114" s="326">
        <f t="shared" si="156"/>
        <v>0</v>
      </c>
      <c r="AV114" s="326">
        <f t="shared" si="156"/>
        <v>0</v>
      </c>
      <c r="AW114" s="326">
        <f t="shared" si="156"/>
        <v>0</v>
      </c>
      <c r="AX114" s="326">
        <f t="shared" si="156"/>
        <v>0</v>
      </c>
      <c r="AY114" s="326">
        <f t="shared" si="156"/>
        <v>0</v>
      </c>
      <c r="AZ114" s="326">
        <f t="shared" si="156"/>
        <v>0</v>
      </c>
      <c r="BA114" s="326">
        <f t="shared" si="156"/>
        <v>0</v>
      </c>
      <c r="BB114" s="369">
        <v>6</v>
      </c>
      <c r="BC114" s="369">
        <v>7</v>
      </c>
      <c r="BD114" s="369">
        <v>8</v>
      </c>
      <c r="BE114" s="326">
        <f t="shared" si="156"/>
        <v>0</v>
      </c>
      <c r="BF114" s="326">
        <f t="shared" si="156"/>
        <v>0</v>
      </c>
      <c r="BG114" s="326">
        <f t="shared" ref="BG114:CD114" si="169">BG96</f>
        <v>0</v>
      </c>
      <c r="BH114" s="326">
        <f t="shared" si="169"/>
        <v>0</v>
      </c>
      <c r="BI114" s="326">
        <f t="shared" si="169"/>
        <v>0</v>
      </c>
      <c r="BJ114" s="326">
        <f t="shared" si="169"/>
        <v>0</v>
      </c>
      <c r="BK114" s="326">
        <f t="shared" si="169"/>
        <v>0</v>
      </c>
      <c r="BL114" s="326">
        <f t="shared" si="169"/>
        <v>0</v>
      </c>
      <c r="BM114" s="326">
        <f t="shared" si="169"/>
        <v>0</v>
      </c>
      <c r="BN114" s="326">
        <f t="shared" si="169"/>
        <v>0</v>
      </c>
      <c r="BO114" s="326">
        <f t="shared" si="169"/>
        <v>0</v>
      </c>
      <c r="BP114" s="326">
        <f t="shared" si="169"/>
        <v>0</v>
      </c>
      <c r="BQ114" s="326">
        <f t="shared" si="169"/>
        <v>0</v>
      </c>
      <c r="BR114" s="326">
        <f t="shared" si="169"/>
        <v>208.97383536719752</v>
      </c>
      <c r="BS114" s="326">
        <f t="shared" si="169"/>
        <v>0</v>
      </c>
      <c r="BT114" s="326">
        <f t="shared" si="169"/>
        <v>0</v>
      </c>
      <c r="BU114" s="326">
        <f t="shared" si="169"/>
        <v>0</v>
      </c>
      <c r="BV114" s="326">
        <f t="shared" si="169"/>
        <v>0</v>
      </c>
      <c r="BW114" s="326">
        <f t="shared" si="169"/>
        <v>0</v>
      </c>
      <c r="BX114" s="326">
        <f t="shared" si="169"/>
        <v>0</v>
      </c>
      <c r="BY114" s="326">
        <f t="shared" si="169"/>
        <v>0</v>
      </c>
      <c r="BZ114" s="326">
        <f t="shared" si="169"/>
        <v>0</v>
      </c>
      <c r="CA114" s="326">
        <f t="shared" si="169"/>
        <v>0</v>
      </c>
      <c r="CB114" s="326">
        <f t="shared" si="169"/>
        <v>0</v>
      </c>
      <c r="CC114" s="326">
        <f t="shared" si="169"/>
        <v>0</v>
      </c>
      <c r="CD114" s="326">
        <f t="shared" si="169"/>
        <v>0</v>
      </c>
      <c r="CE114" s="370">
        <v>116</v>
      </c>
      <c r="CG114" s="326" t="str">
        <f t="shared" si="142"/>
        <v>P7 100 X 190</v>
      </c>
      <c r="CH114" s="326">
        <f t="shared" si="143"/>
        <v>0</v>
      </c>
      <c r="CI114" s="326">
        <f t="shared" si="144"/>
        <v>0</v>
      </c>
      <c r="CJ114" s="326">
        <f t="shared" si="145"/>
        <v>0</v>
      </c>
      <c r="CK114" s="326">
        <f t="shared" si="146"/>
        <v>0</v>
      </c>
      <c r="CL114" s="326">
        <f t="shared" si="147"/>
        <v>0</v>
      </c>
      <c r="CM114">
        <v>0</v>
      </c>
      <c r="CN114">
        <v>0</v>
      </c>
      <c r="CO114">
        <v>0</v>
      </c>
      <c r="CP114" s="326">
        <f t="shared" si="158"/>
        <v>0</v>
      </c>
      <c r="CQ114" s="326">
        <f t="shared" si="166"/>
        <v>6</v>
      </c>
      <c r="CR114" s="326">
        <f t="shared" si="159"/>
        <v>7</v>
      </c>
      <c r="CS114" s="326">
        <f t="shared" si="160"/>
        <v>8</v>
      </c>
      <c r="CT114" s="326">
        <f t="shared" si="161"/>
        <v>0</v>
      </c>
      <c r="CU114" s="326">
        <f t="shared" si="162"/>
        <v>0</v>
      </c>
      <c r="CV114" s="326">
        <f t="shared" si="149"/>
        <v>0</v>
      </c>
      <c r="CW114" s="326">
        <f t="shared" si="150"/>
        <v>0</v>
      </c>
      <c r="CX114" s="326">
        <f t="shared" si="151"/>
        <v>0</v>
      </c>
      <c r="CY114" s="326">
        <f t="shared" si="152"/>
        <v>0</v>
      </c>
      <c r="CZ114" s="326">
        <f t="shared" si="153"/>
        <v>0</v>
      </c>
      <c r="DA114" s="326">
        <f t="shared" si="154"/>
        <v>0</v>
      </c>
      <c r="DB114" s="326">
        <f t="shared" si="155"/>
        <v>0</v>
      </c>
      <c r="DC114" s="326">
        <f>CE114</f>
        <v>116</v>
      </c>
      <c r="DBA114" s="315" t="s">
        <v>192</v>
      </c>
      <c r="DBB114" s="315"/>
      <c r="DBC114" s="315"/>
      <c r="DBD114" s="315"/>
      <c r="DBE114" s="315"/>
      <c r="DBF114" s="315"/>
      <c r="DBG114" s="315"/>
      <c r="DBH114" s="315"/>
      <c r="DBI114" s="315"/>
      <c r="DBJ114" s="315"/>
      <c r="DBK114" s="315"/>
      <c r="DBL114" s="315">
        <v>333.06399999999996</v>
      </c>
      <c r="DBM114" s="315">
        <v>5317.12</v>
      </c>
      <c r="DBN114" s="315">
        <v>359.476</v>
      </c>
      <c r="DBO114" s="315"/>
      <c r="DBP114" s="315"/>
      <c r="DBQ114" s="315"/>
      <c r="DBR114" s="315"/>
      <c r="DBS114" s="315"/>
      <c r="DBT114" s="315"/>
      <c r="DBU114" s="315"/>
      <c r="DBV114" s="315"/>
      <c r="DBW114" s="315"/>
      <c r="DBX114" s="315"/>
      <c r="DBY114" s="315"/>
      <c r="DBZ114" s="315"/>
      <c r="DCA114" s="315"/>
      <c r="DCB114" s="315"/>
      <c r="DCC114" s="315"/>
      <c r="DCD114" s="315"/>
      <c r="DCE114" s="315"/>
      <c r="DCF114" s="315"/>
      <c r="DCG114" s="315"/>
      <c r="DCH114" s="315"/>
      <c r="DCI114" s="315"/>
      <c r="DCJ114" s="315"/>
      <c r="DCK114" s="315"/>
      <c r="DCL114" s="315"/>
      <c r="DCM114" s="315"/>
      <c r="DCN114" s="315"/>
      <c r="DCO114" s="315">
        <f t="shared" si="163"/>
        <v>3</v>
      </c>
    </row>
    <row r="115" spans="1:107 2757:2797" x14ac:dyDescent="0.25">
      <c r="A115" s="366" t="str">
        <f>AE105</f>
        <v>Bloques</v>
      </c>
      <c r="B115" s="366"/>
      <c r="C115" s="366"/>
      <c r="D115" s="366"/>
      <c r="E115" s="366"/>
      <c r="F115" s="366"/>
      <c r="G115" s="366"/>
      <c r="H115" s="366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  <c r="S115" s="366"/>
      <c r="T115" s="366"/>
      <c r="U115" s="366"/>
      <c r="V115" s="366"/>
      <c r="W115" s="366"/>
      <c r="X115" s="366"/>
      <c r="Y115" s="366"/>
      <c r="Z115" s="366"/>
      <c r="AA115" s="366"/>
      <c r="AB115" s="366"/>
      <c r="AC115" s="366"/>
      <c r="AD115" s="366"/>
      <c r="AE115" s="366"/>
      <c r="AF115" s="366">
        <f>AF105</f>
        <v>158.541</v>
      </c>
      <c r="AG115" s="366">
        <f t="shared" ref="AG115:AN115" si="170">AG105</f>
        <v>224.03</v>
      </c>
      <c r="AH115" s="366">
        <f t="shared" si="170"/>
        <v>186.19</v>
      </c>
      <c r="AI115" s="366">
        <f t="shared" si="170"/>
        <v>5160</v>
      </c>
      <c r="AJ115" s="366">
        <f t="shared" si="170"/>
        <v>102.33999999999999</v>
      </c>
      <c r="AK115" s="366">
        <f t="shared" si="170"/>
        <v>0</v>
      </c>
      <c r="AL115" s="366">
        <f t="shared" si="170"/>
        <v>0</v>
      </c>
      <c r="AM115" s="366">
        <f t="shared" si="170"/>
        <v>1849</v>
      </c>
      <c r="AN115" s="366">
        <f t="shared" si="170"/>
        <v>0</v>
      </c>
      <c r="AO115" s="366"/>
      <c r="AQ115" s="326" t="str">
        <f t="shared" si="156"/>
        <v>P9 100 X 190</v>
      </c>
      <c r="AR115" s="326">
        <f t="shared" si="156"/>
        <v>0</v>
      </c>
      <c r="AS115" s="326">
        <f t="shared" si="156"/>
        <v>0</v>
      </c>
      <c r="AT115" s="326">
        <f t="shared" si="156"/>
        <v>0</v>
      </c>
      <c r="AU115" s="326">
        <f t="shared" si="156"/>
        <v>0</v>
      </c>
      <c r="AV115" s="326">
        <f t="shared" si="156"/>
        <v>0</v>
      </c>
      <c r="AW115" s="326">
        <f t="shared" si="156"/>
        <v>0</v>
      </c>
      <c r="AX115" s="326">
        <f t="shared" si="156"/>
        <v>0</v>
      </c>
      <c r="AY115" s="326">
        <f t="shared" si="156"/>
        <v>0</v>
      </c>
      <c r="AZ115" s="326">
        <f t="shared" si="156"/>
        <v>0</v>
      </c>
      <c r="BA115" s="326">
        <f t="shared" si="156"/>
        <v>0</v>
      </c>
      <c r="BB115" s="369">
        <v>6</v>
      </c>
      <c r="BC115" s="369">
        <v>7</v>
      </c>
      <c r="BD115" s="369">
        <v>8</v>
      </c>
      <c r="BE115" s="326">
        <f t="shared" si="156"/>
        <v>0</v>
      </c>
      <c r="BF115" s="326">
        <f t="shared" si="156"/>
        <v>0</v>
      </c>
      <c r="BG115" s="326">
        <f t="shared" ref="BG115:CD115" si="171">BG97</f>
        <v>0</v>
      </c>
      <c r="BH115" s="326">
        <f t="shared" si="171"/>
        <v>0</v>
      </c>
      <c r="BI115" s="326">
        <f t="shared" si="171"/>
        <v>0</v>
      </c>
      <c r="BJ115" s="326">
        <f t="shared" si="171"/>
        <v>0</v>
      </c>
      <c r="BK115" s="326">
        <f t="shared" si="171"/>
        <v>0</v>
      </c>
      <c r="BL115" s="326">
        <f t="shared" si="171"/>
        <v>0</v>
      </c>
      <c r="BM115" s="326">
        <f t="shared" si="171"/>
        <v>0</v>
      </c>
      <c r="BN115" s="326">
        <f t="shared" si="171"/>
        <v>0</v>
      </c>
      <c r="BO115" s="326">
        <f t="shared" si="171"/>
        <v>0</v>
      </c>
      <c r="BP115" s="326">
        <f t="shared" si="171"/>
        <v>0</v>
      </c>
      <c r="BQ115" s="326">
        <f t="shared" si="171"/>
        <v>0</v>
      </c>
      <c r="BR115" s="326">
        <f t="shared" si="171"/>
        <v>238.66006839018283</v>
      </c>
      <c r="BS115" s="326">
        <f t="shared" si="171"/>
        <v>0</v>
      </c>
      <c r="BT115" s="326">
        <f t="shared" si="171"/>
        <v>0</v>
      </c>
      <c r="BU115" s="326">
        <f t="shared" si="171"/>
        <v>0</v>
      </c>
      <c r="BV115" s="326">
        <f t="shared" si="171"/>
        <v>0</v>
      </c>
      <c r="BW115" s="326">
        <f t="shared" si="171"/>
        <v>0</v>
      </c>
      <c r="BX115" s="326">
        <f t="shared" si="171"/>
        <v>0</v>
      </c>
      <c r="BY115" s="326">
        <f t="shared" si="171"/>
        <v>0</v>
      </c>
      <c r="BZ115" s="326">
        <f t="shared" si="171"/>
        <v>0</v>
      </c>
      <c r="CA115" s="326">
        <f t="shared" si="171"/>
        <v>0</v>
      </c>
      <c r="CB115" s="326">
        <f t="shared" si="171"/>
        <v>0</v>
      </c>
      <c r="CC115" s="326">
        <f t="shared" si="171"/>
        <v>0</v>
      </c>
      <c r="CD115" s="326">
        <f t="shared" si="171"/>
        <v>0</v>
      </c>
      <c r="CE115" s="370">
        <v>124</v>
      </c>
      <c r="CG115" s="326" t="str">
        <f t="shared" si="142"/>
        <v>P9 100 X 190</v>
      </c>
      <c r="CH115" s="326">
        <f t="shared" si="143"/>
        <v>0</v>
      </c>
      <c r="CI115" s="326">
        <f t="shared" si="144"/>
        <v>0</v>
      </c>
      <c r="CJ115" s="326">
        <f t="shared" si="145"/>
        <v>0</v>
      </c>
      <c r="CK115" s="326">
        <f t="shared" si="146"/>
        <v>0</v>
      </c>
      <c r="CL115" s="326">
        <f t="shared" si="147"/>
        <v>0</v>
      </c>
      <c r="CM115">
        <v>0</v>
      </c>
      <c r="CN115">
        <v>0</v>
      </c>
      <c r="CO115">
        <v>0</v>
      </c>
      <c r="CP115" s="326">
        <f t="shared" si="158"/>
        <v>0</v>
      </c>
      <c r="CQ115" s="326">
        <f t="shared" si="166"/>
        <v>6</v>
      </c>
      <c r="CR115" s="326">
        <f t="shared" si="159"/>
        <v>7</v>
      </c>
      <c r="CS115" s="326">
        <f t="shared" si="160"/>
        <v>8</v>
      </c>
      <c r="CT115" s="326">
        <f t="shared" si="161"/>
        <v>0</v>
      </c>
      <c r="CU115" s="326">
        <f t="shared" si="162"/>
        <v>0</v>
      </c>
      <c r="CV115" s="326">
        <f t="shared" si="149"/>
        <v>0</v>
      </c>
      <c r="CW115" s="326">
        <f t="shared" si="150"/>
        <v>0</v>
      </c>
      <c r="CX115" s="326">
        <f t="shared" si="151"/>
        <v>0</v>
      </c>
      <c r="CY115" s="326">
        <f t="shared" si="152"/>
        <v>0</v>
      </c>
      <c r="CZ115" s="326">
        <f t="shared" si="153"/>
        <v>0</v>
      </c>
      <c r="DA115" s="326">
        <f t="shared" si="154"/>
        <v>0</v>
      </c>
      <c r="DB115" s="326">
        <f t="shared" si="155"/>
        <v>0</v>
      </c>
      <c r="DC115" s="326">
        <f>CE115</f>
        <v>124</v>
      </c>
    </row>
    <row r="116" spans="1:107 2757:2797" x14ac:dyDescent="0.25">
      <c r="A116" s="366" t="str">
        <f>AE106</f>
        <v>Cilindro</v>
      </c>
      <c r="B116" s="366"/>
      <c r="C116" s="366"/>
      <c r="D116" s="366"/>
      <c r="E116" s="366"/>
      <c r="F116" s="366"/>
      <c r="G116" s="366"/>
      <c r="H116" s="366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  <c r="S116" s="366"/>
      <c r="T116" s="366"/>
      <c r="U116" s="366"/>
      <c r="V116" s="366"/>
      <c r="W116" s="366"/>
      <c r="X116" s="366"/>
      <c r="Y116" s="366"/>
      <c r="Z116" s="366"/>
      <c r="AA116" s="366"/>
      <c r="AB116" s="366"/>
      <c r="AC116" s="366"/>
      <c r="AD116" s="366"/>
      <c r="AE116" s="366"/>
      <c r="AF116" s="366">
        <f>AF106</f>
        <v>18.39</v>
      </c>
      <c r="AG116" s="366">
        <f t="shared" ref="AG116:AN116" si="172">AG106</f>
        <v>26.05</v>
      </c>
      <c r="AH116" s="366">
        <f t="shared" si="172"/>
        <v>21.65</v>
      </c>
      <c r="AI116" s="366">
        <f t="shared" si="172"/>
        <v>600</v>
      </c>
      <c r="AJ116" s="366">
        <f t="shared" si="172"/>
        <v>14.395</v>
      </c>
      <c r="AK116" s="366">
        <f t="shared" si="172"/>
        <v>1.6666666666666665</v>
      </c>
      <c r="AL116" s="366">
        <f t="shared" si="172"/>
        <v>6.9099999999999993</v>
      </c>
      <c r="AM116" s="366">
        <f t="shared" si="172"/>
        <v>25</v>
      </c>
      <c r="AN116" s="366">
        <f t="shared" si="172"/>
        <v>29.416666666666668</v>
      </c>
      <c r="AO116" s="366"/>
      <c r="AQ116" s="326" t="str">
        <f t="shared" si="156"/>
        <v>P8 100 X 190</v>
      </c>
      <c r="AR116" s="326">
        <f t="shared" si="156"/>
        <v>0</v>
      </c>
      <c r="AS116" s="326">
        <f t="shared" si="156"/>
        <v>0</v>
      </c>
      <c r="AT116" s="326">
        <f t="shared" si="156"/>
        <v>0</v>
      </c>
      <c r="AU116" s="326">
        <f t="shared" si="156"/>
        <v>0</v>
      </c>
      <c r="AV116" s="326">
        <f t="shared" si="156"/>
        <v>0</v>
      </c>
      <c r="AW116" s="326">
        <f t="shared" si="156"/>
        <v>0</v>
      </c>
      <c r="AX116" s="326">
        <f t="shared" si="156"/>
        <v>0</v>
      </c>
      <c r="AY116" s="326">
        <f t="shared" si="156"/>
        <v>0</v>
      </c>
      <c r="AZ116" s="326">
        <f t="shared" si="156"/>
        <v>0</v>
      </c>
      <c r="BA116" s="326">
        <f t="shared" si="156"/>
        <v>0</v>
      </c>
      <c r="BB116" s="369">
        <v>6</v>
      </c>
      <c r="BC116" s="369">
        <v>7</v>
      </c>
      <c r="BD116" s="369">
        <v>8</v>
      </c>
      <c r="BE116" s="326">
        <f t="shared" si="156"/>
        <v>0</v>
      </c>
      <c r="BF116" s="326">
        <f t="shared" si="156"/>
        <v>0</v>
      </c>
      <c r="BG116" s="326">
        <f t="shared" ref="BG116:CD116" si="173">BG98</f>
        <v>0</v>
      </c>
      <c r="BH116" s="326">
        <f t="shared" si="173"/>
        <v>0</v>
      </c>
      <c r="BI116" s="326">
        <f t="shared" si="173"/>
        <v>0</v>
      </c>
      <c r="BJ116" s="326">
        <f t="shared" si="173"/>
        <v>0</v>
      </c>
      <c r="BK116" s="326">
        <f t="shared" si="173"/>
        <v>0</v>
      </c>
      <c r="BL116" s="326">
        <f t="shared" si="173"/>
        <v>0</v>
      </c>
      <c r="BM116" s="326">
        <f t="shared" si="173"/>
        <v>0</v>
      </c>
      <c r="BN116" s="326">
        <f t="shared" si="173"/>
        <v>0</v>
      </c>
      <c r="BO116" s="326">
        <f t="shared" si="173"/>
        <v>0</v>
      </c>
      <c r="BP116" s="326">
        <f t="shared" si="173"/>
        <v>0</v>
      </c>
      <c r="BQ116" s="326">
        <f t="shared" si="173"/>
        <v>0</v>
      </c>
      <c r="BR116" s="326">
        <f t="shared" si="173"/>
        <v>198.3496129678926</v>
      </c>
      <c r="BS116" s="326">
        <f t="shared" si="173"/>
        <v>0</v>
      </c>
      <c r="BT116" s="326">
        <f t="shared" si="173"/>
        <v>0</v>
      </c>
      <c r="BU116" s="326">
        <f t="shared" si="173"/>
        <v>0</v>
      </c>
      <c r="BV116" s="326">
        <f t="shared" si="173"/>
        <v>0</v>
      </c>
      <c r="BW116" s="326">
        <f t="shared" si="173"/>
        <v>0</v>
      </c>
      <c r="BX116" s="326">
        <f t="shared" si="173"/>
        <v>0</v>
      </c>
      <c r="BY116" s="326">
        <f t="shared" si="173"/>
        <v>0</v>
      </c>
      <c r="BZ116" s="326">
        <f t="shared" si="173"/>
        <v>0</v>
      </c>
      <c r="CA116" s="326">
        <f t="shared" si="173"/>
        <v>0</v>
      </c>
      <c r="CB116" s="326">
        <f t="shared" si="173"/>
        <v>0</v>
      </c>
      <c r="CC116" s="326">
        <f t="shared" si="173"/>
        <v>0</v>
      </c>
      <c r="CD116" s="326">
        <f t="shared" si="173"/>
        <v>0</v>
      </c>
      <c r="CE116" s="370">
        <v>113</v>
      </c>
      <c r="CG116" s="326" t="str">
        <f t="shared" si="142"/>
        <v>P8 100 X 190</v>
      </c>
      <c r="CH116" s="326">
        <f t="shared" si="143"/>
        <v>0</v>
      </c>
      <c r="CI116" s="326">
        <f t="shared" si="144"/>
        <v>0</v>
      </c>
      <c r="CJ116" s="326">
        <f t="shared" si="145"/>
        <v>0</v>
      </c>
      <c r="CK116" s="326">
        <f t="shared" si="146"/>
        <v>0</v>
      </c>
      <c r="CL116" s="326">
        <f t="shared" si="147"/>
        <v>0</v>
      </c>
      <c r="CM116">
        <v>0</v>
      </c>
      <c r="CN116">
        <v>0</v>
      </c>
      <c r="CO116">
        <v>0</v>
      </c>
      <c r="CP116" s="326">
        <f t="shared" si="158"/>
        <v>0</v>
      </c>
      <c r="CQ116" s="326">
        <f t="shared" si="166"/>
        <v>6</v>
      </c>
      <c r="CR116" s="326">
        <f t="shared" si="159"/>
        <v>7</v>
      </c>
      <c r="CS116" s="326">
        <f t="shared" si="160"/>
        <v>8</v>
      </c>
      <c r="CT116" s="326">
        <f t="shared" si="161"/>
        <v>0</v>
      </c>
      <c r="CU116" s="326">
        <f t="shared" si="162"/>
        <v>0</v>
      </c>
      <c r="CV116" s="326">
        <f t="shared" si="149"/>
        <v>0</v>
      </c>
      <c r="CW116" s="326">
        <f t="shared" si="150"/>
        <v>0</v>
      </c>
      <c r="CX116" s="326">
        <f t="shared" si="151"/>
        <v>0</v>
      </c>
      <c r="CY116" s="326">
        <f t="shared" si="152"/>
        <v>0</v>
      </c>
      <c r="CZ116" s="326">
        <f t="shared" si="153"/>
        <v>0</v>
      </c>
      <c r="DA116" s="326">
        <f t="shared" si="154"/>
        <v>0</v>
      </c>
      <c r="DB116" s="326">
        <f t="shared" si="155"/>
        <v>0</v>
      </c>
      <c r="DC116" s="326">
        <f>CE116</f>
        <v>113</v>
      </c>
    </row>
    <row r="117" spans="1:107 2757:2797" x14ac:dyDescent="0.25">
      <c r="A117" t="str">
        <f t="array" ref="A117:AO117">TRANSPOSE(Z47:Z86)</f>
        <v>P3 100 x 190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219">
        <v>0</v>
      </c>
      <c r="V117">
        <v>0</v>
      </c>
      <c r="W117">
        <v>0</v>
      </c>
      <c r="X117">
        <v>613.33199999999999</v>
      </c>
      <c r="Y117">
        <v>52.002000000000002</v>
      </c>
      <c r="Z117">
        <v>196.34399999999999</v>
      </c>
      <c r="AA117">
        <v>347.65199999999999</v>
      </c>
      <c r="AB117">
        <v>162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e">
        <v>#N/A</v>
      </c>
      <c r="AQ117" s="326" t="str">
        <f t="shared" si="156"/>
        <v>P10 100 x 190</v>
      </c>
      <c r="AR117" s="326">
        <f t="shared" si="156"/>
        <v>0</v>
      </c>
      <c r="AS117" s="326">
        <f t="shared" si="156"/>
        <v>0</v>
      </c>
      <c r="AT117" s="326">
        <f t="shared" si="156"/>
        <v>0</v>
      </c>
      <c r="AU117" s="326">
        <f t="shared" si="156"/>
        <v>0</v>
      </c>
      <c r="AV117" s="326">
        <f t="shared" si="156"/>
        <v>0</v>
      </c>
      <c r="AW117" s="326">
        <f t="shared" si="156"/>
        <v>0</v>
      </c>
      <c r="AX117" s="326">
        <f t="shared" si="156"/>
        <v>0</v>
      </c>
      <c r="AY117" s="326">
        <f t="shared" si="156"/>
        <v>0</v>
      </c>
      <c r="AZ117" s="326">
        <f t="shared" si="156"/>
        <v>0</v>
      </c>
      <c r="BA117" s="369">
        <v>5</v>
      </c>
      <c r="BB117" s="369">
        <v>6</v>
      </c>
      <c r="BC117" s="369">
        <v>7</v>
      </c>
      <c r="BD117" s="369">
        <v>8</v>
      </c>
      <c r="BE117" s="326">
        <f t="shared" si="156"/>
        <v>0</v>
      </c>
      <c r="BF117" s="326">
        <f t="shared" si="156"/>
        <v>0</v>
      </c>
      <c r="BG117" s="326">
        <f t="shared" ref="BG117:CD117" si="174">BG99</f>
        <v>0</v>
      </c>
      <c r="BH117" s="326">
        <f t="shared" si="174"/>
        <v>0</v>
      </c>
      <c r="BI117" s="326">
        <f t="shared" si="174"/>
        <v>0</v>
      </c>
      <c r="BJ117" s="326">
        <f t="shared" si="174"/>
        <v>0</v>
      </c>
      <c r="BK117" s="326">
        <f t="shared" si="174"/>
        <v>0</v>
      </c>
      <c r="BL117" s="326">
        <f t="shared" si="174"/>
        <v>0</v>
      </c>
      <c r="BM117" s="326">
        <f t="shared" si="174"/>
        <v>0</v>
      </c>
      <c r="BN117" s="326">
        <f t="shared" si="174"/>
        <v>0</v>
      </c>
      <c r="BO117" s="326">
        <f t="shared" si="174"/>
        <v>0</v>
      </c>
      <c r="BP117" s="326">
        <f t="shared" si="174"/>
        <v>0</v>
      </c>
      <c r="BQ117" s="326">
        <f t="shared" si="174"/>
        <v>0</v>
      </c>
      <c r="BR117" s="326">
        <f t="shared" si="174"/>
        <v>442.36798482902924</v>
      </c>
      <c r="BS117" s="326">
        <f t="shared" si="174"/>
        <v>0</v>
      </c>
      <c r="BT117" s="326">
        <f t="shared" si="174"/>
        <v>0</v>
      </c>
      <c r="BU117" s="326">
        <f t="shared" si="174"/>
        <v>0</v>
      </c>
      <c r="BV117" s="326">
        <f t="shared" si="174"/>
        <v>0</v>
      </c>
      <c r="BW117" s="326">
        <f t="shared" si="174"/>
        <v>0</v>
      </c>
      <c r="BX117" s="326">
        <f t="shared" si="174"/>
        <v>0</v>
      </c>
      <c r="BY117" s="326">
        <f t="shared" si="174"/>
        <v>0</v>
      </c>
      <c r="BZ117" s="326">
        <f t="shared" si="174"/>
        <v>0</v>
      </c>
      <c r="CA117" s="326">
        <f t="shared" si="174"/>
        <v>0</v>
      </c>
      <c r="CB117" s="326">
        <f t="shared" si="174"/>
        <v>0</v>
      </c>
      <c r="CC117" s="326">
        <f t="shared" si="174"/>
        <v>0</v>
      </c>
      <c r="CD117" s="326">
        <f t="shared" si="174"/>
        <v>0</v>
      </c>
      <c r="CE117" s="370">
        <v>169</v>
      </c>
      <c r="CG117" s="326" t="str">
        <f t="shared" si="142"/>
        <v>P10 100 x 190</v>
      </c>
      <c r="CH117" s="326">
        <f t="shared" si="143"/>
        <v>0</v>
      </c>
      <c r="CI117" s="326">
        <f t="shared" si="144"/>
        <v>0</v>
      </c>
      <c r="CJ117" s="326">
        <f t="shared" si="145"/>
        <v>0</v>
      </c>
      <c r="CK117" s="326">
        <f t="shared" si="146"/>
        <v>0</v>
      </c>
      <c r="CL117" s="326">
        <f t="shared" si="147"/>
        <v>0</v>
      </c>
      <c r="CM117">
        <v>0</v>
      </c>
      <c r="CN117">
        <v>0</v>
      </c>
      <c r="CO117">
        <v>0</v>
      </c>
      <c r="CP117" s="326">
        <f t="shared" si="158"/>
        <v>5</v>
      </c>
      <c r="CQ117" s="326">
        <f t="shared" si="166"/>
        <v>6</v>
      </c>
      <c r="CR117" s="326">
        <f t="shared" si="159"/>
        <v>7</v>
      </c>
      <c r="CS117" s="326">
        <f t="shared" si="160"/>
        <v>8</v>
      </c>
      <c r="CT117" s="326">
        <f t="shared" si="161"/>
        <v>0</v>
      </c>
      <c r="CU117" s="326">
        <f t="shared" si="162"/>
        <v>0</v>
      </c>
      <c r="CV117" s="326">
        <f t="shared" si="149"/>
        <v>0</v>
      </c>
      <c r="CW117" s="326">
        <f t="shared" si="150"/>
        <v>0</v>
      </c>
      <c r="CX117" s="326">
        <f t="shared" si="151"/>
        <v>0</v>
      </c>
      <c r="CY117" s="326">
        <f t="shared" si="152"/>
        <v>0</v>
      </c>
      <c r="CZ117" s="326">
        <f t="shared" si="153"/>
        <v>0</v>
      </c>
      <c r="DA117" s="326">
        <f t="shared" si="154"/>
        <v>0</v>
      </c>
      <c r="DB117" s="326">
        <f t="shared" si="155"/>
        <v>0</v>
      </c>
      <c r="DC117" s="326">
        <f>CE117</f>
        <v>169</v>
      </c>
      <c r="DBA117" s="315" t="s">
        <v>268</v>
      </c>
      <c r="DBB117" s="315">
        <v>21742.080000000002</v>
      </c>
      <c r="DBC117" s="315"/>
      <c r="DBD117" s="315"/>
      <c r="DBE117" s="315"/>
      <c r="DBF117" s="315"/>
      <c r="DBG117" s="315"/>
      <c r="DBH117" s="315"/>
      <c r="DBI117" s="315"/>
      <c r="DBJ117" s="315"/>
      <c r="DBK117" s="315"/>
      <c r="DBL117" s="315">
        <v>1139.8499999999999</v>
      </c>
      <c r="DBM117" s="315"/>
      <c r="DBN117" s="315"/>
      <c r="DBO117" s="315"/>
      <c r="DBP117" s="315"/>
      <c r="DBQ117" s="315"/>
      <c r="DBR117" s="315"/>
      <c r="DBS117" s="315"/>
      <c r="DBT117" s="315"/>
      <c r="DBU117" s="315"/>
      <c r="DBV117" s="315"/>
      <c r="DBW117" s="315"/>
      <c r="DBX117" s="315"/>
      <c r="DBY117" s="315"/>
      <c r="DBZ117" s="315"/>
      <c r="DCA117" s="315"/>
      <c r="DCB117" s="315"/>
      <c r="DCC117" s="315"/>
      <c r="DCD117" s="315"/>
      <c r="DCE117" s="315"/>
      <c r="DCF117" s="315"/>
      <c r="DCG117" s="315"/>
      <c r="DCH117" s="315"/>
      <c r="DCI117" s="315"/>
      <c r="DCJ117" s="315"/>
      <c r="DCK117" s="315"/>
      <c r="DCL117" s="315"/>
      <c r="DCM117" s="315"/>
      <c r="DCN117" s="315"/>
      <c r="DCO117" s="315">
        <f t="shared" si="163"/>
        <v>2</v>
      </c>
    </row>
    <row r="118" spans="1:107 2757:2797" x14ac:dyDescent="0.25">
      <c r="AQ118" s="326" t="str">
        <f t="shared" si="156"/>
        <v>P5 100 x 190</v>
      </c>
      <c r="AR118" s="369">
        <v>1</v>
      </c>
      <c r="AS118" s="326">
        <f t="shared" si="156"/>
        <v>0</v>
      </c>
      <c r="AT118" s="326">
        <f t="shared" si="156"/>
        <v>0</v>
      </c>
      <c r="AU118" s="326">
        <f t="shared" si="156"/>
        <v>0</v>
      </c>
      <c r="AV118" s="326">
        <f t="shared" si="156"/>
        <v>0</v>
      </c>
      <c r="AW118" s="326">
        <f t="shared" si="156"/>
        <v>0</v>
      </c>
      <c r="AX118" s="326">
        <f t="shared" si="156"/>
        <v>0</v>
      </c>
      <c r="AY118" s="326">
        <f t="shared" si="156"/>
        <v>0</v>
      </c>
      <c r="AZ118" s="326">
        <f t="shared" si="156"/>
        <v>0</v>
      </c>
      <c r="BA118" s="326">
        <f t="shared" si="156"/>
        <v>0</v>
      </c>
      <c r="BB118" s="369">
        <v>6</v>
      </c>
      <c r="BC118" s="326">
        <f t="shared" si="156"/>
        <v>0</v>
      </c>
      <c r="BD118" s="326">
        <f t="shared" si="156"/>
        <v>0</v>
      </c>
      <c r="BE118" s="326">
        <f t="shared" si="156"/>
        <v>0</v>
      </c>
      <c r="BF118" s="326">
        <f t="shared" si="156"/>
        <v>0</v>
      </c>
      <c r="BG118" s="326">
        <f t="shared" ref="BG118:CD118" si="175">BG100</f>
        <v>0</v>
      </c>
      <c r="BH118" s="326">
        <f t="shared" si="175"/>
        <v>0</v>
      </c>
      <c r="BI118" s="326">
        <f t="shared" si="175"/>
        <v>0</v>
      </c>
      <c r="BJ118" s="326">
        <f t="shared" si="175"/>
        <v>0</v>
      </c>
      <c r="BK118" s="326">
        <f t="shared" si="175"/>
        <v>0</v>
      </c>
      <c r="BL118" s="326">
        <f t="shared" si="175"/>
        <v>0</v>
      </c>
      <c r="BM118" s="326">
        <f t="shared" si="175"/>
        <v>0</v>
      </c>
      <c r="BN118" s="326">
        <f t="shared" si="175"/>
        <v>0</v>
      </c>
      <c r="BO118" s="326">
        <f t="shared" si="175"/>
        <v>0</v>
      </c>
      <c r="BP118" s="326">
        <f t="shared" si="175"/>
        <v>0</v>
      </c>
      <c r="BQ118" s="326">
        <f t="shared" si="175"/>
        <v>0</v>
      </c>
      <c r="BR118" s="326">
        <f t="shared" si="175"/>
        <v>3083.426493906094</v>
      </c>
      <c r="BS118" s="326">
        <f t="shared" si="175"/>
        <v>0</v>
      </c>
      <c r="BT118" s="326">
        <f t="shared" si="175"/>
        <v>0</v>
      </c>
      <c r="BU118" s="326">
        <f t="shared" si="175"/>
        <v>0</v>
      </c>
      <c r="BV118" s="326">
        <f t="shared" si="175"/>
        <v>0</v>
      </c>
      <c r="BW118" s="326">
        <f t="shared" si="175"/>
        <v>0</v>
      </c>
      <c r="BX118" s="326">
        <f t="shared" si="175"/>
        <v>0</v>
      </c>
      <c r="BY118" s="326">
        <f t="shared" si="175"/>
        <v>0</v>
      </c>
      <c r="BZ118" s="326">
        <f t="shared" si="175"/>
        <v>0</v>
      </c>
      <c r="CA118" s="326">
        <f t="shared" si="175"/>
        <v>0</v>
      </c>
      <c r="CB118" s="326">
        <f t="shared" si="175"/>
        <v>0</v>
      </c>
      <c r="CC118" s="326">
        <f t="shared" si="175"/>
        <v>0</v>
      </c>
      <c r="CD118" s="326">
        <f t="shared" si="175"/>
        <v>0</v>
      </c>
      <c r="CE118" s="370">
        <v>447</v>
      </c>
      <c r="CG118" s="326" t="str">
        <f t="shared" si="142"/>
        <v>P5 100 x 190</v>
      </c>
      <c r="CH118" s="326">
        <f t="shared" si="143"/>
        <v>1</v>
      </c>
      <c r="CI118" s="326">
        <f t="shared" si="144"/>
        <v>0</v>
      </c>
      <c r="CJ118" s="326">
        <f t="shared" si="145"/>
        <v>0</v>
      </c>
      <c r="CK118" s="326">
        <f t="shared" si="146"/>
        <v>0</v>
      </c>
      <c r="CL118" s="326">
        <f t="shared" si="147"/>
        <v>0</v>
      </c>
      <c r="CM118">
        <v>0</v>
      </c>
      <c r="CN118">
        <v>0</v>
      </c>
      <c r="CO118">
        <v>0</v>
      </c>
      <c r="CP118" s="326">
        <f t="shared" si="158"/>
        <v>0</v>
      </c>
      <c r="CQ118" s="326">
        <f t="shared" si="166"/>
        <v>6</v>
      </c>
      <c r="CR118" s="326">
        <f t="shared" si="159"/>
        <v>0</v>
      </c>
      <c r="CS118" s="326">
        <f t="shared" si="160"/>
        <v>0</v>
      </c>
      <c r="CT118" s="326">
        <f t="shared" si="161"/>
        <v>0</v>
      </c>
      <c r="CU118" s="326">
        <f t="shared" si="162"/>
        <v>0</v>
      </c>
      <c r="CV118" s="326">
        <f t="shared" si="149"/>
        <v>0</v>
      </c>
      <c r="CW118" s="326">
        <f t="shared" si="150"/>
        <v>0</v>
      </c>
      <c r="CX118" s="326">
        <f t="shared" si="151"/>
        <v>0</v>
      </c>
      <c r="CY118" s="326">
        <f t="shared" si="152"/>
        <v>0</v>
      </c>
      <c r="CZ118" s="326">
        <f t="shared" si="153"/>
        <v>0</v>
      </c>
      <c r="DA118" s="326">
        <f t="shared" si="154"/>
        <v>0</v>
      </c>
      <c r="DB118" s="326">
        <f t="shared" si="155"/>
        <v>0</v>
      </c>
      <c r="DC118" s="326">
        <f>CE118</f>
        <v>447</v>
      </c>
      <c r="DBA118" s="348" t="s">
        <v>297</v>
      </c>
      <c r="DBB118" s="348"/>
      <c r="DBC118" s="348"/>
      <c r="DBD118" s="348"/>
      <c r="DBE118" s="348"/>
      <c r="DBF118" s="348"/>
      <c r="DBG118" s="348"/>
      <c r="DBH118" s="348"/>
      <c r="DBI118" s="348"/>
      <c r="DBJ118" s="348"/>
      <c r="DBK118" s="348"/>
      <c r="DBL118" s="348"/>
      <c r="DBM118" s="348"/>
      <c r="DBN118" s="348"/>
      <c r="DBO118" s="348"/>
      <c r="DBP118" s="348"/>
      <c r="DBQ118" s="348"/>
      <c r="DBR118" s="348"/>
      <c r="DBS118" s="348"/>
      <c r="DBT118" s="348"/>
      <c r="DBU118" s="348"/>
      <c r="DBV118" s="348"/>
      <c r="DBW118" s="348"/>
      <c r="DBX118" s="348">
        <v>1547.1000000000001</v>
      </c>
      <c r="DBY118" s="348">
        <v>2553.12</v>
      </c>
      <c r="DBZ118" s="348">
        <v>1112.94</v>
      </c>
      <c r="DCA118" s="348">
        <v>9344.16</v>
      </c>
      <c r="DCB118" s="348"/>
      <c r="DCC118" s="348"/>
      <c r="DCD118" s="348"/>
      <c r="DCE118" s="348"/>
      <c r="DCF118" s="348"/>
      <c r="DCG118" s="348"/>
      <c r="DCH118" s="348"/>
      <c r="DCI118" s="348"/>
      <c r="DCJ118" s="348"/>
      <c r="DCK118" s="348"/>
      <c r="DCL118" s="348"/>
      <c r="DCM118" s="348"/>
      <c r="DCN118" s="348"/>
      <c r="DCO118" s="348">
        <f t="shared" si="163"/>
        <v>4</v>
      </c>
    </row>
    <row r="119" spans="1:107 2757:2797" x14ac:dyDescent="0.25">
      <c r="AQ119" s="326" t="str">
        <f t="shared" si="156"/>
        <v>Bloques</v>
      </c>
      <c r="AR119" s="326">
        <f t="shared" si="156"/>
        <v>0</v>
      </c>
      <c r="AS119" s="326">
        <f t="shared" si="156"/>
        <v>0</v>
      </c>
      <c r="AT119" s="326">
        <f t="shared" si="156"/>
        <v>0</v>
      </c>
      <c r="AU119" s="326">
        <f t="shared" si="156"/>
        <v>0</v>
      </c>
      <c r="AV119" s="326">
        <f t="shared" si="156"/>
        <v>0</v>
      </c>
      <c r="AW119" s="326">
        <f t="shared" si="156"/>
        <v>0</v>
      </c>
      <c r="AX119" s="326">
        <f t="shared" si="156"/>
        <v>0</v>
      </c>
      <c r="AY119" s="326">
        <f t="shared" si="156"/>
        <v>0</v>
      </c>
      <c r="AZ119" s="326">
        <f t="shared" si="156"/>
        <v>0</v>
      </c>
      <c r="BA119" s="326">
        <f t="shared" si="156"/>
        <v>0</v>
      </c>
      <c r="BB119" s="326">
        <f t="shared" si="156"/>
        <v>0</v>
      </c>
      <c r="BC119" s="326">
        <f t="shared" si="156"/>
        <v>0</v>
      </c>
      <c r="BD119" s="326">
        <f t="shared" si="156"/>
        <v>0</v>
      </c>
      <c r="BE119" s="326">
        <f t="shared" si="156"/>
        <v>0</v>
      </c>
      <c r="BF119" s="326">
        <f t="shared" si="156"/>
        <v>0</v>
      </c>
      <c r="BG119" s="326">
        <f t="shared" ref="BG119:CD119" si="176">BG101</f>
        <v>0</v>
      </c>
      <c r="BH119" s="326">
        <f t="shared" si="176"/>
        <v>0</v>
      </c>
      <c r="BI119" s="326">
        <f t="shared" si="176"/>
        <v>0</v>
      </c>
      <c r="BJ119" s="326">
        <f t="shared" si="176"/>
        <v>0</v>
      </c>
      <c r="BK119" s="326">
        <f t="shared" si="176"/>
        <v>0</v>
      </c>
      <c r="BL119" s="326">
        <f t="shared" si="176"/>
        <v>0</v>
      </c>
      <c r="BM119" s="326">
        <f t="shared" si="176"/>
        <v>0</v>
      </c>
      <c r="BN119" s="326">
        <f t="shared" si="176"/>
        <v>0</v>
      </c>
      <c r="BO119" s="326">
        <f t="shared" si="176"/>
        <v>0</v>
      </c>
      <c r="BP119" s="326">
        <f t="shared" si="176"/>
        <v>0</v>
      </c>
      <c r="BQ119" s="326">
        <f t="shared" si="176"/>
        <v>0</v>
      </c>
      <c r="BR119" s="326">
        <f t="shared" si="176"/>
        <v>0</v>
      </c>
      <c r="BS119" s="326">
        <f t="shared" si="176"/>
        <v>0</v>
      </c>
      <c r="BT119" s="326">
        <f t="shared" si="176"/>
        <v>0</v>
      </c>
      <c r="BU119" s="326">
        <f t="shared" si="176"/>
        <v>0</v>
      </c>
      <c r="BV119" s="369">
        <v>17</v>
      </c>
      <c r="BW119" s="379">
        <v>0</v>
      </c>
      <c r="BX119" s="369">
        <v>18</v>
      </c>
      <c r="BY119" s="369">
        <v>19</v>
      </c>
      <c r="BZ119" s="326">
        <f t="shared" si="176"/>
        <v>5.3894062669633414</v>
      </c>
      <c r="CA119" s="326">
        <f t="shared" si="176"/>
        <v>0</v>
      </c>
      <c r="CB119" s="326">
        <f t="shared" si="176"/>
        <v>0</v>
      </c>
      <c r="CC119" s="326">
        <f t="shared" si="176"/>
        <v>56.939673090767492</v>
      </c>
      <c r="CD119" s="326">
        <f t="shared" si="176"/>
        <v>0</v>
      </c>
      <c r="CE119" s="370">
        <f t="array" ref="CE119:CE120">TRANSPOSE(B39:C39)</f>
        <v>43</v>
      </c>
      <c r="CG119" s="326" t="str">
        <f>AQ119</f>
        <v>Bloques</v>
      </c>
      <c r="CH119" s="326">
        <f>AR119</f>
        <v>0</v>
      </c>
      <c r="CI119" s="326">
        <f>BV119</f>
        <v>17</v>
      </c>
      <c r="CJ119" s="326">
        <f t="shared" ref="CJ119:CL120" si="177">BW119</f>
        <v>0</v>
      </c>
      <c r="CK119" s="326">
        <f t="shared" si="177"/>
        <v>18</v>
      </c>
      <c r="CL119" s="326">
        <f t="shared" si="177"/>
        <v>19</v>
      </c>
      <c r="CM119" s="326">
        <f>CA119</f>
        <v>0</v>
      </c>
      <c r="CN119" s="326">
        <f>CB119</f>
        <v>0</v>
      </c>
      <c r="CO119" s="326">
        <f>CD119</f>
        <v>0</v>
      </c>
      <c r="CP119" s="326">
        <f t="shared" si="158"/>
        <v>0</v>
      </c>
      <c r="CQ119" s="326">
        <f t="shared" si="166"/>
        <v>0</v>
      </c>
      <c r="CR119" s="326">
        <f t="shared" si="159"/>
        <v>0</v>
      </c>
      <c r="CS119" s="326">
        <f t="shared" si="160"/>
        <v>0</v>
      </c>
      <c r="CT119" s="326">
        <f t="shared" si="161"/>
        <v>0</v>
      </c>
      <c r="CU119" s="326">
        <f t="shared" si="162"/>
        <v>0</v>
      </c>
      <c r="CV119" s="326">
        <f t="shared" si="149"/>
        <v>0</v>
      </c>
      <c r="CW119" s="326">
        <f t="shared" si="150"/>
        <v>0</v>
      </c>
      <c r="CX119" s="326">
        <f t="shared" si="151"/>
        <v>0</v>
      </c>
      <c r="CY119" s="326">
        <f t="shared" si="152"/>
        <v>0</v>
      </c>
      <c r="CZ119" s="326">
        <f t="shared" si="153"/>
        <v>0</v>
      </c>
      <c r="DA119" s="326">
        <f t="shared" si="154"/>
        <v>0</v>
      </c>
      <c r="DB119" s="326">
        <f t="shared" si="155"/>
        <v>0</v>
      </c>
      <c r="DC119" s="326">
        <f>CE119</f>
        <v>43</v>
      </c>
      <c r="DBA119" s="366" t="s">
        <v>300</v>
      </c>
      <c r="DBB119" s="366"/>
      <c r="DBC119" s="366"/>
      <c r="DBD119" s="366"/>
      <c r="DBE119" s="366"/>
      <c r="DBF119" s="366"/>
      <c r="DBG119" s="366"/>
      <c r="DBH119" s="366"/>
      <c r="DBI119" s="366"/>
      <c r="DBJ119" s="366"/>
      <c r="DBK119" s="366"/>
      <c r="DBL119" s="366"/>
      <c r="DBM119" s="366"/>
      <c r="DBN119" s="366"/>
      <c r="DBO119" s="366"/>
      <c r="DBP119" s="366"/>
      <c r="DBQ119" s="366"/>
      <c r="DBR119" s="366"/>
      <c r="DBS119" s="366"/>
      <c r="DBT119" s="366"/>
      <c r="DBU119" s="366"/>
      <c r="DBV119" s="366"/>
      <c r="DBW119" s="366"/>
      <c r="DBX119" s="366"/>
      <c r="DBY119" s="366"/>
      <c r="DBZ119" s="366"/>
      <c r="DCA119" s="366"/>
      <c r="DCB119" s="366"/>
      <c r="DCC119" s="366"/>
      <c r="DCD119" s="366"/>
      <c r="DCE119" s="366"/>
      <c r="DCF119" s="366">
        <v>111.24100000000001</v>
      </c>
      <c r="DCG119" s="366">
        <v>5.0955000000000004</v>
      </c>
      <c r="DCH119" s="366">
        <v>5.9196666666666662</v>
      </c>
      <c r="DCI119" s="366">
        <v>234.47900000000001</v>
      </c>
      <c r="DCJ119" s="366">
        <v>247.67999999999998</v>
      </c>
      <c r="DCK119" s="366"/>
      <c r="DCL119" s="366"/>
      <c r="DCM119" s="366"/>
      <c r="DCN119" s="366"/>
      <c r="DCO119" s="366">
        <f t="shared" si="163"/>
        <v>5</v>
      </c>
    </row>
    <row r="120" spans="1:107 2757:2797" x14ac:dyDescent="0.25">
      <c r="AQ120" s="326" t="str">
        <f t="shared" si="156"/>
        <v>Cilindros</v>
      </c>
      <c r="AR120" s="326">
        <f t="shared" si="156"/>
        <v>0</v>
      </c>
      <c r="AS120" s="326">
        <f t="shared" si="156"/>
        <v>0</v>
      </c>
      <c r="AT120" s="326">
        <f t="shared" si="156"/>
        <v>0</v>
      </c>
      <c r="AU120" s="326">
        <f t="shared" si="156"/>
        <v>0</v>
      </c>
      <c r="AV120" s="326">
        <f t="shared" si="156"/>
        <v>0</v>
      </c>
      <c r="AW120" s="326">
        <f t="shared" si="156"/>
        <v>0</v>
      </c>
      <c r="AX120" s="326">
        <f t="shared" si="156"/>
        <v>0</v>
      </c>
      <c r="AY120" s="326">
        <f t="shared" si="156"/>
        <v>0</v>
      </c>
      <c r="AZ120" s="326">
        <f t="shared" si="156"/>
        <v>0</v>
      </c>
      <c r="BA120" s="326">
        <f t="shared" si="156"/>
        <v>0</v>
      </c>
      <c r="BB120" s="326">
        <f t="shared" si="156"/>
        <v>0</v>
      </c>
      <c r="BC120" s="326">
        <f t="shared" si="156"/>
        <v>0</v>
      </c>
      <c r="BD120" s="326">
        <f t="shared" si="156"/>
        <v>0</v>
      </c>
      <c r="BE120" s="326">
        <f t="shared" si="156"/>
        <v>0</v>
      </c>
      <c r="BF120" s="326">
        <f t="shared" si="156"/>
        <v>0</v>
      </c>
      <c r="BG120" s="326">
        <f t="shared" ref="BG120:CC120" si="178">BG102</f>
        <v>0</v>
      </c>
      <c r="BH120" s="326">
        <f t="shared" si="178"/>
        <v>0</v>
      </c>
      <c r="BI120" s="326">
        <f t="shared" si="178"/>
        <v>0</v>
      </c>
      <c r="BJ120" s="326">
        <f t="shared" si="178"/>
        <v>0</v>
      </c>
      <c r="BK120" s="326">
        <f t="shared" si="178"/>
        <v>0</v>
      </c>
      <c r="BL120" s="326">
        <f t="shared" si="178"/>
        <v>0</v>
      </c>
      <c r="BM120" s="326">
        <f t="shared" si="178"/>
        <v>0</v>
      </c>
      <c r="BN120" s="326">
        <f t="shared" si="178"/>
        <v>0</v>
      </c>
      <c r="BO120" s="326">
        <f t="shared" si="178"/>
        <v>0</v>
      </c>
      <c r="BP120" s="326">
        <f t="shared" si="178"/>
        <v>0</v>
      </c>
      <c r="BQ120" s="326">
        <f t="shared" si="178"/>
        <v>0</v>
      </c>
      <c r="BR120" s="326">
        <f t="shared" si="178"/>
        <v>0</v>
      </c>
      <c r="BS120" s="326">
        <f t="shared" si="178"/>
        <v>0</v>
      </c>
      <c r="BT120" s="326">
        <f t="shared" si="178"/>
        <v>0</v>
      </c>
      <c r="BU120" s="326">
        <f t="shared" si="178"/>
        <v>0</v>
      </c>
      <c r="BV120" s="369">
        <v>17</v>
      </c>
      <c r="BW120" s="379">
        <v>0</v>
      </c>
      <c r="BX120" s="369">
        <v>18</v>
      </c>
      <c r="BY120" s="369">
        <v>20</v>
      </c>
      <c r="BZ120" s="326">
        <f t="shared" si="178"/>
        <v>0.69665643834282731</v>
      </c>
      <c r="CA120" s="369">
        <v>21</v>
      </c>
      <c r="CB120" s="369">
        <v>22</v>
      </c>
      <c r="CC120" s="326">
        <f t="shared" si="178"/>
        <v>0.76987118835542856</v>
      </c>
      <c r="CD120" s="369">
        <v>23</v>
      </c>
      <c r="CE120" s="370">
        <v>5</v>
      </c>
      <c r="CG120" s="326" t="str">
        <f>AQ120</f>
        <v>Cilindros</v>
      </c>
      <c r="CH120" s="326">
        <f>AR120</f>
        <v>0</v>
      </c>
      <c r="CI120" s="326">
        <f>BV120</f>
        <v>17</v>
      </c>
      <c r="CJ120" s="326">
        <f t="shared" si="177"/>
        <v>0</v>
      </c>
      <c r="CK120" s="326">
        <f t="shared" si="177"/>
        <v>18</v>
      </c>
      <c r="CL120" s="326">
        <f t="shared" si="177"/>
        <v>20</v>
      </c>
      <c r="CM120" s="326">
        <f>CA120</f>
        <v>21</v>
      </c>
      <c r="CN120" s="326">
        <f>CB120</f>
        <v>22</v>
      </c>
      <c r="CO120" s="326">
        <f>CD120</f>
        <v>23</v>
      </c>
      <c r="CP120" s="326">
        <f t="shared" si="158"/>
        <v>0</v>
      </c>
      <c r="CQ120" s="326">
        <f t="shared" si="166"/>
        <v>0</v>
      </c>
      <c r="CR120" s="326">
        <f t="shared" si="159"/>
        <v>0</v>
      </c>
      <c r="CS120" s="326">
        <f t="shared" si="160"/>
        <v>0</v>
      </c>
      <c r="CT120" s="326">
        <f t="shared" si="161"/>
        <v>0</v>
      </c>
      <c r="CU120" s="326">
        <f t="shared" si="162"/>
        <v>0</v>
      </c>
      <c r="CV120" s="326">
        <f t="shared" si="149"/>
        <v>0</v>
      </c>
      <c r="CW120" s="326">
        <f t="shared" si="150"/>
        <v>0</v>
      </c>
      <c r="CX120" s="326">
        <f t="shared" si="151"/>
        <v>0</v>
      </c>
      <c r="CY120" s="326">
        <f t="shared" si="152"/>
        <v>0</v>
      </c>
      <c r="CZ120" s="326">
        <f t="shared" si="153"/>
        <v>0</v>
      </c>
      <c r="DA120" s="326">
        <f t="shared" si="154"/>
        <v>0</v>
      </c>
      <c r="DB120" s="326">
        <f t="shared" si="155"/>
        <v>0</v>
      </c>
      <c r="DC120" s="326">
        <f>CE120</f>
        <v>5</v>
      </c>
      <c r="DBA120" s="366" t="s">
        <v>305</v>
      </c>
      <c r="DBB120" s="366"/>
      <c r="DBC120" s="366"/>
      <c r="DBD120" s="366"/>
      <c r="DBE120" s="366"/>
      <c r="DBF120" s="366"/>
      <c r="DBG120" s="366"/>
      <c r="DBH120" s="366"/>
      <c r="DBI120" s="366"/>
      <c r="DBJ120" s="366"/>
      <c r="DBK120" s="366"/>
      <c r="DBL120" s="366"/>
      <c r="DBM120" s="366"/>
      <c r="DBN120" s="366"/>
      <c r="DBO120" s="366"/>
      <c r="DBP120" s="366"/>
      <c r="DBQ120" s="366"/>
      <c r="DBR120" s="366"/>
      <c r="DBS120" s="366"/>
      <c r="DBT120" s="366"/>
      <c r="DBU120" s="366"/>
      <c r="DBV120" s="366"/>
      <c r="DBW120" s="366"/>
      <c r="DBX120" s="366"/>
      <c r="DBY120" s="366"/>
      <c r="DBZ120" s="366"/>
      <c r="DCA120" s="366"/>
      <c r="DCB120" s="366"/>
      <c r="DCC120" s="366"/>
      <c r="DCD120" s="366"/>
      <c r="DCE120" s="366"/>
      <c r="DCF120" s="366">
        <v>17.395</v>
      </c>
      <c r="DCG120" s="366">
        <v>0.59250000000000003</v>
      </c>
      <c r="DCH120" s="366">
        <v>0.68833333333333324</v>
      </c>
      <c r="DCI120" s="366">
        <v>25.455833333333334</v>
      </c>
      <c r="DCJ120" s="366">
        <v>30.85</v>
      </c>
      <c r="DCK120" s="366">
        <v>7.8133333333333335</v>
      </c>
      <c r="DCL120" s="366">
        <v>289.45</v>
      </c>
      <c r="DCM120" s="366"/>
      <c r="DCN120" s="366">
        <v>289.90999999999997</v>
      </c>
      <c r="DCO120" s="366">
        <f t="shared" si="163"/>
        <v>8</v>
      </c>
    </row>
    <row r="121" spans="1:107 2757:2797" x14ac:dyDescent="0.25">
      <c r="AQ121" s="326" t="str">
        <f>A117</f>
        <v>P3 100 x 190</v>
      </c>
      <c r="AR121" s="326">
        <f t="shared" ref="AR121:BR121" si="179">B117</f>
        <v>0</v>
      </c>
      <c r="AS121" s="326">
        <f t="shared" si="179"/>
        <v>0</v>
      </c>
      <c r="AT121" s="326">
        <f t="shared" si="179"/>
        <v>0</v>
      </c>
      <c r="AU121" s="326">
        <f t="shared" si="179"/>
        <v>0</v>
      </c>
      <c r="AV121" s="326">
        <f t="shared" si="179"/>
        <v>0</v>
      </c>
      <c r="AW121" s="326">
        <f t="shared" si="179"/>
        <v>0</v>
      </c>
      <c r="AX121" s="326">
        <f t="shared" si="179"/>
        <v>0</v>
      </c>
      <c r="AY121" s="326">
        <f t="shared" si="179"/>
        <v>0</v>
      </c>
      <c r="AZ121" s="326">
        <f t="shared" si="179"/>
        <v>0</v>
      </c>
      <c r="BA121" s="326">
        <f t="shared" si="179"/>
        <v>0</v>
      </c>
      <c r="BB121" s="326">
        <f t="shared" si="179"/>
        <v>0</v>
      </c>
      <c r="BC121" s="326">
        <f t="shared" si="179"/>
        <v>0</v>
      </c>
      <c r="BD121" s="326">
        <f t="shared" si="179"/>
        <v>0</v>
      </c>
      <c r="BE121" s="326">
        <f t="shared" si="179"/>
        <v>0</v>
      </c>
      <c r="BF121" s="326">
        <f t="shared" si="179"/>
        <v>0</v>
      </c>
      <c r="BG121" s="326">
        <f t="shared" si="179"/>
        <v>0</v>
      </c>
      <c r="BH121" s="326">
        <f t="shared" si="179"/>
        <v>0</v>
      </c>
      <c r="BI121" s="326">
        <f t="shared" si="179"/>
        <v>0</v>
      </c>
      <c r="BJ121" s="326">
        <f t="shared" si="179"/>
        <v>0</v>
      </c>
      <c r="BK121" s="326">
        <f t="shared" si="179"/>
        <v>0</v>
      </c>
      <c r="BL121" s="326">
        <f t="shared" si="179"/>
        <v>0</v>
      </c>
      <c r="BM121" s="326">
        <f t="shared" si="179"/>
        <v>0</v>
      </c>
      <c r="BN121" s="369">
        <v>13</v>
      </c>
      <c r="BO121" s="369">
        <v>14</v>
      </c>
      <c r="BP121" s="369">
        <v>15</v>
      </c>
      <c r="BQ121" s="369">
        <v>16</v>
      </c>
      <c r="BR121" s="326">
        <f t="shared" si="179"/>
        <v>162</v>
      </c>
      <c r="BS121" s="326">
        <f t="shared" ref="BS121:CD121" si="180">AC117</f>
        <v>0</v>
      </c>
      <c r="BT121" s="326">
        <f t="shared" si="180"/>
        <v>0</v>
      </c>
      <c r="BU121" s="326">
        <f t="shared" si="180"/>
        <v>0</v>
      </c>
      <c r="BV121" s="326">
        <f t="shared" si="180"/>
        <v>0</v>
      </c>
      <c r="BW121" s="326">
        <f t="shared" si="180"/>
        <v>0</v>
      </c>
      <c r="BX121" s="326">
        <f t="shared" si="180"/>
        <v>0</v>
      </c>
      <c r="BY121" s="326">
        <f t="shared" si="180"/>
        <v>0</v>
      </c>
      <c r="BZ121" s="326">
        <f t="shared" si="180"/>
        <v>0</v>
      </c>
      <c r="CA121" s="326">
        <f t="shared" si="180"/>
        <v>0</v>
      </c>
      <c r="CB121" s="326">
        <f t="shared" si="180"/>
        <v>0</v>
      </c>
      <c r="CC121" s="326">
        <f t="shared" si="180"/>
        <v>0</v>
      </c>
      <c r="CD121" s="326">
        <f t="shared" si="180"/>
        <v>0</v>
      </c>
      <c r="CG121" s="326" t="str">
        <f>AQ121</f>
        <v>P3 100 x 190</v>
      </c>
      <c r="CH121" s="326">
        <f t="shared" ref="CH121:CX121" si="181">AR121</f>
        <v>0</v>
      </c>
      <c r="CI121" s="326">
        <f t="shared" si="181"/>
        <v>0</v>
      </c>
      <c r="CJ121" s="326">
        <f t="shared" si="181"/>
        <v>0</v>
      </c>
      <c r="CK121" s="326">
        <f t="shared" si="181"/>
        <v>0</v>
      </c>
      <c r="CL121" s="326">
        <f t="shared" si="181"/>
        <v>0</v>
      </c>
      <c r="CM121" s="326">
        <f t="shared" si="181"/>
        <v>0</v>
      </c>
      <c r="CN121" s="326">
        <f t="shared" si="181"/>
        <v>0</v>
      </c>
      <c r="CO121" s="326">
        <f t="shared" si="181"/>
        <v>0</v>
      </c>
      <c r="CP121" s="326">
        <f t="shared" si="181"/>
        <v>0</v>
      </c>
      <c r="CQ121" s="326">
        <f t="shared" si="181"/>
        <v>0</v>
      </c>
      <c r="CR121" s="326">
        <f t="shared" si="181"/>
        <v>0</v>
      </c>
      <c r="CS121" s="326">
        <f t="shared" si="181"/>
        <v>0</v>
      </c>
      <c r="CT121" s="326">
        <f t="shared" si="181"/>
        <v>0</v>
      </c>
      <c r="CU121" s="326">
        <f t="shared" si="181"/>
        <v>0</v>
      </c>
      <c r="CV121" s="326">
        <f t="shared" si="181"/>
        <v>0</v>
      </c>
      <c r="CW121" s="326">
        <f t="shared" si="181"/>
        <v>0</v>
      </c>
      <c r="CX121" s="326">
        <f t="shared" si="181"/>
        <v>0</v>
      </c>
      <c r="CY121" s="326">
        <f>BN121</f>
        <v>13</v>
      </c>
      <c r="CZ121" s="326">
        <f t="shared" ref="CZ121:DB121" si="182">BO121</f>
        <v>14</v>
      </c>
      <c r="DA121" s="326">
        <f t="shared" si="182"/>
        <v>15</v>
      </c>
      <c r="DB121" s="326">
        <f t="shared" si="182"/>
        <v>16</v>
      </c>
      <c r="DC121" s="326">
        <f>L28</f>
        <v>162</v>
      </c>
    </row>
    <row r="123" spans="1:107 2757:2797" x14ac:dyDescent="0.25">
      <c r="BI123" s="349" t="s">
        <v>316</v>
      </c>
      <c r="BJ123" t="s">
        <v>317</v>
      </c>
    </row>
    <row r="129" spans="3:40" x14ac:dyDescent="0.25">
      <c r="AF129" s="14"/>
      <c r="AG129" s="14"/>
      <c r="AH129" s="14"/>
      <c r="AI129" s="14"/>
      <c r="AJ129" s="14"/>
      <c r="AK129" s="14"/>
      <c r="AL129" s="14"/>
      <c r="AM129" s="14"/>
      <c r="AN129" s="14"/>
    </row>
    <row r="134" spans="3:40" x14ac:dyDescent="0.25">
      <c r="C134" s="14"/>
    </row>
  </sheetData>
  <mergeCells count="2">
    <mergeCell ref="M3:M8"/>
    <mergeCell ref="AG47:AH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57" zoomScaleNormal="57" workbookViewId="0">
      <selection activeCell="M1" sqref="M1:M1048576"/>
    </sheetView>
  </sheetViews>
  <sheetFormatPr baseColWidth="10" defaultRowHeight="15" x14ac:dyDescent="0.25"/>
  <cols>
    <col min="20" max="20" width="20.140625" customWidth="1"/>
  </cols>
  <sheetData>
    <row r="1" spans="1:20" x14ac:dyDescent="0.25">
      <c r="A1" s="371">
        <f>Normativas!CG90</f>
        <v>0</v>
      </c>
      <c r="B1" s="372" t="str">
        <f>Normativas!CH90</f>
        <v>Confección colchón algodón</v>
      </c>
      <c r="C1" s="372" t="str">
        <f>Normativas!CI90</f>
        <v>Pesado de MP</v>
      </c>
      <c r="D1" s="372" t="str">
        <f>Normativas!CK90</f>
        <v>Mezclado</v>
      </c>
      <c r="E1" s="372" t="str">
        <f>Normativas!CL90</f>
        <v>Moldeo</v>
      </c>
      <c r="F1" s="372" t="str">
        <f>Normativas!CM90</f>
        <v>Perforación Cilindro</v>
      </c>
      <c r="G1" s="372" t="str">
        <f>Normativas!CN90</f>
        <v>Corte de espuma continua</v>
      </c>
      <c r="H1" s="372" t="str">
        <f>Normativas!CO90</f>
        <v>Acolchado</v>
      </c>
      <c r="I1" s="372" t="str">
        <f>Normativas!CP90</f>
        <v>Corte bloque espuma en láminas</v>
      </c>
      <c r="J1" s="372" t="str">
        <f>Normativas!CQ90</f>
        <v>Corte tapa tela acolchada</v>
      </c>
      <c r="K1" s="372" t="str">
        <f>Normativas!CR90</f>
        <v>Confección colchón (+Cerrado y tapizado(resortados))</v>
      </c>
      <c r="L1" s="372" t="str">
        <f>Normativas!CS90</f>
        <v>Triturado-corte manual</v>
      </c>
      <c r="M1" s="372" t="str">
        <f>Normativas!CU90</f>
        <v>Pegar tapas de espuma</v>
      </c>
      <c r="N1" s="372" t="str">
        <f>Normativas!CV90</f>
        <v>Rellenado-Pesado</v>
      </c>
      <c r="O1" s="372" t="str">
        <f>Normativas!CW90</f>
        <v>Confección funda tela sin cremallera</v>
      </c>
      <c r="P1" s="372" t="str">
        <f>Normativas!CX90</f>
        <v>Sellado bolsa espuma</v>
      </c>
      <c r="Q1" s="372" t="str">
        <f>Normativas!CY90</f>
        <v>Corte madera</v>
      </c>
      <c r="R1" s="372" t="str">
        <f>Normativas!CZ90</f>
        <v>Lijado</v>
      </c>
      <c r="S1" s="372" t="str">
        <f>Normativas!DA90</f>
        <v>Barnizado</v>
      </c>
      <c r="T1" s="373" t="str">
        <f>Normativas!DB90</f>
        <v>Ensamble base cama</v>
      </c>
    </row>
    <row r="2" spans="1:20" x14ac:dyDescent="0.25">
      <c r="A2" s="374" t="str">
        <f>Normativas!CG91</f>
        <v>P2(45x60)</v>
      </c>
      <c r="B2" s="10">
        <f>Normativas!CH91</f>
        <v>0</v>
      </c>
      <c r="C2" s="10">
        <f>Normativas!CI91</f>
        <v>0</v>
      </c>
      <c r="D2" s="10">
        <f>Normativas!CK91</f>
        <v>0</v>
      </c>
      <c r="E2" s="10">
        <f>Normativas!CL91</f>
        <v>0</v>
      </c>
      <c r="F2" s="10">
        <f>Normativas!CM91</f>
        <v>0</v>
      </c>
      <c r="G2" s="10">
        <f>Normativas!CN91</f>
        <v>0</v>
      </c>
      <c r="H2" s="10">
        <f>Normativas!CO91</f>
        <v>0</v>
      </c>
      <c r="I2" s="10">
        <f>Normativas!CP91</f>
        <v>0</v>
      </c>
      <c r="J2" s="10">
        <f>Normativas!CQ91</f>
        <v>38.230173653048567</v>
      </c>
      <c r="K2" s="10">
        <f>Normativas!CR91</f>
        <v>0</v>
      </c>
      <c r="L2" s="10">
        <f>Normativas!CS91</f>
        <v>18.636167923909429</v>
      </c>
      <c r="M2" s="10">
        <f>Normativas!CU91</f>
        <v>6.7360888156414971</v>
      </c>
      <c r="N2" s="10">
        <f>Normativas!CV91</f>
        <v>19.270541013243115</v>
      </c>
      <c r="O2" s="10">
        <f>Normativas!CW91</f>
        <v>61.712867529730453</v>
      </c>
      <c r="P2" s="10">
        <f>Normativas!CX91</f>
        <v>3.5052196712263246</v>
      </c>
      <c r="Q2" s="10">
        <f>Normativas!CY91</f>
        <v>0</v>
      </c>
      <c r="R2" s="10">
        <f>Normativas!CZ91</f>
        <v>0</v>
      </c>
      <c r="S2" s="10">
        <f>Normativas!DA91</f>
        <v>0</v>
      </c>
      <c r="T2" s="375">
        <f>Normativas!DB91</f>
        <v>0</v>
      </c>
    </row>
    <row r="3" spans="1:20" x14ac:dyDescent="0.25">
      <c r="A3" s="374" t="str">
        <f>Normativas!CG92</f>
        <v>P1(40x60)</v>
      </c>
      <c r="B3" s="10">
        <f>Normativas!CH92</f>
        <v>0</v>
      </c>
      <c r="C3" s="10">
        <f>Normativas!CI92</f>
        <v>15.6283851236152</v>
      </c>
      <c r="D3" s="10">
        <f>Normativas!CK92</f>
        <v>2.7088992502464699</v>
      </c>
      <c r="E3" s="10">
        <f>Normativas!CL92</f>
        <v>26.949587307162052</v>
      </c>
      <c r="F3" s="10">
        <f>Normativas!CM92</f>
        <v>0</v>
      </c>
      <c r="G3" s="10">
        <f>Normativas!CN92</f>
        <v>0</v>
      </c>
      <c r="H3" s="10">
        <f>Normativas!CO92</f>
        <v>0</v>
      </c>
      <c r="I3" s="10">
        <f>Normativas!CP92</f>
        <v>0</v>
      </c>
      <c r="J3" s="10">
        <f>Normativas!CQ92</f>
        <v>16.975551921270828</v>
      </c>
      <c r="K3" s="10">
        <f>Normativas!CR92</f>
        <v>0</v>
      </c>
      <c r="L3" s="10">
        <f>Normativas!CS92</f>
        <v>0</v>
      </c>
      <c r="M3" s="10">
        <f>Normativas!CU92</f>
        <v>0</v>
      </c>
      <c r="N3" s="10">
        <f>Normativas!CV92</f>
        <v>0</v>
      </c>
      <c r="O3" s="10">
        <f>Normativas!CW92</f>
        <v>66.62693145899631</v>
      </c>
      <c r="P3" s="10">
        <f>Normativas!CX92</f>
        <v>0</v>
      </c>
      <c r="Q3" s="10">
        <f>Normativas!CY92</f>
        <v>0</v>
      </c>
      <c r="R3" s="10">
        <f>Normativas!CZ92</f>
        <v>0</v>
      </c>
      <c r="S3" s="10">
        <f>Normativas!DA92</f>
        <v>0</v>
      </c>
      <c r="T3" s="375">
        <f>Normativas!DB92</f>
        <v>0</v>
      </c>
    </row>
    <row r="4" spans="1:20" x14ac:dyDescent="0.25">
      <c r="A4" s="374" t="str">
        <f>Normativas!CG93</f>
        <v>P11(C10)100X190</v>
      </c>
      <c r="B4" s="10">
        <f>Normativas!CH93</f>
        <v>0</v>
      </c>
      <c r="C4" s="10">
        <f>Normativas!CI93</f>
        <v>0</v>
      </c>
      <c r="D4" s="10">
        <f>Normativas!CK93</f>
        <v>0</v>
      </c>
      <c r="E4" s="10">
        <f>Normativas!CL93</f>
        <v>0</v>
      </c>
      <c r="F4" s="10">
        <f>Normativas!CM93</f>
        <v>0</v>
      </c>
      <c r="G4" s="10">
        <f>Normativas!CN93</f>
        <v>0</v>
      </c>
      <c r="H4" s="10">
        <f>Normativas!CO93</f>
        <v>0</v>
      </c>
      <c r="I4" s="10">
        <f>Normativas!CP93</f>
        <v>3.9520375115240478</v>
      </c>
      <c r="J4" s="10">
        <f>Normativas!CQ93</f>
        <v>27.695338431186304</v>
      </c>
      <c r="K4" s="10">
        <f>Normativas!CR93</f>
        <v>0</v>
      </c>
      <c r="L4" s="10">
        <f>Normativas!CS93</f>
        <v>0</v>
      </c>
      <c r="M4" s="10">
        <f>Normativas!CU93</f>
        <v>0</v>
      </c>
      <c r="N4" s="10">
        <f>Normativas!CV93</f>
        <v>0</v>
      </c>
      <c r="O4" s="10">
        <f>Normativas!CW93</f>
        <v>135.68707160363749</v>
      </c>
      <c r="P4" s="10">
        <f>Normativas!CX93</f>
        <v>0</v>
      </c>
      <c r="Q4" s="10">
        <f>Normativas!CY93</f>
        <v>0</v>
      </c>
      <c r="R4" s="10">
        <f>Normativas!CZ93</f>
        <v>0</v>
      </c>
      <c r="S4" s="10">
        <f>Normativas!DA93</f>
        <v>0</v>
      </c>
      <c r="T4" s="375">
        <f>Normativas!DB93</f>
        <v>0</v>
      </c>
    </row>
    <row r="5" spans="1:20" x14ac:dyDescent="0.25">
      <c r="A5" s="374" t="str">
        <f>Normativas!CG94</f>
        <v>P4(C15)100X190</v>
      </c>
      <c r="B5" s="10">
        <f>Normativas!CH94</f>
        <v>0</v>
      </c>
      <c r="C5" s="10">
        <f>Normativas!CI94</f>
        <v>0</v>
      </c>
      <c r="D5" s="10">
        <f>Normativas!CK94</f>
        <v>0</v>
      </c>
      <c r="E5" s="10">
        <f>Normativas!CL94</f>
        <v>0</v>
      </c>
      <c r="F5" s="10">
        <f>Normativas!CM94</f>
        <v>0</v>
      </c>
      <c r="G5" s="10">
        <f>Normativas!CN94</f>
        <v>0</v>
      </c>
      <c r="H5" s="10">
        <f>Normativas!CO94</f>
        <v>0</v>
      </c>
      <c r="I5" s="10">
        <f>Normativas!CP94</f>
        <v>1.9310763703349931</v>
      </c>
      <c r="J5" s="10">
        <f>Normativas!CQ94</f>
        <v>15.143377053147917</v>
      </c>
      <c r="K5" s="10">
        <f>Normativas!CR94</f>
        <v>198.97751990911527</v>
      </c>
      <c r="L5" s="10">
        <f>Normativas!CS94</f>
        <v>18.263392445151791</v>
      </c>
      <c r="M5" s="10">
        <f>Normativas!CU94</f>
        <v>0</v>
      </c>
      <c r="N5" s="10">
        <f>Normativas!CV94</f>
        <v>0</v>
      </c>
      <c r="O5" s="10">
        <f>Normativas!CW94</f>
        <v>0</v>
      </c>
      <c r="P5" s="10">
        <f>Normativas!CX94</f>
        <v>0</v>
      </c>
      <c r="Q5" s="10">
        <f>Normativas!CY94</f>
        <v>0</v>
      </c>
      <c r="R5" s="10">
        <f>Normativas!CZ94</f>
        <v>0</v>
      </c>
      <c r="S5" s="10">
        <f>Normativas!DA94</f>
        <v>0</v>
      </c>
      <c r="T5" s="375">
        <f>Normativas!DB94</f>
        <v>0</v>
      </c>
    </row>
    <row r="6" spans="1:20" x14ac:dyDescent="0.25">
      <c r="A6" s="374" t="str">
        <f>Normativas!CG95</f>
        <v>P6 100 X 190</v>
      </c>
      <c r="B6" s="10">
        <f>Normativas!CH95</f>
        <v>0</v>
      </c>
      <c r="C6" s="10">
        <f>Normativas!CI95</f>
        <v>0</v>
      </c>
      <c r="D6" s="10">
        <f>Normativas!CK95</f>
        <v>0</v>
      </c>
      <c r="E6" s="10">
        <f>Normativas!CL95</f>
        <v>0</v>
      </c>
      <c r="F6" s="10">
        <f>Normativas!CM95</f>
        <v>0</v>
      </c>
      <c r="G6" s="10">
        <f>Normativas!CN95</f>
        <v>0</v>
      </c>
      <c r="H6" s="10">
        <f>Normativas!CO95</f>
        <v>0</v>
      </c>
      <c r="I6" s="10">
        <f>Normativas!CP95</f>
        <v>1.3815646423513508</v>
      </c>
      <c r="J6" s="10">
        <f>Normativas!CQ95</f>
        <v>5.5039015100955613</v>
      </c>
      <c r="K6" s="10">
        <f>Normativas!CR95</f>
        <v>121.56820371387833</v>
      </c>
      <c r="L6" s="10">
        <f>Normativas!CS95</f>
        <v>6.7189738092531668</v>
      </c>
      <c r="M6" s="10">
        <f>Normativas!CU95</f>
        <v>0</v>
      </c>
      <c r="N6" s="10">
        <f>Normativas!CV95</f>
        <v>0</v>
      </c>
      <c r="O6" s="10">
        <f>Normativas!CW95</f>
        <v>0</v>
      </c>
      <c r="P6" s="10">
        <f>Normativas!CX95</f>
        <v>0</v>
      </c>
      <c r="Q6" s="10">
        <f>Normativas!CY95</f>
        <v>0</v>
      </c>
      <c r="R6" s="10">
        <f>Normativas!CZ95</f>
        <v>0</v>
      </c>
      <c r="S6" s="10">
        <f>Normativas!DA95</f>
        <v>0</v>
      </c>
      <c r="T6" s="375">
        <f>Normativas!DB95</f>
        <v>0</v>
      </c>
    </row>
    <row r="7" spans="1:20" x14ac:dyDescent="0.25">
      <c r="A7" s="374" t="str">
        <f>Normativas!CG96</f>
        <v>P7 100 X 190</v>
      </c>
      <c r="B7" s="10">
        <f>Normativas!CH96</f>
        <v>0</v>
      </c>
      <c r="C7" s="10">
        <f>Normativas!CI96</f>
        <v>0</v>
      </c>
      <c r="D7" s="10">
        <f>Normativas!CK96</f>
        <v>0</v>
      </c>
      <c r="E7" s="10">
        <f>Normativas!CL96</f>
        <v>0</v>
      </c>
      <c r="F7" s="10">
        <f>Normativas!CM96</f>
        <v>0</v>
      </c>
      <c r="G7" s="10">
        <f>Normativas!CN96</f>
        <v>0</v>
      </c>
      <c r="H7" s="10">
        <f>Normativas!CO96</f>
        <v>0</v>
      </c>
      <c r="I7" s="10">
        <f>Normativas!CP96</f>
        <v>0</v>
      </c>
      <c r="J7" s="10">
        <f>Normativas!CQ96</f>
        <v>5.8491240688931487</v>
      </c>
      <c r="K7" s="10">
        <f>Normativas!CR96</f>
        <v>129.17369343497705</v>
      </c>
      <c r="L7" s="10">
        <f>Normativas!CS96</f>
        <v>7.0854632897578851</v>
      </c>
      <c r="M7" s="10">
        <f>Normativas!CU96</f>
        <v>0</v>
      </c>
      <c r="N7" s="10">
        <f>Normativas!CV96</f>
        <v>0</v>
      </c>
      <c r="O7" s="10">
        <f>Normativas!CW96</f>
        <v>0</v>
      </c>
      <c r="P7" s="10">
        <f>Normativas!CX96</f>
        <v>0</v>
      </c>
      <c r="Q7" s="10">
        <f>Normativas!CY96</f>
        <v>0</v>
      </c>
      <c r="R7" s="10">
        <f>Normativas!CZ96</f>
        <v>0</v>
      </c>
      <c r="S7" s="10">
        <f>Normativas!DA96</f>
        <v>0</v>
      </c>
      <c r="T7" s="375">
        <f>Normativas!DB96</f>
        <v>0</v>
      </c>
    </row>
    <row r="8" spans="1:20" x14ac:dyDescent="0.25">
      <c r="A8" s="374" t="str">
        <f>Normativas!CG97</f>
        <v>P9 100 X 190</v>
      </c>
      <c r="B8" s="10">
        <f>Normativas!CH97</f>
        <v>0</v>
      </c>
      <c r="C8" s="10">
        <f>Normativas!CI97</f>
        <v>0</v>
      </c>
      <c r="D8" s="10">
        <f>Normativas!CK97</f>
        <v>0</v>
      </c>
      <c r="E8" s="10">
        <f>Normativas!CL97</f>
        <v>0</v>
      </c>
      <c r="F8" s="10">
        <f>Normativas!CM97</f>
        <v>0</v>
      </c>
      <c r="G8" s="10">
        <f>Normativas!CN97</f>
        <v>0</v>
      </c>
      <c r="H8" s="10">
        <f>Normativas!CO97</f>
        <v>0</v>
      </c>
      <c r="I8" s="10">
        <f>Normativas!CP97</f>
        <v>0</v>
      </c>
      <c r="J8" s="10">
        <f>Normativas!CQ97</f>
        <v>6.1213443621261208</v>
      </c>
      <c r="K8" s="10">
        <f>Normativas!CR97</f>
        <v>85.438395203138342</v>
      </c>
      <c r="L8" s="10">
        <f>Normativas!CS97</f>
        <v>7.5741159304308425</v>
      </c>
      <c r="M8" s="10">
        <f>Normativas!CU97</f>
        <v>0</v>
      </c>
      <c r="N8" s="10">
        <f>Normativas!CV97</f>
        <v>0</v>
      </c>
      <c r="O8" s="10">
        <f>Normativas!CW97</f>
        <v>0</v>
      </c>
      <c r="P8" s="10">
        <f>Normativas!CX97</f>
        <v>0</v>
      </c>
      <c r="Q8" s="10">
        <f>Normativas!CY97</f>
        <v>0</v>
      </c>
      <c r="R8" s="10">
        <f>Normativas!CZ97</f>
        <v>0</v>
      </c>
      <c r="S8" s="10">
        <f>Normativas!DA97</f>
        <v>0</v>
      </c>
      <c r="T8" s="375">
        <f>Normativas!DB97</f>
        <v>0</v>
      </c>
    </row>
    <row r="9" spans="1:20" x14ac:dyDescent="0.25">
      <c r="A9" s="374" t="str">
        <f>Normativas!CG98</f>
        <v>P8 100 X 190</v>
      </c>
      <c r="B9" s="10">
        <f>Normativas!CH98</f>
        <v>0</v>
      </c>
      <c r="C9" s="10">
        <f>Normativas!CI98</f>
        <v>0</v>
      </c>
      <c r="D9" s="10">
        <f>Normativas!CK98</f>
        <v>0</v>
      </c>
      <c r="E9" s="10">
        <f>Normativas!CL98</f>
        <v>0</v>
      </c>
      <c r="F9" s="10">
        <f>Normativas!CM98</f>
        <v>0</v>
      </c>
      <c r="G9" s="10">
        <f>Normativas!CN98</f>
        <v>0</v>
      </c>
      <c r="H9" s="10">
        <f>Normativas!CO98</f>
        <v>0</v>
      </c>
      <c r="I9" s="10">
        <f>Normativas!CP98</f>
        <v>0</v>
      </c>
      <c r="J9" s="10">
        <f>Normativas!CQ98</f>
        <v>5.3545695956902586</v>
      </c>
      <c r="K9" s="10">
        <f>Normativas!CR98</f>
        <v>78.353838821640338</v>
      </c>
      <c r="L9" s="10">
        <f>Normativas!CS98</f>
        <v>6.9022185495055259</v>
      </c>
      <c r="M9" s="10">
        <f>Normativas!CU98</f>
        <v>0</v>
      </c>
      <c r="N9" s="10">
        <f>Normativas!CV98</f>
        <v>0</v>
      </c>
      <c r="O9" s="10">
        <f>Normativas!CW98</f>
        <v>0</v>
      </c>
      <c r="P9" s="10">
        <f>Normativas!CX98</f>
        <v>0</v>
      </c>
      <c r="Q9" s="10">
        <f>Normativas!CY98</f>
        <v>0</v>
      </c>
      <c r="R9" s="10">
        <f>Normativas!CZ98</f>
        <v>0</v>
      </c>
      <c r="S9" s="10">
        <f>Normativas!DA98</f>
        <v>0</v>
      </c>
      <c r="T9" s="375">
        <f>Normativas!DB98</f>
        <v>0</v>
      </c>
    </row>
    <row r="10" spans="1:20" x14ac:dyDescent="0.25">
      <c r="A10" s="374" t="str">
        <f>Normativas!CG99</f>
        <v>P10 100 x 190</v>
      </c>
      <c r="B10" s="10">
        <f>Normativas!CH99</f>
        <v>0</v>
      </c>
      <c r="C10" s="10">
        <f>Normativas!CI99</f>
        <v>0</v>
      </c>
      <c r="D10" s="10">
        <f>Normativas!CK99</f>
        <v>0</v>
      </c>
      <c r="E10" s="10">
        <f>Normativas!CL99</f>
        <v>0</v>
      </c>
      <c r="F10" s="10">
        <f>Normativas!CM99</f>
        <v>0</v>
      </c>
      <c r="G10" s="10">
        <f>Normativas!CN99</f>
        <v>0</v>
      </c>
      <c r="H10" s="10">
        <f>Normativas!CO99</f>
        <v>0</v>
      </c>
      <c r="I10" s="10">
        <f>Normativas!CP99</f>
        <v>2.6229819335744793</v>
      </c>
      <c r="J10" s="10">
        <f>Normativas!CQ99</f>
        <v>8.5747309096950701</v>
      </c>
      <c r="K10" s="10">
        <f>Normativas!CR99</f>
        <v>122.5359317976411</v>
      </c>
      <c r="L10" s="10">
        <f>Normativas!CS99</f>
        <v>10.32278703421623</v>
      </c>
      <c r="M10" s="10">
        <f>Normativas!CU99</f>
        <v>0</v>
      </c>
      <c r="N10" s="10">
        <f>Normativas!CV99</f>
        <v>0</v>
      </c>
      <c r="O10" s="10">
        <f>Normativas!CW99</f>
        <v>0</v>
      </c>
      <c r="P10" s="10">
        <f>Normativas!CX99</f>
        <v>0</v>
      </c>
      <c r="Q10" s="10">
        <f>Normativas!CY99</f>
        <v>0</v>
      </c>
      <c r="R10" s="10">
        <f>Normativas!CZ99</f>
        <v>0</v>
      </c>
      <c r="S10" s="10">
        <f>Normativas!DA99</f>
        <v>0</v>
      </c>
      <c r="T10" s="375">
        <f>Normativas!DB99</f>
        <v>0</v>
      </c>
    </row>
    <row r="11" spans="1:20" x14ac:dyDescent="0.25">
      <c r="A11" s="374" t="str">
        <f>Normativas!CG100</f>
        <v>P5 100 x 190</v>
      </c>
      <c r="B11" s="10">
        <f>Normativas!CH100</f>
        <v>339.46598556347402</v>
      </c>
      <c r="C11" s="10">
        <f>Normativas!CI100</f>
        <v>0</v>
      </c>
      <c r="D11" s="10">
        <f>Normativas!CK100</f>
        <v>0</v>
      </c>
      <c r="E11" s="10">
        <f>Normativas!CL100</f>
        <v>0</v>
      </c>
      <c r="F11" s="10">
        <f>Normativas!CM100</f>
        <v>0</v>
      </c>
      <c r="G11" s="10">
        <f>Normativas!CN100</f>
        <v>0</v>
      </c>
      <c r="H11" s="10">
        <f>Normativas!CO100</f>
        <v>0</v>
      </c>
      <c r="I11" s="10">
        <f>Normativas!CP100</f>
        <v>0</v>
      </c>
      <c r="J11" s="10">
        <f>Normativas!CQ100</f>
        <v>20.661710568540389</v>
      </c>
      <c r="K11" s="10">
        <f>Normativas!CR100</f>
        <v>0</v>
      </c>
      <c r="L11" s="10">
        <f>Normativas!CS100</f>
        <v>0</v>
      </c>
      <c r="M11" s="10">
        <f>Normativas!CU100</f>
        <v>0</v>
      </c>
      <c r="N11" s="10">
        <f>Normativas!CV100</f>
        <v>0</v>
      </c>
      <c r="O11" s="10">
        <f>Normativas!CW100</f>
        <v>0</v>
      </c>
      <c r="P11" s="10">
        <f>Normativas!CX100</f>
        <v>0</v>
      </c>
      <c r="Q11" s="10">
        <f>Normativas!CY100</f>
        <v>0</v>
      </c>
      <c r="R11" s="10">
        <f>Normativas!CZ100</f>
        <v>0</v>
      </c>
      <c r="S11" s="10">
        <f>Normativas!DA100</f>
        <v>0</v>
      </c>
      <c r="T11" s="375">
        <f>Normativas!DB100</f>
        <v>0</v>
      </c>
    </row>
    <row r="12" spans="1:20" x14ac:dyDescent="0.25">
      <c r="A12" s="374" t="str">
        <f>Normativas!CG101</f>
        <v>Bloques</v>
      </c>
      <c r="B12" s="10">
        <f>Normativas!CH101</f>
        <v>0</v>
      </c>
      <c r="C12" s="10">
        <f>Normativas!CI101</f>
        <v>4.1539477787380852</v>
      </c>
      <c r="D12" s="10">
        <f>Normativas!CK101</f>
        <v>2.9579939474246384</v>
      </c>
      <c r="E12" s="10">
        <f>Normativas!CL101</f>
        <v>83.061079165768078</v>
      </c>
      <c r="F12" s="10">
        <f>Normativas!CM101</f>
        <v>0</v>
      </c>
      <c r="G12" s="10">
        <f>Normativas!CN101</f>
        <v>0</v>
      </c>
      <c r="H12" s="10">
        <f>Normativas!CO101</f>
        <v>0</v>
      </c>
      <c r="I12" s="10">
        <f>Normativas!CP101</f>
        <v>0</v>
      </c>
      <c r="J12" s="10">
        <f>Normativas!CQ101</f>
        <v>0</v>
      </c>
      <c r="K12" s="10">
        <f>Normativas!CR101</f>
        <v>0</v>
      </c>
      <c r="L12" s="10">
        <f>Normativas!CS101</f>
        <v>0</v>
      </c>
      <c r="M12" s="10">
        <f>Normativas!CU101</f>
        <v>0</v>
      </c>
      <c r="N12" s="10">
        <f>Normativas!CV101</f>
        <v>0</v>
      </c>
      <c r="O12" s="10">
        <f>Normativas!CW101</f>
        <v>0</v>
      </c>
      <c r="P12" s="10">
        <f>Normativas!CX101</f>
        <v>0</v>
      </c>
      <c r="Q12" s="10">
        <f>Normativas!CY101</f>
        <v>0</v>
      </c>
      <c r="R12" s="10">
        <f>Normativas!CZ101</f>
        <v>0</v>
      </c>
      <c r="S12" s="10">
        <f>Normativas!DA101</f>
        <v>0</v>
      </c>
      <c r="T12" s="375">
        <f>Normativas!DB101</f>
        <v>0</v>
      </c>
    </row>
    <row r="13" spans="1:20" x14ac:dyDescent="0.25">
      <c r="A13" s="374" t="str">
        <f>Normativas!CG102</f>
        <v>Cilindros</v>
      </c>
      <c r="B13" s="10">
        <f>Normativas!CH102</f>
        <v>0</v>
      </c>
      <c r="C13" s="10">
        <f>Normativas!CI102</f>
        <v>0.55099680950598018</v>
      </c>
      <c r="D13" s="10">
        <f>Normativas!CK102</f>
        <v>0.34395278458426026</v>
      </c>
      <c r="E13" s="10">
        <f>Normativas!CL102</f>
        <v>9.6304085134433635</v>
      </c>
      <c r="F13" s="10">
        <f>Normativas!CM102</f>
        <v>0.14596757731218926</v>
      </c>
      <c r="G13" s="10">
        <f>Normativas!CN102</f>
        <v>4.563180507620296</v>
      </c>
      <c r="H13" s="10">
        <f>Normativas!CO102</f>
        <v>4.9168080068048896</v>
      </c>
      <c r="I13" s="10">
        <f>Normativas!CP102</f>
        <v>0</v>
      </c>
      <c r="J13" s="10">
        <f>Normativas!CQ102</f>
        <v>0</v>
      </c>
      <c r="K13" s="10">
        <f>Normativas!CR102</f>
        <v>0</v>
      </c>
      <c r="L13" s="10">
        <f>Normativas!CS102</f>
        <v>0</v>
      </c>
      <c r="M13" s="10">
        <f>Normativas!CU102</f>
        <v>0</v>
      </c>
      <c r="N13" s="10">
        <f>Normativas!CV102</f>
        <v>0</v>
      </c>
      <c r="O13" s="10">
        <f>Normativas!CW102</f>
        <v>0</v>
      </c>
      <c r="P13" s="10">
        <f>Normativas!CX102</f>
        <v>0</v>
      </c>
      <c r="Q13" s="10">
        <f>Normativas!CY102</f>
        <v>0</v>
      </c>
      <c r="R13" s="10">
        <f>Normativas!CZ102</f>
        <v>0</v>
      </c>
      <c r="S13" s="10">
        <f>Normativas!DA102</f>
        <v>0</v>
      </c>
      <c r="T13" s="375">
        <f>Normativas!DB102</f>
        <v>0</v>
      </c>
    </row>
    <row r="14" spans="1:20" ht="15.75" thickBot="1" x14ac:dyDescent="0.3">
      <c r="A14" s="376" t="str">
        <f>Normativas!CG103</f>
        <v>P3 100 x 190</v>
      </c>
      <c r="B14" s="377">
        <f>Normativas!CH103</f>
        <v>0</v>
      </c>
      <c r="C14" s="377">
        <f>Normativas!CI103</f>
        <v>0</v>
      </c>
      <c r="D14" s="377">
        <f>Normativas!CK103</f>
        <v>0</v>
      </c>
      <c r="E14" s="377">
        <f>Normativas!CL103</f>
        <v>0</v>
      </c>
      <c r="F14" s="377">
        <f>Normativas!CM103</f>
        <v>0</v>
      </c>
      <c r="G14" s="377">
        <f>Normativas!CN103</f>
        <v>0</v>
      </c>
      <c r="H14" s="377">
        <f>Normativas!CO103</f>
        <v>0</v>
      </c>
      <c r="I14" s="377">
        <f>Normativas!CP103</f>
        <v>0</v>
      </c>
      <c r="J14" s="377">
        <f>Normativas!CQ103</f>
        <v>0</v>
      </c>
      <c r="K14" s="377">
        <f>Normativas!CR103</f>
        <v>0</v>
      </c>
      <c r="L14" s="377">
        <f>Normativas!CS103</f>
        <v>0</v>
      </c>
      <c r="M14" s="377">
        <f>Normativas!CU103</f>
        <v>0</v>
      </c>
      <c r="N14" s="377">
        <f>Normativas!CV103</f>
        <v>0</v>
      </c>
      <c r="O14" s="377">
        <f>Normativas!CW103</f>
        <v>0</v>
      </c>
      <c r="P14" s="377">
        <f>Normativas!CX103</f>
        <v>0</v>
      </c>
      <c r="Q14" s="377">
        <f>Normativas!CY103</f>
        <v>33.265087024021909</v>
      </c>
      <c r="R14" s="377">
        <f>Normativas!CZ103</f>
        <v>40.112167399017409</v>
      </c>
      <c r="S14" s="377">
        <f>Normativas!DA103</f>
        <v>20.159600579494978</v>
      </c>
      <c r="T14" s="378">
        <f>Normativas!DB103</f>
        <v>149.22893643514806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48" zoomScaleNormal="48" workbookViewId="0">
      <selection activeCell="L11" sqref="L11"/>
    </sheetView>
  </sheetViews>
  <sheetFormatPr baseColWidth="10" defaultRowHeight="15" x14ac:dyDescent="0.25"/>
  <sheetData>
    <row r="1" spans="1:21" x14ac:dyDescent="0.25">
      <c r="A1" s="371">
        <f>Normativas!CG108</f>
        <v>0</v>
      </c>
      <c r="B1" s="372" t="str">
        <f>Normativas!CH108</f>
        <v>Confección colchón algodón</v>
      </c>
      <c r="C1" s="372" t="str">
        <f>Normativas!CI108</f>
        <v>Pesado de MP</v>
      </c>
      <c r="D1" s="372" t="str">
        <f>Normativas!CK108</f>
        <v>Mezclado</v>
      </c>
      <c r="E1" s="372" t="str">
        <f>Normativas!CL108</f>
        <v>Moldeo</v>
      </c>
      <c r="F1" s="372" t="str">
        <f>Normativas!CM108</f>
        <v>Perforación Cilindro</v>
      </c>
      <c r="G1" s="372" t="str">
        <f>Normativas!CN108</f>
        <v>Corte de espuma continua</v>
      </c>
      <c r="H1" s="372" t="str">
        <f>Normativas!CO108</f>
        <v>Acolchado</v>
      </c>
      <c r="I1" s="372" t="str">
        <f>Normativas!CP108</f>
        <v>Corte bloque espuma en láminas</v>
      </c>
      <c r="J1" s="372" t="str">
        <f>Normativas!CQ108</f>
        <v>Corte tapa tela acolchada</v>
      </c>
      <c r="K1" s="372" t="str">
        <f>Normativas!CR108</f>
        <v>Confección colchón (+Cerrado y tapizado(resortados))</v>
      </c>
      <c r="L1" s="372" t="str">
        <f>Normativas!CS108</f>
        <v>Triturado-corte manual</v>
      </c>
      <c r="M1" s="372" t="str">
        <f>Normativas!CU108</f>
        <v>Pegar tapas de espuma</v>
      </c>
      <c r="N1" s="372" t="str">
        <f>Normativas!CV108</f>
        <v>Rellenado-Pesado</v>
      </c>
      <c r="O1" s="372" t="str">
        <f>Normativas!CW108</f>
        <v>Confección funda tela sin cremallera</v>
      </c>
      <c r="P1" s="372" t="str">
        <f>Normativas!CX108</f>
        <v>Sellado bolsa espuma</v>
      </c>
      <c r="Q1" s="372" t="str">
        <f>Normativas!CY108</f>
        <v>Corte madera</v>
      </c>
      <c r="R1" s="372" t="str">
        <f>Normativas!CZ108</f>
        <v>Lijado</v>
      </c>
      <c r="S1" s="372" t="str">
        <f>Normativas!DA108</f>
        <v>Barnizado</v>
      </c>
      <c r="T1" s="372" t="str">
        <f>Normativas!DB108</f>
        <v>Ensamble base cama</v>
      </c>
      <c r="U1" s="373" t="str">
        <f>Normativas!DC108</f>
        <v>nj</v>
      </c>
    </row>
    <row r="2" spans="1:21" x14ac:dyDescent="0.25">
      <c r="A2" s="374" t="str">
        <f>Normativas!CG109</f>
        <v>P2(45x60)</v>
      </c>
      <c r="B2" s="10">
        <f>Normativas!CH109</f>
        <v>0</v>
      </c>
      <c r="C2" s="10">
        <f>Normativas!CI109</f>
        <v>0</v>
      </c>
      <c r="D2" s="10">
        <f>Normativas!CK109</f>
        <v>0</v>
      </c>
      <c r="E2" s="10">
        <f>Normativas!CL109</f>
        <v>0</v>
      </c>
      <c r="F2" s="10">
        <f>Normativas!CM109</f>
        <v>0</v>
      </c>
      <c r="G2" s="10">
        <f>Normativas!CN109</f>
        <v>0</v>
      </c>
      <c r="H2" s="10">
        <f>Normativas!CO109</f>
        <v>0</v>
      </c>
      <c r="I2" s="10">
        <f>Normativas!CP109</f>
        <v>0</v>
      </c>
      <c r="J2" s="10">
        <f>Normativas!CQ109</f>
        <v>6</v>
      </c>
      <c r="K2" s="10">
        <f>Normativas!CR109</f>
        <v>0</v>
      </c>
      <c r="L2" s="10">
        <f>Normativas!CS109</f>
        <v>8</v>
      </c>
      <c r="M2" s="10">
        <f>Normativas!CU109</f>
        <v>9</v>
      </c>
      <c r="N2" s="10">
        <f>Normativas!CV109</f>
        <v>10</v>
      </c>
      <c r="O2" s="10">
        <f>Normativas!CW109</f>
        <v>11</v>
      </c>
      <c r="P2" s="10">
        <f>Normativas!CX109</f>
        <v>12</v>
      </c>
      <c r="Q2" s="10">
        <f>Normativas!CY109</f>
        <v>0</v>
      </c>
      <c r="R2" s="10">
        <f>Normativas!CZ109</f>
        <v>0</v>
      </c>
      <c r="S2" s="10">
        <f>Normativas!DA109</f>
        <v>0</v>
      </c>
      <c r="T2" s="10">
        <f>Normativas!DB109</f>
        <v>0</v>
      </c>
      <c r="U2" s="375">
        <f>Normativas!DC109</f>
        <v>433</v>
      </c>
    </row>
    <row r="3" spans="1:21" x14ac:dyDescent="0.25">
      <c r="A3" s="374" t="str">
        <f>Normativas!CG110</f>
        <v>P1(40x60)</v>
      </c>
      <c r="B3" s="10">
        <f>Normativas!CH110</f>
        <v>0</v>
      </c>
      <c r="C3" s="10">
        <f>Normativas!CI110</f>
        <v>2</v>
      </c>
      <c r="D3" s="10">
        <f>Normativas!CK110</f>
        <v>3</v>
      </c>
      <c r="E3" s="10">
        <f>Normativas!CL110</f>
        <v>4</v>
      </c>
      <c r="F3" s="10">
        <f>Normativas!CM110</f>
        <v>0</v>
      </c>
      <c r="G3" s="10">
        <f>Normativas!CN110</f>
        <v>0</v>
      </c>
      <c r="H3" s="10">
        <f>Normativas!CO110</f>
        <v>0</v>
      </c>
      <c r="I3" s="10">
        <f>Normativas!CP110</f>
        <v>0</v>
      </c>
      <c r="J3" s="10">
        <f>Normativas!CQ110</f>
        <v>6</v>
      </c>
      <c r="K3" s="10">
        <f>Normativas!CR110</f>
        <v>0</v>
      </c>
      <c r="L3" s="10">
        <f>Normativas!CS110</f>
        <v>0</v>
      </c>
      <c r="M3" s="10">
        <f>Normativas!CU110</f>
        <v>0</v>
      </c>
      <c r="N3" s="10">
        <f>Normativas!CV110</f>
        <v>0</v>
      </c>
      <c r="O3" s="10">
        <f>Normativas!CW110</f>
        <v>11</v>
      </c>
      <c r="P3" s="10">
        <f>Normativas!CX110</f>
        <v>0</v>
      </c>
      <c r="Q3" s="10">
        <f>Normativas!CY110</f>
        <v>0</v>
      </c>
      <c r="R3" s="10">
        <f>Normativas!CZ110</f>
        <v>0</v>
      </c>
      <c r="S3" s="10">
        <f>Normativas!DA110</f>
        <v>0</v>
      </c>
      <c r="T3" s="10">
        <f>Normativas!DB110</f>
        <v>0</v>
      </c>
      <c r="U3" s="375">
        <f>Normativas!DC110</f>
        <v>406</v>
      </c>
    </row>
    <row r="4" spans="1:21" x14ac:dyDescent="0.25">
      <c r="A4" s="374" t="str">
        <f>Normativas!CG111</f>
        <v>P11(C10)100X190</v>
      </c>
      <c r="B4" s="10">
        <f>Normativas!CH111</f>
        <v>0</v>
      </c>
      <c r="C4" s="10">
        <f>Normativas!CI111</f>
        <v>0</v>
      </c>
      <c r="D4" s="10">
        <f>Normativas!CK111</f>
        <v>0</v>
      </c>
      <c r="E4" s="10">
        <f>Normativas!CL111</f>
        <v>0</v>
      </c>
      <c r="F4" s="10">
        <f>Normativas!CM111</f>
        <v>0</v>
      </c>
      <c r="G4" s="10">
        <f>Normativas!CN111</f>
        <v>0</v>
      </c>
      <c r="H4" s="10">
        <f>Normativas!CO111</f>
        <v>0</v>
      </c>
      <c r="I4" s="10">
        <f>Normativas!CP111</f>
        <v>5</v>
      </c>
      <c r="J4" s="10">
        <f>Normativas!CQ111</f>
        <v>6</v>
      </c>
      <c r="K4" s="10">
        <f>Normativas!CR111</f>
        <v>0</v>
      </c>
      <c r="L4" s="10">
        <f>Normativas!CS111</f>
        <v>0</v>
      </c>
      <c r="M4" s="10">
        <f>Normativas!CU111</f>
        <v>0</v>
      </c>
      <c r="N4" s="10">
        <f>Normativas!CV111</f>
        <v>0</v>
      </c>
      <c r="O4" s="10">
        <f>Normativas!CW111</f>
        <v>11</v>
      </c>
      <c r="P4" s="10">
        <f>Normativas!CX111</f>
        <v>0</v>
      </c>
      <c r="Q4" s="10">
        <f>Normativas!CY111</f>
        <v>0</v>
      </c>
      <c r="R4" s="10">
        <f>Normativas!CZ111</f>
        <v>0</v>
      </c>
      <c r="S4" s="10">
        <f>Normativas!DA111</f>
        <v>0</v>
      </c>
      <c r="T4" s="10">
        <f>Normativas!DB111</f>
        <v>0</v>
      </c>
      <c r="U4" s="375">
        <f>Normativas!DC111</f>
        <v>585</v>
      </c>
    </row>
    <row r="5" spans="1:21" x14ac:dyDescent="0.25">
      <c r="A5" s="374" t="str">
        <f>Normativas!CG112</f>
        <v>P4(C15)100X190</v>
      </c>
      <c r="B5" s="10">
        <f>Normativas!CH112</f>
        <v>0</v>
      </c>
      <c r="C5" s="10">
        <f>Normativas!CI112</f>
        <v>0</v>
      </c>
      <c r="D5" s="10">
        <f>Normativas!CK112</f>
        <v>0</v>
      </c>
      <c r="E5" s="10">
        <f>Normativas!CL112</f>
        <v>0</v>
      </c>
      <c r="F5" s="10">
        <f>Normativas!CM112</f>
        <v>0</v>
      </c>
      <c r="G5" s="10">
        <f>Normativas!CN112</f>
        <v>0</v>
      </c>
      <c r="H5" s="10">
        <f>Normativas!CO112</f>
        <v>0</v>
      </c>
      <c r="I5" s="10">
        <f>Normativas!CP112</f>
        <v>5</v>
      </c>
      <c r="J5" s="10">
        <f>Normativas!CQ112</f>
        <v>6</v>
      </c>
      <c r="K5" s="10">
        <f>Normativas!CR112</f>
        <v>7</v>
      </c>
      <c r="L5" s="10">
        <f>Normativas!CS112</f>
        <v>8</v>
      </c>
      <c r="M5" s="10">
        <f>Normativas!CU112</f>
        <v>0</v>
      </c>
      <c r="N5" s="10">
        <f>Normativas!CV112</f>
        <v>0</v>
      </c>
      <c r="O5" s="10">
        <f>Normativas!CW112</f>
        <v>0</v>
      </c>
      <c r="P5" s="10">
        <f>Normativas!CX112</f>
        <v>0</v>
      </c>
      <c r="Q5" s="10">
        <f>Normativas!CY112</f>
        <v>0</v>
      </c>
      <c r="R5" s="10">
        <f>Normativas!CZ112</f>
        <v>0</v>
      </c>
      <c r="S5" s="10">
        <f>Normativas!DA112</f>
        <v>0</v>
      </c>
      <c r="T5" s="10">
        <f>Normativas!DB112</f>
        <v>0</v>
      </c>
      <c r="U5" s="375">
        <f>Normativas!DC112</f>
        <v>299</v>
      </c>
    </row>
    <row r="6" spans="1:21" x14ac:dyDescent="0.25">
      <c r="A6" s="374" t="str">
        <f>Normativas!CG113</f>
        <v>P6 100 X 190</v>
      </c>
      <c r="B6" s="10">
        <f>Normativas!CH113</f>
        <v>0</v>
      </c>
      <c r="C6" s="10">
        <f>Normativas!CI113</f>
        <v>0</v>
      </c>
      <c r="D6" s="10">
        <f>Normativas!CK113</f>
        <v>0</v>
      </c>
      <c r="E6" s="10">
        <f>Normativas!CL113</f>
        <v>0</v>
      </c>
      <c r="F6" s="10">
        <f>Normativas!CM113</f>
        <v>0</v>
      </c>
      <c r="G6" s="10">
        <f>Normativas!CN113</f>
        <v>0</v>
      </c>
      <c r="H6" s="10">
        <f>Normativas!CO113</f>
        <v>0</v>
      </c>
      <c r="I6" s="10">
        <f>Normativas!CP113</f>
        <v>5</v>
      </c>
      <c r="J6" s="10">
        <f>Normativas!CQ113</f>
        <v>6</v>
      </c>
      <c r="K6" s="10">
        <f>Normativas!CR113</f>
        <v>7</v>
      </c>
      <c r="L6" s="10">
        <f>Normativas!CS113</f>
        <v>8</v>
      </c>
      <c r="M6" s="10">
        <f>Normativas!CU113</f>
        <v>0</v>
      </c>
      <c r="N6" s="10">
        <f>Normativas!CV113</f>
        <v>0</v>
      </c>
      <c r="O6" s="10">
        <f>Normativas!CW113</f>
        <v>0</v>
      </c>
      <c r="P6" s="10">
        <f>Normativas!CX113</f>
        <v>0</v>
      </c>
      <c r="Q6" s="10">
        <f>Normativas!CY113</f>
        <v>0</v>
      </c>
      <c r="R6" s="10">
        <f>Normativas!CZ113</f>
        <v>0</v>
      </c>
      <c r="S6" s="10">
        <f>Normativas!DA113</f>
        <v>0</v>
      </c>
      <c r="T6" s="10">
        <f>Normativas!DB113</f>
        <v>0</v>
      </c>
      <c r="U6" s="375">
        <f>Normativas!DC113</f>
        <v>110</v>
      </c>
    </row>
    <row r="7" spans="1:21" x14ac:dyDescent="0.25">
      <c r="A7" s="374" t="str">
        <f>Normativas!CG114</f>
        <v>P7 100 X 190</v>
      </c>
      <c r="B7" s="10">
        <f>Normativas!CH114</f>
        <v>0</v>
      </c>
      <c r="C7" s="10">
        <f>Normativas!CI114</f>
        <v>0</v>
      </c>
      <c r="D7" s="10">
        <f>Normativas!CK114</f>
        <v>0</v>
      </c>
      <c r="E7" s="10">
        <f>Normativas!CL114</f>
        <v>0</v>
      </c>
      <c r="F7" s="10">
        <f>Normativas!CM114</f>
        <v>0</v>
      </c>
      <c r="G7" s="10">
        <f>Normativas!CN114</f>
        <v>0</v>
      </c>
      <c r="H7" s="10">
        <f>Normativas!CO114</f>
        <v>0</v>
      </c>
      <c r="I7" s="10">
        <f>Normativas!CP114</f>
        <v>0</v>
      </c>
      <c r="J7" s="10">
        <f>Normativas!CQ114</f>
        <v>6</v>
      </c>
      <c r="K7" s="10">
        <f>Normativas!CR114</f>
        <v>7</v>
      </c>
      <c r="L7" s="10">
        <f>Normativas!CS114</f>
        <v>8</v>
      </c>
      <c r="M7" s="10">
        <f>Normativas!CU114</f>
        <v>0</v>
      </c>
      <c r="N7" s="10">
        <f>Normativas!CV114</f>
        <v>0</v>
      </c>
      <c r="O7" s="10">
        <f>Normativas!CW114</f>
        <v>0</v>
      </c>
      <c r="P7" s="10">
        <f>Normativas!CX114</f>
        <v>0</v>
      </c>
      <c r="Q7" s="10">
        <f>Normativas!CY114</f>
        <v>0</v>
      </c>
      <c r="R7" s="10">
        <f>Normativas!CZ114</f>
        <v>0</v>
      </c>
      <c r="S7" s="10">
        <f>Normativas!DA114</f>
        <v>0</v>
      </c>
      <c r="T7" s="10">
        <f>Normativas!DB114</f>
        <v>0</v>
      </c>
      <c r="U7" s="375">
        <f>Normativas!DC114</f>
        <v>116</v>
      </c>
    </row>
    <row r="8" spans="1:21" x14ac:dyDescent="0.25">
      <c r="A8" s="374" t="str">
        <f>Normativas!CG115</f>
        <v>P9 100 X 190</v>
      </c>
      <c r="B8" s="10">
        <f>Normativas!CH115</f>
        <v>0</v>
      </c>
      <c r="C8" s="10">
        <f>Normativas!CI115</f>
        <v>0</v>
      </c>
      <c r="D8" s="10">
        <f>Normativas!CK115</f>
        <v>0</v>
      </c>
      <c r="E8" s="10">
        <f>Normativas!CL115</f>
        <v>0</v>
      </c>
      <c r="F8" s="10">
        <f>Normativas!CM115</f>
        <v>0</v>
      </c>
      <c r="G8" s="10">
        <f>Normativas!CN115</f>
        <v>0</v>
      </c>
      <c r="H8" s="10">
        <f>Normativas!CO115</f>
        <v>0</v>
      </c>
      <c r="I8" s="10">
        <f>Normativas!CP115</f>
        <v>0</v>
      </c>
      <c r="J8" s="10">
        <f>Normativas!CQ115</f>
        <v>6</v>
      </c>
      <c r="K8" s="10">
        <f>Normativas!CR115</f>
        <v>7</v>
      </c>
      <c r="L8" s="10">
        <f>Normativas!CS115</f>
        <v>8</v>
      </c>
      <c r="M8" s="10">
        <f>Normativas!CU115</f>
        <v>0</v>
      </c>
      <c r="N8" s="10">
        <f>Normativas!CV115</f>
        <v>0</v>
      </c>
      <c r="O8" s="10">
        <f>Normativas!CW115</f>
        <v>0</v>
      </c>
      <c r="P8" s="10">
        <f>Normativas!CX115</f>
        <v>0</v>
      </c>
      <c r="Q8" s="10">
        <f>Normativas!CY115</f>
        <v>0</v>
      </c>
      <c r="R8" s="10">
        <f>Normativas!CZ115</f>
        <v>0</v>
      </c>
      <c r="S8" s="10">
        <f>Normativas!DA115</f>
        <v>0</v>
      </c>
      <c r="T8" s="10">
        <f>Normativas!DB115</f>
        <v>0</v>
      </c>
      <c r="U8" s="375">
        <f>Normativas!DC115</f>
        <v>124</v>
      </c>
    </row>
    <row r="9" spans="1:21" x14ac:dyDescent="0.25">
      <c r="A9" s="374" t="str">
        <f>Normativas!CG116</f>
        <v>P8 100 X 190</v>
      </c>
      <c r="B9" s="10">
        <f>Normativas!CH116</f>
        <v>0</v>
      </c>
      <c r="C9" s="10">
        <f>Normativas!CI116</f>
        <v>0</v>
      </c>
      <c r="D9" s="10">
        <f>Normativas!CK116</f>
        <v>0</v>
      </c>
      <c r="E9" s="10">
        <f>Normativas!CL116</f>
        <v>0</v>
      </c>
      <c r="F9" s="10">
        <f>Normativas!CM116</f>
        <v>0</v>
      </c>
      <c r="G9" s="10">
        <f>Normativas!CN116</f>
        <v>0</v>
      </c>
      <c r="H9" s="10">
        <f>Normativas!CO116</f>
        <v>0</v>
      </c>
      <c r="I9" s="10">
        <f>Normativas!CP116</f>
        <v>0</v>
      </c>
      <c r="J9" s="10">
        <f>Normativas!CQ116</f>
        <v>6</v>
      </c>
      <c r="K9" s="10">
        <f>Normativas!CR116</f>
        <v>7</v>
      </c>
      <c r="L9" s="10">
        <f>Normativas!CS116</f>
        <v>8</v>
      </c>
      <c r="M9" s="10">
        <f>Normativas!CU116</f>
        <v>0</v>
      </c>
      <c r="N9" s="10">
        <f>Normativas!CV116</f>
        <v>0</v>
      </c>
      <c r="O9" s="10">
        <f>Normativas!CW116</f>
        <v>0</v>
      </c>
      <c r="P9" s="10">
        <f>Normativas!CX116</f>
        <v>0</v>
      </c>
      <c r="Q9" s="10">
        <f>Normativas!CY116</f>
        <v>0</v>
      </c>
      <c r="R9" s="10">
        <f>Normativas!CZ116</f>
        <v>0</v>
      </c>
      <c r="S9" s="10">
        <f>Normativas!DA116</f>
        <v>0</v>
      </c>
      <c r="T9" s="10">
        <f>Normativas!DB116</f>
        <v>0</v>
      </c>
      <c r="U9" s="375">
        <f>Normativas!DC116</f>
        <v>113</v>
      </c>
    </row>
    <row r="10" spans="1:21" x14ac:dyDescent="0.25">
      <c r="A10" s="374" t="str">
        <f>Normativas!CG117</f>
        <v>P10 100 x 190</v>
      </c>
      <c r="B10" s="10">
        <f>Normativas!CH117</f>
        <v>0</v>
      </c>
      <c r="C10" s="10">
        <f>Normativas!CI117</f>
        <v>0</v>
      </c>
      <c r="D10" s="10">
        <f>Normativas!CK117</f>
        <v>0</v>
      </c>
      <c r="E10" s="10">
        <f>Normativas!CL117</f>
        <v>0</v>
      </c>
      <c r="F10" s="10">
        <f>Normativas!CM117</f>
        <v>0</v>
      </c>
      <c r="G10" s="10">
        <f>Normativas!CN117</f>
        <v>0</v>
      </c>
      <c r="H10" s="10">
        <f>Normativas!CO117</f>
        <v>0</v>
      </c>
      <c r="I10" s="10">
        <f>Normativas!CP117</f>
        <v>5</v>
      </c>
      <c r="J10" s="10">
        <f>Normativas!CQ117</f>
        <v>6</v>
      </c>
      <c r="K10" s="10">
        <f>Normativas!CR117</f>
        <v>7</v>
      </c>
      <c r="L10" s="10">
        <f>Normativas!CS117</f>
        <v>8</v>
      </c>
      <c r="M10" s="10">
        <f>Normativas!CU117</f>
        <v>0</v>
      </c>
      <c r="N10" s="10">
        <f>Normativas!CV117</f>
        <v>0</v>
      </c>
      <c r="O10" s="10">
        <f>Normativas!CW117</f>
        <v>0</v>
      </c>
      <c r="P10" s="10">
        <f>Normativas!CX117</f>
        <v>0</v>
      </c>
      <c r="Q10" s="10">
        <f>Normativas!CY117</f>
        <v>0</v>
      </c>
      <c r="R10" s="10">
        <f>Normativas!CZ117</f>
        <v>0</v>
      </c>
      <c r="S10" s="10">
        <f>Normativas!DA117</f>
        <v>0</v>
      </c>
      <c r="T10" s="10">
        <f>Normativas!DB117</f>
        <v>0</v>
      </c>
      <c r="U10" s="375">
        <f>Normativas!DC117</f>
        <v>169</v>
      </c>
    </row>
    <row r="11" spans="1:21" x14ac:dyDescent="0.25">
      <c r="A11" s="374" t="str">
        <f>Normativas!CG118</f>
        <v>P5 100 x 190</v>
      </c>
      <c r="B11" s="10">
        <f>Normativas!CH118</f>
        <v>1</v>
      </c>
      <c r="C11" s="10">
        <f>Normativas!CI118</f>
        <v>0</v>
      </c>
      <c r="D11" s="10">
        <f>Normativas!CK118</f>
        <v>0</v>
      </c>
      <c r="E11" s="10">
        <f>Normativas!CL118</f>
        <v>0</v>
      </c>
      <c r="F11" s="10">
        <f>Normativas!CM118</f>
        <v>0</v>
      </c>
      <c r="G11" s="10">
        <f>Normativas!CN118</f>
        <v>0</v>
      </c>
      <c r="H11" s="10">
        <f>Normativas!CO118</f>
        <v>0</v>
      </c>
      <c r="I11" s="10">
        <f>Normativas!CP118</f>
        <v>0</v>
      </c>
      <c r="J11" s="10">
        <f>Normativas!CQ118</f>
        <v>6</v>
      </c>
      <c r="K11" s="10">
        <f>Normativas!CR118</f>
        <v>0</v>
      </c>
      <c r="L11" s="10">
        <f>Normativas!CS118</f>
        <v>0</v>
      </c>
      <c r="M11" s="10">
        <f>Normativas!CU118</f>
        <v>0</v>
      </c>
      <c r="N11" s="10">
        <f>Normativas!CV118</f>
        <v>0</v>
      </c>
      <c r="O11" s="10">
        <f>Normativas!CW118</f>
        <v>0</v>
      </c>
      <c r="P11" s="10">
        <f>Normativas!CX118</f>
        <v>0</v>
      </c>
      <c r="Q11" s="10">
        <f>Normativas!CY118</f>
        <v>0</v>
      </c>
      <c r="R11" s="10">
        <f>Normativas!CZ118</f>
        <v>0</v>
      </c>
      <c r="S11" s="10">
        <f>Normativas!DA118</f>
        <v>0</v>
      </c>
      <c r="T11" s="10">
        <f>Normativas!DB118</f>
        <v>0</v>
      </c>
      <c r="U11" s="375">
        <f>Normativas!DC118</f>
        <v>447</v>
      </c>
    </row>
    <row r="12" spans="1:21" x14ac:dyDescent="0.25">
      <c r="A12" s="374" t="str">
        <f>Normativas!CG119</f>
        <v>Bloques</v>
      </c>
      <c r="B12" s="10">
        <f>Normativas!CH119</f>
        <v>0</v>
      </c>
      <c r="C12" s="10">
        <f>Normativas!CI119</f>
        <v>17</v>
      </c>
      <c r="D12" s="10">
        <f>Normativas!CK119</f>
        <v>18</v>
      </c>
      <c r="E12" s="10">
        <f>Normativas!CL119</f>
        <v>19</v>
      </c>
      <c r="F12" s="10">
        <f>Normativas!CM119</f>
        <v>0</v>
      </c>
      <c r="G12" s="10">
        <f>Normativas!CN119</f>
        <v>0</v>
      </c>
      <c r="H12" s="10">
        <f>Normativas!CO119</f>
        <v>0</v>
      </c>
      <c r="I12" s="10">
        <f>Normativas!CP119</f>
        <v>0</v>
      </c>
      <c r="J12" s="10">
        <f>Normativas!CQ119</f>
        <v>0</v>
      </c>
      <c r="K12" s="10">
        <f>Normativas!CR119</f>
        <v>0</v>
      </c>
      <c r="L12" s="10">
        <f>Normativas!CS119</f>
        <v>0</v>
      </c>
      <c r="M12" s="10">
        <f>Normativas!CU119</f>
        <v>0</v>
      </c>
      <c r="N12" s="10">
        <f>Normativas!CV119</f>
        <v>0</v>
      </c>
      <c r="O12" s="10">
        <f>Normativas!CW119</f>
        <v>0</v>
      </c>
      <c r="P12" s="10">
        <f>Normativas!CX119</f>
        <v>0</v>
      </c>
      <c r="Q12" s="10">
        <f>Normativas!CY119</f>
        <v>0</v>
      </c>
      <c r="R12" s="10">
        <f>Normativas!CZ119</f>
        <v>0</v>
      </c>
      <c r="S12" s="10">
        <f>Normativas!DA119</f>
        <v>0</v>
      </c>
      <c r="T12" s="10">
        <f>Normativas!DB119</f>
        <v>0</v>
      </c>
      <c r="U12" s="375">
        <f>Normativas!DC119</f>
        <v>43</v>
      </c>
    </row>
    <row r="13" spans="1:21" x14ac:dyDescent="0.25">
      <c r="A13" s="374" t="str">
        <f>Normativas!CG120</f>
        <v>Cilindros</v>
      </c>
      <c r="B13" s="10">
        <f>Normativas!CH120</f>
        <v>0</v>
      </c>
      <c r="C13" s="10">
        <f>Normativas!CI120</f>
        <v>17</v>
      </c>
      <c r="D13" s="10">
        <f>Normativas!CK120</f>
        <v>18</v>
      </c>
      <c r="E13" s="10">
        <f>Normativas!CL120</f>
        <v>20</v>
      </c>
      <c r="F13" s="10">
        <f>Normativas!CM120</f>
        <v>21</v>
      </c>
      <c r="G13" s="10">
        <f>Normativas!CN120</f>
        <v>22</v>
      </c>
      <c r="H13" s="10">
        <f>Normativas!CO120</f>
        <v>23</v>
      </c>
      <c r="I13" s="10">
        <f>Normativas!CP120</f>
        <v>0</v>
      </c>
      <c r="J13" s="10">
        <f>Normativas!CQ120</f>
        <v>0</v>
      </c>
      <c r="K13" s="10">
        <f>Normativas!CR120</f>
        <v>0</v>
      </c>
      <c r="L13" s="10">
        <f>Normativas!CS120</f>
        <v>0</v>
      </c>
      <c r="M13" s="10">
        <f>Normativas!CU120</f>
        <v>0</v>
      </c>
      <c r="N13" s="10">
        <f>Normativas!CV120</f>
        <v>0</v>
      </c>
      <c r="O13" s="10">
        <f>Normativas!CW120</f>
        <v>0</v>
      </c>
      <c r="P13" s="10">
        <f>Normativas!CX120</f>
        <v>0</v>
      </c>
      <c r="Q13" s="10">
        <f>Normativas!CY120</f>
        <v>0</v>
      </c>
      <c r="R13" s="10">
        <f>Normativas!CZ120</f>
        <v>0</v>
      </c>
      <c r="S13" s="10">
        <f>Normativas!DA120</f>
        <v>0</v>
      </c>
      <c r="T13" s="10">
        <f>Normativas!DB120</f>
        <v>0</v>
      </c>
      <c r="U13" s="375">
        <f>Normativas!DC120</f>
        <v>5</v>
      </c>
    </row>
    <row r="14" spans="1:21" ht="15.75" thickBot="1" x14ac:dyDescent="0.3">
      <c r="A14" s="376" t="str">
        <f>Normativas!CG121</f>
        <v>P3 100 x 190</v>
      </c>
      <c r="B14" s="377">
        <f>Normativas!CH121</f>
        <v>0</v>
      </c>
      <c r="C14" s="377">
        <f>Normativas!CI121</f>
        <v>0</v>
      </c>
      <c r="D14" s="377">
        <f>Normativas!CK121</f>
        <v>0</v>
      </c>
      <c r="E14" s="377">
        <f>Normativas!CL121</f>
        <v>0</v>
      </c>
      <c r="F14" s="377">
        <f>Normativas!CM121</f>
        <v>0</v>
      </c>
      <c r="G14" s="377">
        <f>Normativas!CN121</f>
        <v>0</v>
      </c>
      <c r="H14" s="377">
        <f>Normativas!CO121</f>
        <v>0</v>
      </c>
      <c r="I14" s="377">
        <f>Normativas!CP121</f>
        <v>0</v>
      </c>
      <c r="J14" s="377">
        <f>Normativas!CQ121</f>
        <v>0</v>
      </c>
      <c r="K14" s="377">
        <f>Normativas!CR121</f>
        <v>0</v>
      </c>
      <c r="L14" s="377">
        <f>Normativas!CS121</f>
        <v>0</v>
      </c>
      <c r="M14" s="377">
        <f>Normativas!CU121</f>
        <v>0</v>
      </c>
      <c r="N14" s="377">
        <f>Normativas!CV121</f>
        <v>0</v>
      </c>
      <c r="O14" s="377">
        <f>Normativas!CW121</f>
        <v>0</v>
      </c>
      <c r="P14" s="377">
        <f>Normativas!CX121</f>
        <v>0</v>
      </c>
      <c r="Q14" s="377">
        <f>Normativas!CY121</f>
        <v>13</v>
      </c>
      <c r="R14" s="377">
        <f>Normativas!CZ121</f>
        <v>14</v>
      </c>
      <c r="S14" s="377">
        <f>Normativas!DA121</f>
        <v>15</v>
      </c>
      <c r="T14" s="377">
        <f>Normativas!DB121</f>
        <v>16</v>
      </c>
      <c r="U14" s="378">
        <f>Normativas!DC121</f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1:DZ809"/>
  <sheetViews>
    <sheetView topLeftCell="Q225" zoomScale="10" zoomScaleNormal="10" workbookViewId="0">
      <selection activeCell="DL320" sqref="DL319:DL320"/>
    </sheetView>
  </sheetViews>
  <sheetFormatPr baseColWidth="10" defaultRowHeight="15" x14ac:dyDescent="0.25"/>
  <cols>
    <col min="31" max="31" width="21.5703125" customWidth="1"/>
    <col min="38" max="38" width="17.85546875" customWidth="1"/>
    <col min="43" max="43" width="19.28515625" customWidth="1"/>
    <col min="45" max="45" width="17.85546875" customWidth="1"/>
    <col min="52" max="52" width="19.7109375" customWidth="1"/>
    <col min="58" max="58" width="15.42578125" customWidth="1"/>
    <col min="59" max="59" width="18.7109375" customWidth="1"/>
    <col min="60" max="60" width="22.140625" customWidth="1"/>
    <col min="61" max="61" width="24" customWidth="1"/>
    <col min="62" max="62" width="22" customWidth="1"/>
    <col min="63" max="63" width="23.140625" customWidth="1"/>
    <col min="64" max="64" width="26.42578125" customWidth="1"/>
    <col min="65" max="65" width="16" customWidth="1"/>
    <col min="66" max="66" width="20.42578125" customWidth="1"/>
    <col min="67" max="67" width="12.85546875" customWidth="1"/>
    <col min="68" max="68" width="14.28515625" customWidth="1"/>
    <col min="69" max="69" width="20.28515625" customWidth="1"/>
    <col min="71" max="71" width="21.42578125" customWidth="1"/>
    <col min="72" max="72" width="30" customWidth="1"/>
    <col min="73" max="73" width="20.42578125" customWidth="1"/>
    <col min="74" max="74" width="27" customWidth="1"/>
    <col min="75" max="75" width="25.85546875" customWidth="1"/>
    <col min="76" max="76" width="32.85546875" customWidth="1"/>
    <col min="77" max="77" width="20.5703125" customWidth="1"/>
    <col min="78" max="78" width="34.140625" customWidth="1"/>
    <col min="79" max="79" width="21.7109375" customWidth="1"/>
    <col min="80" max="80" width="38.7109375" customWidth="1"/>
    <col min="81" max="81" width="35.42578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9.42578125" customWidth="1"/>
    <col min="88" max="88" width="23.85546875" customWidth="1"/>
    <col min="89" max="89" width="31.42578125" customWidth="1"/>
    <col min="90" max="90" width="31.7109375" customWidth="1"/>
    <col min="91" max="91" width="20.140625" customWidth="1"/>
    <col min="93" max="93" width="13.5703125" customWidth="1"/>
    <col min="104" max="104" width="31.85546875" customWidth="1"/>
    <col min="107" max="107" width="32.42578125" customWidth="1"/>
    <col min="108" max="108" width="18.42578125" customWidth="1"/>
    <col min="109" max="109" width="20" customWidth="1"/>
    <col min="110" max="110" width="22.5703125" customWidth="1"/>
    <col min="111" max="111" width="15.140625" customWidth="1"/>
    <col min="113" max="113" width="20.140625" customWidth="1"/>
    <col min="114" max="114" width="15.7109375" bestFit="1" customWidth="1"/>
    <col min="116" max="116" width="16.28515625" customWidth="1"/>
    <col min="118" max="118" width="16.42578125" customWidth="1"/>
    <col min="119" max="119" width="20.5703125" customWidth="1"/>
    <col min="120" max="120" width="18.140625" customWidth="1"/>
    <col min="121" max="121" width="14" customWidth="1"/>
    <col min="124" max="124" width="22.140625" customWidth="1"/>
    <col min="125" max="125" width="19.85546875" customWidth="1"/>
    <col min="126" max="126" width="13.7109375" customWidth="1"/>
    <col min="130" max="130" width="14" customWidth="1"/>
  </cols>
  <sheetData>
    <row r="1" spans="55:130" x14ac:dyDescent="0.25">
      <c r="DQ1" t="s">
        <v>181</v>
      </c>
    </row>
    <row r="2" spans="55:130" x14ac:dyDescent="0.25"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  <c r="BP2" s="219"/>
      <c r="BQ2" s="219"/>
      <c r="BR2" s="219"/>
      <c r="BS2" s="219"/>
      <c r="BT2" s="219"/>
      <c r="BU2" s="219"/>
      <c r="BV2" s="219"/>
      <c r="BW2" s="219"/>
      <c r="BX2" s="219"/>
      <c r="BY2" s="219"/>
      <c r="BZ2" s="219"/>
      <c r="CA2" s="219"/>
      <c r="CB2" s="219"/>
      <c r="CC2" s="219"/>
      <c r="CD2" s="219"/>
      <c r="CE2" s="219"/>
      <c r="CF2" s="219"/>
      <c r="CG2" s="219"/>
      <c r="CH2" s="219"/>
      <c r="CI2" s="219"/>
      <c r="CJ2" s="219"/>
      <c r="CK2" s="219"/>
      <c r="CL2" s="219"/>
      <c r="CM2" s="219"/>
      <c r="DQ2" t="s">
        <v>181</v>
      </c>
    </row>
    <row r="3" spans="55:130" x14ac:dyDescent="0.25"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Z3" t="s">
        <v>37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Q3" t="s">
        <v>181</v>
      </c>
    </row>
    <row r="4" spans="55:130" x14ac:dyDescent="0.25"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Z4" t="s">
        <v>123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Q4" t="s">
        <v>172</v>
      </c>
    </row>
    <row r="5" spans="55:130" x14ac:dyDescent="0.25"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Z5" t="s">
        <v>150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Q5" t="s">
        <v>172</v>
      </c>
    </row>
    <row r="6" spans="55:130" x14ac:dyDescent="0.25"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  <c r="CE6" s="219"/>
      <c r="CF6" s="219"/>
      <c r="CG6" s="219"/>
      <c r="CH6" s="219"/>
      <c r="CI6" s="219"/>
      <c r="CJ6" s="219"/>
      <c r="CK6" s="219"/>
      <c r="CL6" s="219"/>
      <c r="CM6" s="219"/>
      <c r="CZ6" t="s">
        <v>172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Q6" t="s">
        <v>172</v>
      </c>
    </row>
    <row r="7" spans="55:130" x14ac:dyDescent="0.25"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19"/>
      <c r="CB7" s="219"/>
      <c r="CC7" s="219"/>
      <c r="CD7" s="219"/>
      <c r="CE7" s="219"/>
      <c r="CF7" s="219"/>
      <c r="CG7" s="219"/>
      <c r="CH7" s="219"/>
      <c r="CI7" s="219"/>
      <c r="CJ7" s="219"/>
      <c r="CK7" s="219"/>
      <c r="CL7" s="219"/>
      <c r="CM7" s="219"/>
      <c r="CZ7" t="s">
        <v>240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 t="s">
        <v>172</v>
      </c>
    </row>
    <row r="8" spans="55:130" ht="15.75" thickBot="1" x14ac:dyDescent="0.3"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219"/>
      <c r="BQ8" s="219"/>
      <c r="BR8" s="219"/>
      <c r="BS8" s="219"/>
      <c r="BT8" s="219"/>
      <c r="BU8" s="219"/>
      <c r="BV8" s="219"/>
      <c r="BW8" s="219"/>
      <c r="BX8" s="219"/>
      <c r="BY8" s="219"/>
      <c r="BZ8" s="219"/>
      <c r="CA8" s="219"/>
      <c r="CB8" s="219"/>
      <c r="CC8" s="219"/>
      <c r="CD8" s="219"/>
      <c r="CE8" s="219"/>
      <c r="CF8" s="219"/>
      <c r="CG8" s="219"/>
      <c r="CH8" s="219"/>
      <c r="CI8" s="219"/>
      <c r="CJ8" s="219"/>
      <c r="CK8" s="219"/>
      <c r="CL8" s="219"/>
      <c r="CM8" s="219"/>
      <c r="CZ8" t="s">
        <v>181</v>
      </c>
      <c r="DA8">
        <v>1</v>
      </c>
      <c r="DB8">
        <v>1</v>
      </c>
      <c r="DC8">
        <v>1</v>
      </c>
      <c r="DD8">
        <v>1</v>
      </c>
      <c r="DQ8" t="s">
        <v>172</v>
      </c>
    </row>
    <row r="9" spans="55:130" x14ac:dyDescent="0.25"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510" t="s">
        <v>105</v>
      </c>
      <c r="BX9" s="511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DC9" t="s">
        <v>123</v>
      </c>
      <c r="DQ9" t="s">
        <v>172</v>
      </c>
      <c r="DZ9" t="s">
        <v>181</v>
      </c>
    </row>
    <row r="10" spans="55:130" x14ac:dyDescent="0.25"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512"/>
      <c r="BX10" s="513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DC10" t="s">
        <v>123</v>
      </c>
      <c r="DQ10" t="s">
        <v>172</v>
      </c>
      <c r="DW10" t="s">
        <v>181</v>
      </c>
      <c r="DZ10" t="s">
        <v>240</v>
      </c>
    </row>
    <row r="11" spans="55:130" x14ac:dyDescent="0.25"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512"/>
      <c r="BX11" s="513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DA11" t="s">
        <v>123</v>
      </c>
      <c r="DC11" t="s">
        <v>123</v>
      </c>
      <c r="DQ11" t="s">
        <v>172</v>
      </c>
      <c r="DW11" t="s">
        <v>172</v>
      </c>
      <c r="DZ11" t="s">
        <v>172</v>
      </c>
    </row>
    <row r="12" spans="55:130" x14ac:dyDescent="0.25"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512"/>
      <c r="BX12" s="513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DA12" t="s">
        <v>123</v>
      </c>
      <c r="DC12" t="s">
        <v>37</v>
      </c>
      <c r="DQ12" t="s">
        <v>150</v>
      </c>
      <c r="DW12" t="s">
        <v>150</v>
      </c>
      <c r="DZ12" t="s">
        <v>150</v>
      </c>
    </row>
    <row r="13" spans="55:130" x14ac:dyDescent="0.25"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512"/>
      <c r="BX13" s="513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DA13" t="s">
        <v>37</v>
      </c>
      <c r="DC13" t="s">
        <v>37</v>
      </c>
      <c r="DD13" t="s">
        <v>240</v>
      </c>
      <c r="DH13" t="s">
        <v>240</v>
      </c>
      <c r="DJ13" t="s">
        <v>240</v>
      </c>
      <c r="DQ13" t="s">
        <v>150</v>
      </c>
      <c r="DR13" t="s">
        <v>240</v>
      </c>
      <c r="DS13" t="s">
        <v>240</v>
      </c>
      <c r="DV13" t="s">
        <v>240</v>
      </c>
      <c r="DW13" t="s">
        <v>123</v>
      </c>
      <c r="DZ13" t="s">
        <v>123</v>
      </c>
    </row>
    <row r="14" spans="55:130" ht="15.75" thickBot="1" x14ac:dyDescent="0.3"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514"/>
      <c r="BX14" s="515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DA14" t="s">
        <v>37</v>
      </c>
      <c r="DC14" t="s">
        <v>37</v>
      </c>
      <c r="DD14" t="s">
        <v>37</v>
      </c>
      <c r="DG14" t="s">
        <v>240</v>
      </c>
      <c r="DH14" t="s">
        <v>240</v>
      </c>
      <c r="DJ14" t="s">
        <v>240</v>
      </c>
      <c r="DQ14" t="s">
        <v>150</v>
      </c>
      <c r="DR14" t="s">
        <v>240</v>
      </c>
      <c r="DS14" t="s">
        <v>37</v>
      </c>
      <c r="DU14" t="s">
        <v>150</v>
      </c>
      <c r="DV14" t="s">
        <v>37</v>
      </c>
      <c r="DW14" t="s">
        <v>37</v>
      </c>
      <c r="DZ14" t="s">
        <v>37</v>
      </c>
    </row>
    <row r="15" spans="55:130" ht="15.75" thickBot="1" x14ac:dyDescent="0.3"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55"/>
      <c r="BX15" s="255"/>
      <c r="BY15" s="219"/>
      <c r="BZ15" s="255"/>
      <c r="CA15" s="255"/>
      <c r="CB15" s="255"/>
      <c r="CC15" s="255"/>
      <c r="CD15" s="255"/>
      <c r="CE15" s="255"/>
      <c r="CF15" s="255"/>
      <c r="CG15" s="255"/>
      <c r="CH15" s="255"/>
      <c r="CI15" s="255"/>
      <c r="CJ15" s="255"/>
      <c r="CK15" s="255"/>
      <c r="CL15" s="255"/>
      <c r="CM15" s="255"/>
      <c r="CN15" s="10"/>
      <c r="CO15" s="10"/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G15" t="s">
        <v>37</v>
      </c>
      <c r="DH15" t="s">
        <v>37</v>
      </c>
      <c r="DI15" t="s">
        <v>240</v>
      </c>
      <c r="DJ15" t="s">
        <v>172</v>
      </c>
      <c r="DL15" t="s">
        <v>240</v>
      </c>
      <c r="DQ15" t="s">
        <v>150</v>
      </c>
      <c r="DR15" t="s">
        <v>37</v>
      </c>
      <c r="DT15" t="s">
        <v>88</v>
      </c>
      <c r="DU15" t="s">
        <v>88</v>
      </c>
      <c r="DV15" t="s">
        <v>88</v>
      </c>
      <c r="DW15" t="s">
        <v>88</v>
      </c>
      <c r="DX15" t="s">
        <v>88</v>
      </c>
      <c r="DY15" t="s">
        <v>88</v>
      </c>
      <c r="DZ15" t="s">
        <v>88</v>
      </c>
    </row>
    <row r="16" spans="55:130" ht="36" x14ac:dyDescent="0.55000000000000004"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55"/>
      <c r="BX16" s="255"/>
      <c r="BY16" s="219"/>
      <c r="BZ16" s="255"/>
      <c r="CA16" s="255"/>
      <c r="CB16" s="510" t="s">
        <v>105</v>
      </c>
      <c r="CC16" s="511"/>
      <c r="CD16" s="255"/>
      <c r="CE16" s="255"/>
      <c r="CF16" s="255"/>
      <c r="CG16" s="255"/>
      <c r="CH16" s="255"/>
      <c r="CI16" s="255"/>
      <c r="CJ16" s="255"/>
      <c r="CK16" s="255"/>
      <c r="CL16" s="255"/>
      <c r="CM16" s="255"/>
      <c r="CN16" s="10"/>
      <c r="CO16" s="10"/>
      <c r="DA16" s="183" t="s">
        <v>224</v>
      </c>
      <c r="DK16" t="s">
        <v>240</v>
      </c>
      <c r="DL16" t="s">
        <v>240</v>
      </c>
      <c r="DM16" t="s">
        <v>240</v>
      </c>
    </row>
    <row r="17" spans="55:130" x14ac:dyDescent="0.25"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55"/>
      <c r="BX17" s="255"/>
      <c r="BY17" s="219"/>
      <c r="BZ17" s="255"/>
      <c r="CA17" s="255"/>
      <c r="CB17" s="512"/>
      <c r="CC17" s="513"/>
      <c r="CD17" s="255"/>
      <c r="CE17" s="255"/>
      <c r="CF17" s="255"/>
      <c r="CG17" s="255"/>
      <c r="CH17" s="255"/>
      <c r="CI17" s="255"/>
      <c r="CJ17" s="255"/>
      <c r="CK17" s="255"/>
      <c r="CL17" s="255"/>
      <c r="CM17" s="255"/>
      <c r="CN17" s="10"/>
      <c r="CO17" s="10"/>
      <c r="CY17" s="189"/>
      <c r="CZ17" s="190" t="s">
        <v>227</v>
      </c>
      <c r="DA17" s="191" t="str">
        <f>CJ55</f>
        <v>Enfundado</v>
      </c>
      <c r="DB17" s="191" t="str">
        <f>CZ19</f>
        <v>Sellado</v>
      </c>
      <c r="DC17" s="191" t="str">
        <f>CZ20</f>
        <v>Confección funda sin cremallera</v>
      </c>
      <c r="DD17" s="191" t="str">
        <f>CZ21</f>
        <v>Corte tapa de tela</v>
      </c>
      <c r="DE17" s="191" t="str">
        <f>CZ22</f>
        <v>Rellenado - Pesado</v>
      </c>
      <c r="DF17" s="191" t="str">
        <f>CZ23</f>
        <v>Corte tapas de espuma</v>
      </c>
      <c r="DG17" t="str">
        <f>CZ24</f>
        <v>Pesado MP</v>
      </c>
      <c r="DH17" t="str">
        <f>CZ25</f>
        <v>Compresor</v>
      </c>
      <c r="DI17" t="str">
        <f>CZ26</f>
        <v>Corte</v>
      </c>
      <c r="DJ17" t="str">
        <f>CZ27</f>
        <v>Curado-Almacen</v>
      </c>
      <c r="DK17" t="str">
        <f>CZ28</f>
        <v>Acolchado</v>
      </c>
      <c r="DL17" t="str">
        <f>CZ29</f>
        <v>Corte espuma continua</v>
      </c>
      <c r="DM17" t="str">
        <f>CZ30</f>
        <v>Perforación cilindro</v>
      </c>
      <c r="DQ17" t="str">
        <f>CZ34</f>
        <v>Cerrado-confección-tapizado</v>
      </c>
      <c r="DR17" s="191" t="str">
        <f>CZ35</f>
        <v>Moldeo</v>
      </c>
      <c r="DS17" s="191" t="str">
        <f>CZ36</f>
        <v>Mezclado</v>
      </c>
      <c r="DT17" s="191" t="str">
        <f>CZ37</f>
        <v>Pegar tapas espuma</v>
      </c>
      <c r="DU17" s="191" t="str">
        <f>CZ38</f>
        <v>Triturado-Corte manual</v>
      </c>
      <c r="DV17" s="191" t="str">
        <f>CZ39</f>
        <v>Desechos</v>
      </c>
      <c r="DW17" s="191" t="str">
        <f>CZ40</f>
        <v>Almacen PT</v>
      </c>
      <c r="DX17" s="191" t="str">
        <f>CZ41</f>
        <v>Almacen insumos/mp</v>
      </c>
      <c r="DY17" s="191"/>
      <c r="DZ17" s="192" t="str">
        <f>CZ42</f>
        <v>Almacen reproceso</v>
      </c>
    </row>
    <row r="18" spans="55:130" x14ac:dyDescent="0.25"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55"/>
      <c r="BX18" s="255"/>
      <c r="BY18" s="219"/>
      <c r="BZ18" s="255"/>
      <c r="CA18" s="255"/>
      <c r="CB18" s="512"/>
      <c r="CC18" s="513"/>
      <c r="CD18" s="255"/>
      <c r="CE18" s="255"/>
      <c r="CF18" s="255"/>
      <c r="CG18" s="255"/>
      <c r="CH18" s="255"/>
      <c r="CI18" s="255"/>
      <c r="CJ18" s="255"/>
      <c r="CK18" s="255"/>
      <c r="CL18" s="255"/>
      <c r="CM18" s="255"/>
      <c r="CN18" s="10"/>
      <c r="CO18" s="10"/>
      <c r="CW18" t="s">
        <v>123</v>
      </c>
      <c r="CX18" t="s">
        <v>37</v>
      </c>
      <c r="CY18" s="193" t="s">
        <v>88</v>
      </c>
      <c r="CZ18" s="10" t="str">
        <f>CJ55</f>
        <v>Enfundado</v>
      </c>
      <c r="DA18" s="10"/>
      <c r="DB18" s="10"/>
      <c r="DC18" s="10"/>
      <c r="DD18" s="10"/>
      <c r="DE18" s="10"/>
      <c r="DF18" s="10"/>
      <c r="DR18" s="10"/>
      <c r="DS18" s="10"/>
      <c r="DT18" s="10"/>
      <c r="DU18" s="10"/>
      <c r="DV18" s="10"/>
      <c r="DW18" s="10">
        <f>CL56+CL117+CL178</f>
        <v>2384.7304156703758</v>
      </c>
      <c r="DX18" s="10"/>
      <c r="DY18" s="10"/>
      <c r="DZ18" s="194"/>
    </row>
    <row r="19" spans="55:130" x14ac:dyDescent="0.25"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55"/>
      <c r="BX19" s="255"/>
      <c r="BY19" s="219"/>
      <c r="BZ19" s="255"/>
      <c r="CA19" s="255"/>
      <c r="CB19" s="512"/>
      <c r="CC19" s="513"/>
      <c r="CD19" s="255"/>
      <c r="CE19" s="255"/>
      <c r="CF19" s="255"/>
      <c r="CG19" s="255"/>
      <c r="CH19" s="255"/>
      <c r="CI19" s="255"/>
      <c r="CJ19" s="255"/>
      <c r="CK19" s="255"/>
      <c r="CL19" s="255"/>
      <c r="CM19" s="255"/>
      <c r="CN19" s="10"/>
      <c r="CO19" s="10"/>
      <c r="CV19" t="s">
        <v>242</v>
      </c>
      <c r="CY19" s="193" t="s">
        <v>88</v>
      </c>
      <c r="CZ19" s="10" t="s">
        <v>29</v>
      </c>
      <c r="DA19" s="10">
        <f>CH58</f>
        <v>99.313684884648012</v>
      </c>
      <c r="DB19" s="10"/>
      <c r="DC19" s="10"/>
      <c r="DD19" s="10"/>
      <c r="DE19" s="10"/>
      <c r="DF19" s="10"/>
      <c r="DR19" s="10"/>
      <c r="DS19" s="10"/>
      <c r="DT19" s="10"/>
      <c r="DU19" s="10"/>
      <c r="DV19" s="10"/>
      <c r="DW19" s="10"/>
      <c r="DX19" s="10"/>
      <c r="DY19" s="10"/>
      <c r="DZ19" s="194"/>
    </row>
    <row r="20" spans="55:130" x14ac:dyDescent="0.25"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516" t="s">
        <v>226</v>
      </c>
      <c r="BX20" s="517"/>
      <c r="BY20" s="219"/>
      <c r="BZ20" s="255"/>
      <c r="CA20" s="255"/>
      <c r="CB20" s="512"/>
      <c r="CC20" s="513"/>
      <c r="CD20" s="255"/>
      <c r="CE20" s="255"/>
      <c r="CF20" s="255"/>
      <c r="CG20" s="255"/>
      <c r="CH20" s="255"/>
      <c r="CI20" s="255"/>
      <c r="CJ20" s="255"/>
      <c r="CK20" s="255"/>
      <c r="CL20" s="255"/>
      <c r="CM20" s="255"/>
      <c r="CN20" s="10"/>
      <c r="CO20" s="10"/>
      <c r="CV20" t="s">
        <v>123</v>
      </c>
      <c r="CW20" t="s">
        <v>37</v>
      </c>
      <c r="CX20" t="s">
        <v>37</v>
      </c>
      <c r="CY20" s="193" t="s">
        <v>88</v>
      </c>
      <c r="CZ20" s="10" t="str">
        <f>CC42</f>
        <v>Confección funda sin cremallera</v>
      </c>
      <c r="DA20" s="10">
        <f>CH52+CH113+CH174</f>
        <v>31.372730785728002</v>
      </c>
      <c r="DB20" s="10"/>
      <c r="DC20" s="10"/>
      <c r="DD20" s="10"/>
      <c r="DE20" s="10"/>
      <c r="DF20" s="10"/>
      <c r="DR20" s="10"/>
      <c r="DS20" s="10"/>
      <c r="DT20" s="10"/>
      <c r="DU20" s="10"/>
      <c r="DV20" s="222">
        <f>CB29+CC94</f>
        <v>2.9509617859200012E-2</v>
      </c>
      <c r="DW20" s="10"/>
      <c r="DX20" s="10"/>
      <c r="DY20" s="10"/>
      <c r="DZ20" s="207"/>
    </row>
    <row r="21" spans="55:130" ht="15.75" thickBot="1" x14ac:dyDescent="0.3"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501" t="str">
        <f>BX29</f>
        <v>RETAZOS DE TELA</v>
      </c>
      <c r="BX21" s="502"/>
      <c r="BY21" s="219"/>
      <c r="BZ21" s="255"/>
      <c r="CA21" s="255"/>
      <c r="CB21" s="514"/>
      <c r="CC21" s="515"/>
      <c r="CD21" s="255"/>
      <c r="CE21" s="255"/>
      <c r="CF21" s="255"/>
      <c r="CG21" s="255"/>
      <c r="CH21" s="255"/>
      <c r="CI21" s="255"/>
      <c r="CJ21" s="255"/>
      <c r="CK21" s="255"/>
      <c r="CL21" s="255"/>
      <c r="CM21" s="255"/>
      <c r="CN21" s="10"/>
      <c r="CO21" s="10" t="s">
        <v>181</v>
      </c>
      <c r="CP21" t="s">
        <v>181</v>
      </c>
      <c r="CQ21" t="s">
        <v>172</v>
      </c>
      <c r="CR21" t="s">
        <v>172</v>
      </c>
      <c r="CS21" t="s">
        <v>150</v>
      </c>
      <c r="CT21" t="s">
        <v>150</v>
      </c>
      <c r="CU21" t="s">
        <v>123</v>
      </c>
      <c r="CV21" t="s">
        <v>123</v>
      </c>
      <c r="CW21" t="s">
        <v>37</v>
      </c>
      <c r="CX21" t="s">
        <v>37</v>
      </c>
      <c r="CY21" s="193" t="s">
        <v>88</v>
      </c>
      <c r="CZ21" s="10" t="str">
        <f>BX35</f>
        <v>Corte tapa de tela</v>
      </c>
      <c r="DA21" s="10"/>
      <c r="DB21" s="10"/>
      <c r="DC21" s="10">
        <f>CA38+CA99+CA160</f>
        <v>31.176000000000002</v>
      </c>
      <c r="DD21" s="10"/>
      <c r="DE21" s="10"/>
      <c r="DF21" s="10"/>
      <c r="DQ21">
        <f>CJ349+CH230+CJ423+CJ499+CJ577+CI699</f>
        <v>354.8792941383752</v>
      </c>
      <c r="DR21" s="10"/>
      <c r="DS21" s="10"/>
      <c r="DT21" s="10"/>
      <c r="DU21" s="10"/>
      <c r="DV21" s="52">
        <f>BW22</f>
        <v>12.470400000000003</v>
      </c>
      <c r="DW21" s="10"/>
      <c r="DX21" s="10"/>
      <c r="DY21" s="10"/>
      <c r="DZ21" s="207">
        <f>BX93+BM154+BT197+BZ329+BV390+BV466+BV544+BU666</f>
        <v>17.743964706918788</v>
      </c>
    </row>
    <row r="22" spans="55:130" x14ac:dyDescent="0.25"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56">
        <f>BX32</f>
        <v>12.470400000000003</v>
      </c>
      <c r="BX22" s="230" t="s">
        <v>18</v>
      </c>
      <c r="BY22" s="219"/>
      <c r="BZ22" s="255"/>
      <c r="CA22" s="255"/>
      <c r="CB22" s="255"/>
      <c r="CC22" s="255"/>
      <c r="CD22" s="255"/>
      <c r="CE22" s="255"/>
      <c r="CF22" s="255"/>
      <c r="CG22" s="255"/>
      <c r="CH22" s="255"/>
      <c r="CI22" s="255"/>
      <c r="CJ22" s="255"/>
      <c r="CK22" s="255"/>
      <c r="CL22" s="255"/>
      <c r="CM22" s="255"/>
      <c r="CN22" s="10"/>
      <c r="CO22" s="10"/>
      <c r="CY22" s="193" t="s">
        <v>88</v>
      </c>
      <c r="CZ22" s="10" t="s">
        <v>229</v>
      </c>
      <c r="DA22" s="10"/>
      <c r="DB22" s="10">
        <f>CA69</f>
        <v>99.239910840000007</v>
      </c>
      <c r="DC22" s="10"/>
      <c r="DD22" s="10"/>
      <c r="DE22" s="10"/>
      <c r="DF22" s="10"/>
      <c r="DR22" s="10"/>
      <c r="DS22" s="10"/>
      <c r="DT22" s="10"/>
      <c r="DU22" s="10"/>
      <c r="DV22" s="10"/>
      <c r="DW22" s="10"/>
      <c r="DX22" s="10"/>
      <c r="DY22" s="10"/>
      <c r="DZ22" s="194"/>
    </row>
    <row r="23" spans="55:130" x14ac:dyDescent="0.25"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56">
        <f>BW22/CF77</f>
        <v>124.70400000000002</v>
      </c>
      <c r="BX23" s="230" t="s">
        <v>17</v>
      </c>
      <c r="BY23" s="219"/>
      <c r="BZ23" s="255"/>
      <c r="CA23" s="255"/>
      <c r="CB23" s="255"/>
      <c r="CC23" s="255"/>
      <c r="CD23" s="255"/>
      <c r="CE23" s="255"/>
      <c r="CF23" s="255"/>
      <c r="CG23" s="255"/>
      <c r="CH23" s="255"/>
      <c r="CI23" s="255"/>
      <c r="CJ23" s="255"/>
      <c r="CK23" s="255"/>
      <c r="CL23" s="255"/>
      <c r="CM23" s="255"/>
      <c r="CN23" s="10"/>
      <c r="CO23" s="10"/>
      <c r="CY23" s="193" t="s">
        <v>88</v>
      </c>
      <c r="CZ23" s="10" t="str">
        <f>BK52</f>
        <v>Corte tapas de espuma</v>
      </c>
      <c r="DA23" s="10"/>
      <c r="DB23" s="10"/>
      <c r="DC23" s="10"/>
      <c r="DD23" s="10"/>
      <c r="DE23" s="10"/>
      <c r="DF23" s="10"/>
      <c r="DR23" s="10"/>
      <c r="DS23" s="10"/>
      <c r="DT23" s="10">
        <f>BO54</f>
        <v>9.255374999999999</v>
      </c>
      <c r="DU23" s="10"/>
      <c r="DV23" s="10"/>
      <c r="DW23" s="10"/>
      <c r="DX23" s="10"/>
      <c r="DY23" s="10"/>
      <c r="DZ23" s="194">
        <f>BG62</f>
        <v>6.2936549999999993</v>
      </c>
    </row>
    <row r="24" spans="55:130" x14ac:dyDescent="0.25"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55"/>
      <c r="BX24" s="255"/>
      <c r="BY24" s="219"/>
      <c r="BZ24" s="255"/>
      <c r="CA24" s="255"/>
      <c r="CB24" s="255"/>
      <c r="CC24" s="255"/>
      <c r="CD24" s="255"/>
      <c r="CE24" s="255"/>
      <c r="CF24" s="255"/>
      <c r="CG24" s="255"/>
      <c r="CH24" s="255"/>
      <c r="CI24" s="255"/>
      <c r="CJ24" s="255"/>
      <c r="CK24" s="255"/>
      <c r="CL24" s="255"/>
      <c r="CM24" s="255"/>
      <c r="CN24" s="10"/>
      <c r="CO24" s="10"/>
      <c r="CX24" t="s">
        <v>240</v>
      </c>
      <c r="CY24" s="203" t="s">
        <v>37</v>
      </c>
      <c r="CZ24" t="str">
        <f>BQ119</f>
        <v>Pesado MP</v>
      </c>
      <c r="DS24">
        <f>BQ121+BG357</f>
        <v>4638.5555276987398</v>
      </c>
    </row>
    <row r="25" spans="55:130" x14ac:dyDescent="0.25"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55"/>
      <c r="BX25" s="255"/>
      <c r="BY25" s="219"/>
      <c r="BZ25" s="255"/>
      <c r="CA25" s="255"/>
      <c r="CB25" s="255"/>
      <c r="CC25" s="255"/>
      <c r="CD25" s="255"/>
      <c r="CE25" s="255"/>
      <c r="CF25" s="255"/>
      <c r="CG25" s="255"/>
      <c r="CH25" s="255"/>
      <c r="CI25" s="255"/>
      <c r="CJ25" s="255"/>
      <c r="CK25" s="255"/>
      <c r="CL25" s="255"/>
      <c r="CM25" s="255"/>
      <c r="CN25" s="10"/>
      <c r="CO25" s="10"/>
      <c r="CZ25" t="s">
        <v>235</v>
      </c>
    </row>
    <row r="26" spans="55:130" x14ac:dyDescent="0.25"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55"/>
      <c r="BX26" s="255"/>
      <c r="BY26" s="219"/>
      <c r="BZ26" s="255"/>
      <c r="CA26" s="255"/>
      <c r="CB26" s="255"/>
      <c r="CC26" s="255"/>
      <c r="CD26" s="255"/>
      <c r="CE26" s="255"/>
      <c r="CF26" s="255"/>
      <c r="CG26" s="255"/>
      <c r="CH26" s="255"/>
      <c r="CI26" s="255"/>
      <c r="CJ26" s="255"/>
      <c r="CK26" s="255"/>
      <c r="CL26" s="255"/>
      <c r="CM26" s="255"/>
      <c r="CN26" s="10"/>
      <c r="CO26" s="10"/>
      <c r="CX26" t="s">
        <v>172</v>
      </c>
      <c r="CY26" t="s">
        <v>123</v>
      </c>
      <c r="CZ26" t="s">
        <v>142</v>
      </c>
      <c r="DA26">
        <f>CH180</f>
        <v>2000.7</v>
      </c>
      <c r="DQ26">
        <f>CJ355+CH236+CI705</f>
        <v>1999.674</v>
      </c>
    </row>
    <row r="27" spans="55:130" x14ac:dyDescent="0.25"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55"/>
      <c r="BX27" s="255"/>
      <c r="BY27" s="219"/>
      <c r="BZ27" s="255"/>
      <c r="CA27" s="255"/>
      <c r="CB27" s="516" t="s">
        <v>226</v>
      </c>
      <c r="CC27" s="517"/>
      <c r="CD27" s="255"/>
      <c r="CE27" s="255"/>
      <c r="CF27" s="255"/>
      <c r="CG27" s="255"/>
      <c r="CH27" s="255"/>
      <c r="CI27" s="255"/>
      <c r="CJ27" s="255"/>
      <c r="CK27" s="255"/>
      <c r="CL27" s="255"/>
      <c r="CM27" s="255"/>
      <c r="CX27" t="s">
        <v>240</v>
      </c>
      <c r="CY27" t="s">
        <v>240</v>
      </c>
      <c r="CZ27" t="s">
        <v>241</v>
      </c>
      <c r="DI27">
        <f>CB361</f>
        <v>4000.3740000000003</v>
      </c>
      <c r="DM27">
        <f>AZ328</f>
        <v>0</v>
      </c>
    </row>
    <row r="28" spans="55:130" x14ac:dyDescent="0.25"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55"/>
      <c r="BX28" s="255"/>
      <c r="BY28" s="219"/>
      <c r="BZ28" s="255"/>
      <c r="CA28" s="255"/>
      <c r="CB28" s="501" t="str">
        <f>CC36</f>
        <v>HILO</v>
      </c>
      <c r="CC28" s="502"/>
      <c r="CD28" s="255"/>
      <c r="CE28" s="255"/>
      <c r="CF28" s="255"/>
      <c r="CG28" s="255"/>
      <c r="CH28" s="255"/>
      <c r="CI28" s="255"/>
      <c r="CJ28" s="255"/>
      <c r="CK28" s="255"/>
      <c r="CL28" s="255"/>
      <c r="CM28" s="255"/>
      <c r="CX28" t="s">
        <v>240</v>
      </c>
      <c r="CY28" t="s">
        <v>240</v>
      </c>
      <c r="CZ28" t="s">
        <v>213</v>
      </c>
      <c r="DD28">
        <f>BW334</f>
        <v>0</v>
      </c>
      <c r="DV28">
        <f>BT324</f>
        <v>0</v>
      </c>
    </row>
    <row r="29" spans="55:130" x14ac:dyDescent="0.25"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55"/>
      <c r="BX29" s="254" t="s">
        <v>228</v>
      </c>
      <c r="BY29" s="219"/>
      <c r="BZ29" s="255"/>
      <c r="CA29" s="255"/>
      <c r="CB29" s="256">
        <f>CC39</f>
        <v>2.9509617859200012E-2</v>
      </c>
      <c r="CC29" s="230" t="s">
        <v>18</v>
      </c>
      <c r="CD29" s="255"/>
      <c r="CE29" s="255"/>
      <c r="CF29" s="255"/>
      <c r="CG29" s="255"/>
      <c r="CH29" s="255"/>
      <c r="CI29" s="255"/>
      <c r="CJ29" s="255"/>
      <c r="CK29" s="255"/>
      <c r="CL29" s="219"/>
      <c r="CM29" s="219"/>
      <c r="CX29" t="s">
        <v>240</v>
      </c>
      <c r="CY29" t="s">
        <v>240</v>
      </c>
      <c r="CZ29" t="s">
        <v>218</v>
      </c>
      <c r="DJ29" s="21">
        <f>AZ338</f>
        <v>0</v>
      </c>
      <c r="DL29">
        <f>BU330</f>
        <v>0</v>
      </c>
      <c r="DZ29" s="21"/>
    </row>
    <row r="30" spans="55:130" x14ac:dyDescent="0.25"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31" t="s">
        <v>36</v>
      </c>
      <c r="BY30" s="219"/>
      <c r="BZ30" s="255"/>
      <c r="CA30" s="255"/>
      <c r="CB30" s="256">
        <f>CB29/CF76</f>
        <v>380.34720000000016</v>
      </c>
      <c r="CC30" s="230" t="s">
        <v>16</v>
      </c>
      <c r="CD30" s="255"/>
      <c r="CE30" s="255"/>
      <c r="CF30" s="255"/>
      <c r="CG30" s="255"/>
      <c r="CH30" s="255"/>
      <c r="CI30" s="255"/>
      <c r="CJ30" s="255"/>
      <c r="CK30" s="255"/>
      <c r="CL30" s="219"/>
      <c r="CM30" s="219"/>
      <c r="CX30" t="s">
        <v>240</v>
      </c>
      <c r="CY30" t="s">
        <v>240</v>
      </c>
      <c r="CZ30" t="s">
        <v>222</v>
      </c>
      <c r="DL30">
        <f>BE336</f>
        <v>0</v>
      </c>
      <c r="DZ30" s="21">
        <f>AZ317</f>
        <v>0</v>
      </c>
    </row>
    <row r="31" spans="55:130" x14ac:dyDescent="0.25"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33" t="s">
        <v>54</v>
      </c>
      <c r="BY31" s="219"/>
      <c r="BZ31" s="255"/>
      <c r="CA31" s="255"/>
      <c r="CB31" s="255"/>
      <c r="CC31" s="255"/>
      <c r="CD31" s="255"/>
      <c r="CE31" s="255"/>
      <c r="CF31" s="255"/>
      <c r="CG31" s="255"/>
      <c r="CH31" s="255"/>
      <c r="CI31" s="255"/>
      <c r="CJ31" s="255"/>
      <c r="CK31" s="255"/>
      <c r="CL31" s="219"/>
      <c r="CM31" s="219"/>
    </row>
    <row r="32" spans="55:130" x14ac:dyDescent="0.25"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57">
        <f>(48*60)*CC77*CF77*CG52</f>
        <v>12.470400000000003</v>
      </c>
      <c r="BY32" s="219"/>
      <c r="BZ32" s="255"/>
      <c r="CA32" s="255"/>
      <c r="CB32" s="255"/>
      <c r="CC32" s="255"/>
      <c r="CD32" s="255"/>
      <c r="CE32" s="255"/>
      <c r="CF32" s="255"/>
      <c r="CG32" s="255"/>
      <c r="CH32" s="255"/>
      <c r="CI32" s="255"/>
      <c r="CJ32" s="255"/>
      <c r="CK32" s="255"/>
      <c r="CL32" s="219"/>
      <c r="CM32" s="219"/>
    </row>
    <row r="33" spans="55:130" x14ac:dyDescent="0.25"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31">
        <f>BU39</f>
        <v>43.6464</v>
      </c>
      <c r="BY33" s="219"/>
      <c r="BZ33" s="255"/>
      <c r="CA33" s="255"/>
      <c r="CB33" s="255"/>
      <c r="CC33" s="255"/>
      <c r="CD33" s="255"/>
      <c r="CE33" s="255"/>
      <c r="CF33" s="255"/>
      <c r="CG33" s="255"/>
      <c r="CH33" s="255"/>
      <c r="CI33" s="255"/>
      <c r="CJ33" s="255"/>
      <c r="CK33" s="255"/>
      <c r="CL33" s="255"/>
      <c r="CM33" s="255"/>
    </row>
    <row r="34" spans="55:130" x14ac:dyDescent="0.25"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219"/>
      <c r="BQ34" s="258" t="s">
        <v>51</v>
      </c>
      <c r="BR34" s="259"/>
      <c r="BS34" s="219"/>
      <c r="BT34" s="470" t="s">
        <v>66</v>
      </c>
      <c r="BU34" s="460"/>
      <c r="BV34" s="219"/>
      <c r="BW34" s="219"/>
      <c r="BX34" s="227" t="s">
        <v>34</v>
      </c>
      <c r="BY34" s="219"/>
      <c r="BZ34" s="255"/>
      <c r="CA34" s="255"/>
      <c r="CB34" s="255"/>
      <c r="CC34" s="255"/>
      <c r="CD34" s="255"/>
      <c r="CE34" s="255"/>
      <c r="CF34" s="255"/>
      <c r="CG34" s="255"/>
      <c r="CH34" s="255"/>
      <c r="CI34" s="255"/>
      <c r="CJ34" s="255"/>
      <c r="CK34" s="255"/>
      <c r="CL34" s="255"/>
      <c r="CM34" s="255"/>
      <c r="CN34" s="10"/>
      <c r="CO34" s="10"/>
      <c r="CW34" t="s">
        <v>181</v>
      </c>
      <c r="CX34" t="s">
        <v>172</v>
      </c>
      <c r="CY34" t="s">
        <v>150</v>
      </c>
      <c r="CZ34" t="s">
        <v>237</v>
      </c>
      <c r="DW34">
        <f>CN353+CL234+CN427+CN503+CN581</f>
        <v>8247.1799377011739</v>
      </c>
    </row>
    <row r="35" spans="55:130" x14ac:dyDescent="0.25"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60" t="str">
        <f>BT34</f>
        <v>Rollo de tela</v>
      </c>
      <c r="BR35" s="261"/>
      <c r="BS35" s="219"/>
      <c r="BT35" s="471"/>
      <c r="BU35" s="462"/>
      <c r="BV35" s="219"/>
      <c r="BW35" s="219"/>
      <c r="BX35" s="29" t="s">
        <v>65</v>
      </c>
      <c r="BY35" s="219"/>
      <c r="BZ35" s="507" t="s">
        <v>64</v>
      </c>
      <c r="CA35" s="460"/>
      <c r="CB35" s="255"/>
      <c r="CC35" s="255"/>
      <c r="CD35" s="255"/>
      <c r="CE35" s="255"/>
      <c r="CF35" s="255"/>
      <c r="CG35" s="255"/>
      <c r="CH35" s="255"/>
      <c r="CI35" s="255"/>
      <c r="CJ35" s="255"/>
      <c r="CK35" s="255"/>
      <c r="CL35" s="255"/>
      <c r="CM35" s="255"/>
      <c r="CN35" s="10"/>
      <c r="CO35" s="10"/>
      <c r="CT35" t="s">
        <v>240</v>
      </c>
      <c r="CU35" t="s">
        <v>240</v>
      </c>
      <c r="CV35" t="s">
        <v>240</v>
      </c>
      <c r="CW35" t="s">
        <v>172</v>
      </c>
      <c r="CX35" t="s">
        <v>37</v>
      </c>
      <c r="CY35" s="193" t="s">
        <v>37</v>
      </c>
      <c r="CZ35" s="10" t="str">
        <f>CC124</f>
        <v>Moldeo</v>
      </c>
      <c r="DA35" s="10">
        <f>CH119</f>
        <v>253.34399999999999</v>
      </c>
      <c r="DB35" s="10"/>
      <c r="DC35" s="10"/>
      <c r="DD35" s="10"/>
      <c r="DE35" s="10"/>
      <c r="DF35" s="10"/>
      <c r="DH35">
        <f>CC121+BL356+AQ333</f>
        <v>301.83570000732232</v>
      </c>
      <c r="DJ35">
        <f>BL361+AQ338</f>
        <v>4083.3758276914173</v>
      </c>
      <c r="DR35" s="10"/>
      <c r="DS35" s="10"/>
      <c r="DT35" s="10"/>
      <c r="DU35" s="10"/>
      <c r="DV35" s="10"/>
      <c r="DW35" s="10"/>
      <c r="DX35" s="10"/>
      <c r="DY35" s="10"/>
      <c r="DZ35" s="194"/>
    </row>
    <row r="36" spans="55:130" x14ac:dyDescent="0.25"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219"/>
      <c r="BQ36" s="256" t="s">
        <v>155</v>
      </c>
      <c r="BR36" s="230" t="s">
        <v>18</v>
      </c>
      <c r="BS36" s="219"/>
      <c r="BT36" s="100" t="s">
        <v>30</v>
      </c>
      <c r="BU36" s="100" t="s">
        <v>1</v>
      </c>
      <c r="BV36" s="100" t="s">
        <v>42</v>
      </c>
      <c r="BW36" s="219"/>
      <c r="BX36" s="220" t="s">
        <v>35</v>
      </c>
      <c r="BY36" s="219"/>
      <c r="BZ36" s="508"/>
      <c r="CA36" s="462"/>
      <c r="CB36" s="255"/>
      <c r="CC36" s="254" t="s">
        <v>225</v>
      </c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10"/>
      <c r="CO36" s="10"/>
      <c r="CW36" t="s">
        <v>240</v>
      </c>
      <c r="CX36" t="s">
        <v>240</v>
      </c>
      <c r="CY36" s="205" t="s">
        <v>37</v>
      </c>
      <c r="CZ36" s="204" t="str">
        <f>BX124</f>
        <v>Mezclado</v>
      </c>
      <c r="DA36" s="10"/>
      <c r="DB36" s="10"/>
      <c r="DC36" s="10"/>
      <c r="DD36" s="10"/>
      <c r="DE36" s="10"/>
      <c r="DF36" s="10"/>
      <c r="DR36" s="10">
        <f>BJ365+CA130+AL338</f>
        <v>4638.5555276987398</v>
      </c>
      <c r="DS36" s="10"/>
      <c r="DT36" s="10"/>
      <c r="DU36" s="10"/>
      <c r="DV36" s="10"/>
      <c r="DW36" s="10"/>
      <c r="DX36" s="10"/>
      <c r="DY36" s="10"/>
      <c r="DZ36" s="194"/>
    </row>
    <row r="37" spans="55:130" x14ac:dyDescent="0.25"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56">
        <f>BT37</f>
        <v>436.464</v>
      </c>
      <c r="BR37" s="230">
        <f>BU37</f>
        <v>43.6464</v>
      </c>
      <c r="BS37" s="219"/>
      <c r="BT37" s="100">
        <f>BU37*10</f>
        <v>436.464</v>
      </c>
      <c r="BU37" s="230">
        <f>SUM(BU39:BU42)</f>
        <v>43.6464</v>
      </c>
      <c r="BV37" s="262"/>
      <c r="BW37" s="219"/>
      <c r="BX37" s="219">
        <f>CA38</f>
        <v>31.176000000000002</v>
      </c>
      <c r="BY37" s="219"/>
      <c r="BZ37" s="263" t="s">
        <v>30</v>
      </c>
      <c r="CA37" s="100" t="s">
        <v>1</v>
      </c>
      <c r="CB37" s="264" t="s">
        <v>42</v>
      </c>
      <c r="CC37" s="265" t="s">
        <v>36</v>
      </c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10"/>
      <c r="CO37" s="10"/>
      <c r="CY37" s="193" t="s">
        <v>88</v>
      </c>
      <c r="CZ37" s="10" t="str">
        <f>BQ58</f>
        <v>Pegar tapas espuma</v>
      </c>
      <c r="DA37" s="10"/>
      <c r="DB37" s="10"/>
      <c r="DC37" s="10"/>
      <c r="DD37" s="10"/>
      <c r="DE37" s="10">
        <f>BV59</f>
        <v>12.639910839999999</v>
      </c>
      <c r="DF37" s="10"/>
      <c r="DR37" s="10"/>
      <c r="DS37" s="10"/>
      <c r="DT37" s="10"/>
      <c r="DU37" s="10"/>
      <c r="DV37" s="10"/>
      <c r="DW37" s="10"/>
      <c r="DX37" s="10"/>
      <c r="DY37" s="10"/>
      <c r="DZ37" s="194"/>
    </row>
    <row r="38" spans="55:130" x14ac:dyDescent="0.25"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219"/>
      <c r="BQ38" s="219"/>
      <c r="BR38" s="219"/>
      <c r="BS38" s="219"/>
      <c r="BT38" s="504" t="s">
        <v>67</v>
      </c>
      <c r="BU38" s="220">
        <f>(48*210)*CC77*CG52</f>
        <v>436.464</v>
      </c>
      <c r="BV38" s="219" t="s">
        <v>69</v>
      </c>
      <c r="BW38" s="219"/>
      <c r="BX38" s="232" t="s">
        <v>36</v>
      </c>
      <c r="BY38" s="219"/>
      <c r="BZ38" s="263">
        <f>CG52*CA77*CC77</f>
        <v>311.76</v>
      </c>
      <c r="CA38" s="230">
        <f>CG52*CA77*CC77*CF77</f>
        <v>31.176000000000002</v>
      </c>
      <c r="CB38" s="266"/>
      <c r="CC38" s="267" t="s">
        <v>54</v>
      </c>
      <c r="CD38" s="255"/>
      <c r="CE38" s="255"/>
      <c r="CF38" s="255"/>
      <c r="CG38" s="255"/>
      <c r="CH38" s="255"/>
      <c r="CI38" s="255"/>
      <c r="CJ38" s="255"/>
      <c r="CK38" s="255"/>
      <c r="CL38" s="255"/>
      <c r="CM38" s="255"/>
      <c r="CN38" s="10"/>
      <c r="CO38" s="10"/>
      <c r="CU38" t="s">
        <v>181</v>
      </c>
      <c r="CV38" t="s">
        <v>172</v>
      </c>
      <c r="CW38" t="s">
        <v>172</v>
      </c>
      <c r="CX38" t="s">
        <v>150</v>
      </c>
      <c r="CY38" s="193" t="s">
        <v>88</v>
      </c>
      <c r="CZ38" s="10" t="s">
        <v>239</v>
      </c>
      <c r="DA38" s="10"/>
      <c r="DB38" s="10"/>
      <c r="DC38" s="10"/>
      <c r="DD38" s="10"/>
      <c r="DE38" s="195">
        <f>BT79</f>
        <v>6.2936549999999993</v>
      </c>
      <c r="DF38" s="10"/>
      <c r="DQ38" s="140">
        <f>CI248+CK367+CK441+CK517+CK595+CJ717</f>
        <v>12.992000000000001</v>
      </c>
      <c r="DR38" s="10"/>
      <c r="DS38" s="10"/>
      <c r="DT38" s="10"/>
      <c r="DU38" s="10"/>
      <c r="DV38" s="10"/>
      <c r="DW38" s="10"/>
      <c r="DX38" s="10"/>
      <c r="DY38" s="10"/>
      <c r="DZ38" s="194"/>
    </row>
    <row r="39" spans="55:130" x14ac:dyDescent="0.25"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505"/>
      <c r="BU39" s="220">
        <f>(48*210)*CC77*CF77*CG52</f>
        <v>43.6464</v>
      </c>
      <c r="BV39" s="219" t="s">
        <v>68</v>
      </c>
      <c r="BW39" s="219"/>
      <c r="BX39" s="218" t="s">
        <v>63</v>
      </c>
      <c r="BY39" s="219"/>
      <c r="BZ39" s="255"/>
      <c r="CA39" s="255"/>
      <c r="CB39" s="255"/>
      <c r="CC39" s="265">
        <f>(BZ49-CA78)*CC78*CF78*CG52</f>
        <v>2.9509617859200012E-2</v>
      </c>
      <c r="CD39" s="255"/>
      <c r="CE39" s="255"/>
      <c r="CF39" s="255"/>
      <c r="CG39" s="255"/>
      <c r="CH39" s="255"/>
      <c r="CI39" s="255"/>
      <c r="CJ39" s="255"/>
      <c r="CK39" s="255"/>
      <c r="CL39" s="255"/>
      <c r="CM39" s="255"/>
      <c r="CN39" s="10"/>
      <c r="CO39" s="10"/>
      <c r="CY39" s="193" t="s">
        <v>88</v>
      </c>
      <c r="CZ39" s="10" t="s">
        <v>226</v>
      </c>
      <c r="DA39" s="10"/>
      <c r="DB39" s="10"/>
      <c r="DC39" s="10"/>
      <c r="DD39" s="10"/>
      <c r="DE39" s="10"/>
      <c r="DF39" s="10"/>
      <c r="DR39" s="10"/>
      <c r="DS39" s="10"/>
      <c r="DT39" s="10"/>
      <c r="DU39" s="10"/>
      <c r="DV39" s="10"/>
      <c r="DW39" s="10"/>
      <c r="DX39" s="10"/>
      <c r="DY39" s="10"/>
      <c r="DZ39" s="194"/>
    </row>
    <row r="40" spans="55:130" x14ac:dyDescent="0.25"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>
        <f>BT99</f>
        <v>0</v>
      </c>
      <c r="BU40" s="220">
        <f>BU100</f>
        <v>0</v>
      </c>
      <c r="BV40" s="219">
        <f>BV100</f>
        <v>0</v>
      </c>
      <c r="BW40" s="219"/>
      <c r="BX40" s="235"/>
      <c r="BY40" s="219"/>
      <c r="BZ40" s="255"/>
      <c r="CA40" s="255"/>
      <c r="CB40" s="255"/>
      <c r="CC40" s="265">
        <f>CA38+CA48</f>
        <v>31.402240403587204</v>
      </c>
      <c r="CD40" s="255"/>
      <c r="CE40" s="255"/>
      <c r="CF40" s="255"/>
      <c r="CG40" s="255"/>
      <c r="CH40" s="255"/>
      <c r="CI40" s="255"/>
      <c r="CJ40" s="255"/>
      <c r="CK40" s="255"/>
      <c r="CL40" s="255"/>
      <c r="CM40" s="255"/>
      <c r="CN40" s="10"/>
      <c r="CO40" s="10"/>
      <c r="CY40" s="193" t="s">
        <v>88</v>
      </c>
      <c r="CZ40" s="10" t="s">
        <v>52</v>
      </c>
      <c r="DA40" s="10"/>
      <c r="DB40" s="10"/>
      <c r="DC40" s="10"/>
      <c r="DD40" s="10"/>
      <c r="DE40" s="10"/>
      <c r="DF40" s="10"/>
      <c r="DR40" s="10"/>
      <c r="DS40" s="10"/>
      <c r="DT40" s="10"/>
      <c r="DU40" s="10"/>
      <c r="DV40" s="10"/>
      <c r="DW40" s="10"/>
      <c r="DX40" s="10"/>
      <c r="DY40" s="10"/>
      <c r="DZ40" s="194"/>
    </row>
    <row r="41" spans="55:130" x14ac:dyDescent="0.25"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  <c r="BT41" s="219"/>
      <c r="BU41" s="219"/>
      <c r="BV41" s="219"/>
      <c r="BW41" s="219"/>
      <c r="BX41" s="241"/>
      <c r="BY41" s="219"/>
      <c r="BZ41" s="255"/>
      <c r="CA41" s="255"/>
      <c r="CB41" s="255"/>
      <c r="CC41" s="268" t="s">
        <v>34</v>
      </c>
      <c r="CD41" s="255"/>
      <c r="CE41" s="255"/>
      <c r="CF41" s="255"/>
      <c r="CG41" s="255"/>
      <c r="CH41" s="255"/>
      <c r="CI41" s="255"/>
      <c r="CJ41" s="255"/>
      <c r="CK41" s="255" t="s">
        <v>181</v>
      </c>
      <c r="CL41" s="255" t="s">
        <v>240</v>
      </c>
      <c r="CM41" s="255" t="s">
        <v>240</v>
      </c>
      <c r="CN41" s="10" t="s">
        <v>172</v>
      </c>
      <c r="CO41" s="10" t="s">
        <v>172</v>
      </c>
      <c r="CP41" t="s">
        <v>172</v>
      </c>
      <c r="CQ41" t="s">
        <v>172</v>
      </c>
      <c r="CR41" t="s">
        <v>150</v>
      </c>
      <c r="CS41" t="s">
        <v>150</v>
      </c>
      <c r="CT41" t="s">
        <v>123</v>
      </c>
      <c r="CU41" t="s">
        <v>123</v>
      </c>
      <c r="CV41" t="s">
        <v>37</v>
      </c>
      <c r="CW41" t="s">
        <v>37</v>
      </c>
      <c r="CX41" t="s">
        <v>37</v>
      </c>
      <c r="CY41" s="193"/>
      <c r="CZ41" s="10" t="str">
        <f>BW45</f>
        <v>Almacen insumos/mp</v>
      </c>
      <c r="DA41" s="10"/>
      <c r="DB41" s="10">
        <f>CA59</f>
        <v>7.3774044648000012E-2</v>
      </c>
      <c r="DC41" s="10">
        <f>CA48+CA109+BZ104+CA170+BZ165</f>
        <v>0.22624040358720002</v>
      </c>
      <c r="DD41" s="48">
        <f>BU37</f>
        <v>43.6464</v>
      </c>
      <c r="DE41" s="10">
        <f>BW80</f>
        <v>80.306345000000007</v>
      </c>
      <c r="DF41" s="47"/>
      <c r="DG41">
        <f>BQ117+BG357</f>
        <v>4638.5555276987398</v>
      </c>
      <c r="DK41">
        <f>BV330</f>
        <v>0</v>
      </c>
      <c r="DQ41">
        <f>CO416+CH240+CI244+CJ343+CJ359+CK363+BR319+BP200+CO492+BR469+CO570+BR469+CN693+BQ669+BR393+BR547</f>
        <v>9743.9284390813409</v>
      </c>
      <c r="DR41" s="10"/>
      <c r="DS41" s="10"/>
      <c r="DT41" s="10">
        <f>BK71</f>
        <v>3.3845358400000003</v>
      </c>
      <c r="DU41" s="214"/>
      <c r="DV41" s="10"/>
      <c r="DW41" s="10"/>
      <c r="DX41" s="10"/>
      <c r="DY41" s="10"/>
      <c r="DZ41" s="194"/>
    </row>
    <row r="42" spans="55:130" x14ac:dyDescent="0.25"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219"/>
      <c r="BQ42" s="219"/>
      <c r="BR42" s="219"/>
      <c r="BS42" s="219"/>
      <c r="BT42" s="219"/>
      <c r="BU42" s="219"/>
      <c r="BV42" s="219"/>
      <c r="BW42" s="219"/>
      <c r="BX42" s="219"/>
      <c r="BY42" s="219"/>
      <c r="BZ42" s="255"/>
      <c r="CA42" s="255"/>
      <c r="CB42" s="255"/>
      <c r="CC42" s="269" t="s">
        <v>60</v>
      </c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10"/>
      <c r="CO42" s="10"/>
      <c r="CV42" t="s">
        <v>172</v>
      </c>
      <c r="CW42" t="s">
        <v>150</v>
      </c>
      <c r="CX42" t="s">
        <v>37</v>
      </c>
      <c r="CY42" s="196" t="s">
        <v>88</v>
      </c>
      <c r="CZ42" s="197" t="s">
        <v>232</v>
      </c>
      <c r="DA42" s="197"/>
      <c r="DB42" s="197"/>
      <c r="DC42" s="197"/>
      <c r="DD42" s="197">
        <f>BW91</f>
        <v>0</v>
      </c>
      <c r="DE42" s="197"/>
      <c r="DF42" s="197"/>
      <c r="DR42" s="197"/>
      <c r="DS42" s="197"/>
      <c r="DT42" s="197"/>
      <c r="DU42" s="198">
        <f>BG62+AZ317+(BM195-BM201)+(BV316-BO320)+(BV390-BO394)+(BV466-BO470)+(BV544-BO548)+(BU666-BN670)</f>
        <v>19.285655000000002</v>
      </c>
      <c r="DV42" s="197"/>
      <c r="DW42" s="197"/>
      <c r="DX42" s="197"/>
      <c r="DY42" s="197"/>
      <c r="DZ42" s="199"/>
    </row>
    <row r="43" spans="55:130" x14ac:dyDescent="0.25"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  <c r="BO43" s="219"/>
      <c r="BP43" s="219"/>
      <c r="BQ43" s="219"/>
      <c r="BR43" s="219"/>
      <c r="BS43" s="219"/>
      <c r="BT43" s="219"/>
      <c r="BU43" s="219"/>
      <c r="BV43" s="219"/>
      <c r="BW43" s="219"/>
      <c r="BX43" s="242">
        <f>BU39-BX32-CA38</f>
        <v>0</v>
      </c>
      <c r="BY43" s="219"/>
      <c r="BZ43" s="255"/>
      <c r="CA43" s="255"/>
      <c r="CB43" s="255"/>
      <c r="CC43" s="254" t="s">
        <v>35</v>
      </c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10"/>
      <c r="CO43" s="10"/>
    </row>
    <row r="44" spans="55:130" x14ac:dyDescent="0.25"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219"/>
      <c r="BQ44" s="219"/>
      <c r="BR44" s="219"/>
      <c r="BS44" s="219"/>
      <c r="BT44" s="219"/>
      <c r="BU44" s="219"/>
      <c r="BV44" s="219"/>
      <c r="BW44" s="219"/>
      <c r="BX44" s="219"/>
      <c r="BY44" s="219"/>
      <c r="BZ44" s="255"/>
      <c r="CA44" s="255"/>
      <c r="CB44" s="255"/>
      <c r="CC44" s="255">
        <f>CH52</f>
        <v>31.372730785728002</v>
      </c>
      <c r="CD44" s="255"/>
      <c r="CE44" s="255"/>
      <c r="CF44" s="255"/>
      <c r="CG44" s="255"/>
      <c r="CH44" s="255"/>
      <c r="CI44" s="255"/>
      <c r="CJ44" s="255"/>
      <c r="CK44" s="255"/>
      <c r="CL44" s="255"/>
      <c r="CM44" s="255"/>
      <c r="CN44" s="10"/>
      <c r="CO44" s="10"/>
      <c r="DD44" s="14" t="s">
        <v>67</v>
      </c>
      <c r="DE44" s="14"/>
      <c r="DF44" s="14"/>
    </row>
    <row r="45" spans="55:130" x14ac:dyDescent="0.25"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  <c r="BN45" s="219"/>
      <c r="BO45" s="219"/>
      <c r="BP45" s="219"/>
      <c r="BQ45" s="219"/>
      <c r="BR45" s="219"/>
      <c r="BS45" s="219"/>
      <c r="BT45" s="219"/>
      <c r="BU45" s="219"/>
      <c r="BV45" s="219"/>
      <c r="BW45" s="499" t="s">
        <v>51</v>
      </c>
      <c r="BX45" s="500"/>
      <c r="BY45" s="219"/>
      <c r="BZ45" s="507" t="s">
        <v>73</v>
      </c>
      <c r="CA45" s="460"/>
      <c r="CB45" s="255"/>
      <c r="CC45" s="270" t="s">
        <v>36</v>
      </c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10"/>
      <c r="CO45" s="10"/>
      <c r="DD45" s="14"/>
      <c r="DE45" s="14"/>
      <c r="DF45" s="14"/>
    </row>
    <row r="46" spans="55:130" x14ac:dyDescent="0.25"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219"/>
      <c r="BQ46" s="219"/>
      <c r="BR46" s="219"/>
      <c r="BS46" s="219"/>
      <c r="BT46" s="219"/>
      <c r="BU46" s="219"/>
      <c r="BV46" s="219"/>
      <c r="BW46" s="501" t="str">
        <f>BZ45</f>
        <v>Hilo funda de tela sin cremallera</v>
      </c>
      <c r="BX46" s="502"/>
      <c r="BY46" s="219"/>
      <c r="BZ46" s="508"/>
      <c r="CA46" s="462"/>
      <c r="CB46" s="255"/>
      <c r="CC46" s="271" t="s">
        <v>63</v>
      </c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10"/>
      <c r="CO46" s="10"/>
      <c r="DD46" s="14" t="s">
        <v>151</v>
      </c>
      <c r="DE46" s="14"/>
      <c r="DF46" s="14"/>
      <c r="DQ46" s="188" t="s">
        <v>176</v>
      </c>
    </row>
    <row r="47" spans="55:130" x14ac:dyDescent="0.25">
      <c r="BC47" s="219"/>
      <c r="BD47" s="219"/>
      <c r="BE47" s="219"/>
      <c r="BF47" s="219"/>
      <c r="BG47" s="219"/>
      <c r="BH47" s="219"/>
      <c r="BI47" s="219"/>
      <c r="BJ47" s="219"/>
      <c r="BK47" s="231" t="s">
        <v>36</v>
      </c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56">
        <f>CA48</f>
        <v>0.22624040358720002</v>
      </c>
      <c r="BX47" s="230" t="s">
        <v>18</v>
      </c>
      <c r="BY47" s="219"/>
      <c r="BZ47" s="263" t="s">
        <v>30</v>
      </c>
      <c r="CA47" s="100" t="s">
        <v>1</v>
      </c>
      <c r="CB47" s="264" t="s">
        <v>42</v>
      </c>
      <c r="CC47" s="235"/>
      <c r="CD47" s="255"/>
      <c r="CE47" s="255"/>
      <c r="CF47" s="255"/>
      <c r="CG47" s="255"/>
      <c r="CH47" s="255"/>
      <c r="CI47" s="255"/>
      <c r="CJ47" s="255"/>
      <c r="CK47" s="255"/>
      <c r="CL47" s="255"/>
      <c r="CM47" s="255"/>
      <c r="CN47" s="10"/>
      <c r="CO47" s="10"/>
      <c r="DQ47" s="188" t="s">
        <v>234</v>
      </c>
    </row>
    <row r="48" spans="55:130" x14ac:dyDescent="0.25">
      <c r="BC48" s="219"/>
      <c r="BD48" s="219"/>
      <c r="BE48" s="219"/>
      <c r="BF48" s="219"/>
      <c r="BG48" s="219"/>
      <c r="BH48" s="219"/>
      <c r="BI48" s="219"/>
      <c r="BJ48" s="219"/>
      <c r="BK48" s="233" t="s">
        <v>54</v>
      </c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56">
        <f>BZ48</f>
        <v>2915.9952000000003</v>
      </c>
      <c r="BX48" s="230" t="s">
        <v>16</v>
      </c>
      <c r="BY48" s="219"/>
      <c r="BZ48" s="263">
        <f>CG52*BZ49*CC76</f>
        <v>2915.9952000000003</v>
      </c>
      <c r="CA48" s="230">
        <f>CG52*BZ49*CC76*CF76</f>
        <v>0.22624040358720002</v>
      </c>
      <c r="CB48" s="272"/>
      <c r="CC48" s="241"/>
      <c r="CD48" s="255"/>
      <c r="CE48" s="255"/>
      <c r="CF48" s="255"/>
      <c r="CG48" s="255"/>
      <c r="CH48" s="255"/>
      <c r="CI48" s="255"/>
      <c r="CJ48" s="255"/>
      <c r="CK48" s="255"/>
      <c r="CL48" s="255"/>
      <c r="CM48" s="255"/>
      <c r="CN48" s="10"/>
      <c r="CO48" s="10"/>
      <c r="DQ48" s="188" t="s">
        <v>186</v>
      </c>
    </row>
    <row r="49" spans="55:121" x14ac:dyDescent="0.25">
      <c r="BC49" s="219"/>
      <c r="BD49" s="219"/>
      <c r="BE49" s="219"/>
      <c r="BF49" s="219"/>
      <c r="BG49" s="219"/>
      <c r="BH49" s="219"/>
      <c r="BI49" s="219"/>
      <c r="BJ49" s="219"/>
      <c r="BK49" s="257">
        <f>(47.5*85*0.3)*CC75*CF75*(BU59*2/2)</f>
        <v>6.2936549999999993</v>
      </c>
      <c r="BL49" s="219"/>
      <c r="BM49" s="219"/>
      <c r="BN49" s="219"/>
      <c r="BO49" s="219"/>
      <c r="BP49" s="219"/>
      <c r="BQ49" s="219"/>
      <c r="BR49" s="219"/>
      <c r="BS49" s="219"/>
      <c r="BT49" s="219"/>
      <c r="BU49" s="219"/>
      <c r="BV49" s="219"/>
      <c r="BW49" s="219"/>
      <c r="BX49" s="219"/>
      <c r="BY49" s="219"/>
      <c r="BZ49" s="273">
        <v>673.44</v>
      </c>
      <c r="CA49" s="255"/>
      <c r="CB49" s="255"/>
      <c r="CC49" s="255"/>
      <c r="CD49" s="255"/>
      <c r="CE49" s="255"/>
      <c r="CF49" s="255"/>
      <c r="CG49" s="509" t="s">
        <v>61</v>
      </c>
      <c r="CH49" s="509"/>
      <c r="CI49" s="255"/>
      <c r="CJ49" s="255"/>
      <c r="CK49" s="255"/>
      <c r="CL49" s="255"/>
      <c r="CM49" s="255"/>
      <c r="CN49" s="10"/>
      <c r="CO49" s="10"/>
      <c r="DD49" s="187" t="s">
        <v>230</v>
      </c>
      <c r="DQ49" s="188" t="s">
        <v>212</v>
      </c>
    </row>
    <row r="50" spans="55:121" x14ac:dyDescent="0.25">
      <c r="BC50" s="219"/>
      <c r="BD50" s="219"/>
      <c r="BE50" s="219"/>
      <c r="BF50" s="472" t="s">
        <v>53</v>
      </c>
      <c r="BG50" s="472"/>
      <c r="BH50" s="219"/>
      <c r="BI50" s="219"/>
      <c r="BJ50" s="219"/>
      <c r="BK50" s="231">
        <f>BI48+BI58</f>
        <v>0</v>
      </c>
      <c r="BL50" s="219"/>
      <c r="BM50" s="219"/>
      <c r="BN50" s="219"/>
      <c r="BO50" s="219"/>
      <c r="BP50" s="219"/>
      <c r="BQ50" s="219"/>
      <c r="BR50" s="219"/>
      <c r="BS50" s="219"/>
      <c r="BT50" s="219"/>
      <c r="BU50" s="219"/>
      <c r="BV50" s="219"/>
      <c r="BW50" s="499" t="s">
        <v>51</v>
      </c>
      <c r="BX50" s="500"/>
      <c r="BY50" s="219"/>
      <c r="BZ50" s="254" t="s">
        <v>62</v>
      </c>
      <c r="CA50" s="255"/>
      <c r="CB50" s="255"/>
      <c r="CC50" s="221">
        <f>CA48+CA38-CH52</f>
        <v>2.9509617859201143E-2</v>
      </c>
      <c r="CD50" s="255"/>
      <c r="CE50" s="255"/>
      <c r="CF50" s="255"/>
      <c r="CG50" s="509"/>
      <c r="CH50" s="509"/>
      <c r="CI50" s="255"/>
      <c r="CJ50" s="255"/>
      <c r="CK50" s="255"/>
      <c r="CL50" s="255"/>
      <c r="CM50" s="255"/>
      <c r="CN50" s="10"/>
      <c r="CO50" s="10"/>
      <c r="DD50" s="187" t="s">
        <v>231</v>
      </c>
      <c r="DK50">
        <v>200.55935174287677</v>
      </c>
      <c r="DL50">
        <v>707.87200623879335</v>
      </c>
      <c r="DM50" t="s">
        <v>245</v>
      </c>
      <c r="DQ50" s="188" t="s">
        <v>206</v>
      </c>
    </row>
    <row r="51" spans="55:121" ht="15" customHeight="1" x14ac:dyDescent="0.25">
      <c r="BC51" s="219"/>
      <c r="BD51" s="219"/>
      <c r="BE51" s="219"/>
      <c r="BF51" s="472"/>
      <c r="BG51" s="472"/>
      <c r="BH51" s="219"/>
      <c r="BI51" s="219"/>
      <c r="BJ51" s="219"/>
      <c r="BK51" s="227" t="s">
        <v>34</v>
      </c>
      <c r="BL51" s="219"/>
      <c r="BM51" s="219"/>
      <c r="BN51" s="472" t="s">
        <v>48</v>
      </c>
      <c r="BO51" s="472"/>
      <c r="BP51" s="219"/>
      <c r="BQ51" s="219"/>
      <c r="BR51" s="219"/>
      <c r="BS51" s="219"/>
      <c r="BT51" s="219"/>
      <c r="BU51" s="219"/>
      <c r="BV51" s="219"/>
      <c r="BW51" s="501" t="str">
        <f>BZ56</f>
        <v>Hilo bolsa espuma</v>
      </c>
      <c r="BX51" s="502"/>
      <c r="BY51" s="219"/>
      <c r="BZ51" s="255"/>
      <c r="CA51" s="255"/>
      <c r="CB51" s="255"/>
      <c r="CC51" s="255"/>
      <c r="CD51" s="255"/>
      <c r="CE51" s="255"/>
      <c r="CF51" s="255"/>
      <c r="CG51" s="265" t="s">
        <v>4</v>
      </c>
      <c r="CH51" s="265" t="s">
        <v>1</v>
      </c>
      <c r="CI51" s="255"/>
      <c r="CJ51" s="255"/>
      <c r="CK51" s="255"/>
      <c r="CL51" s="255"/>
      <c r="CM51" s="255"/>
      <c r="CN51" s="10"/>
      <c r="CO51" s="10"/>
      <c r="CP51" s="10"/>
      <c r="CQ51" s="10"/>
      <c r="DK51" t="s">
        <v>246</v>
      </c>
      <c r="DL51" t="s">
        <v>139</v>
      </c>
      <c r="DQ51" s="188" t="s">
        <v>55</v>
      </c>
    </row>
    <row r="52" spans="55:121" x14ac:dyDescent="0.25">
      <c r="BC52" s="219"/>
      <c r="BD52" s="219"/>
      <c r="BE52" s="219"/>
      <c r="BF52" s="100" t="s">
        <v>50</v>
      </c>
      <c r="BG52" s="100" t="s">
        <v>1</v>
      </c>
      <c r="BH52" s="100" t="s">
        <v>42</v>
      </c>
      <c r="BI52" s="219"/>
      <c r="BJ52" s="219"/>
      <c r="BK52" s="29" t="s">
        <v>71</v>
      </c>
      <c r="BL52" s="219"/>
      <c r="BM52" s="219"/>
      <c r="BN52" s="472"/>
      <c r="BO52" s="472"/>
      <c r="BP52" s="219"/>
      <c r="BQ52" s="219"/>
      <c r="BR52" s="219"/>
      <c r="BS52" s="219"/>
      <c r="BT52" s="219"/>
      <c r="BU52" s="219"/>
      <c r="BV52" s="219"/>
      <c r="BW52" s="256">
        <f>CA59</f>
        <v>7.3774044648000012E-2</v>
      </c>
      <c r="BX52" s="230" t="s">
        <v>18</v>
      </c>
      <c r="BY52" s="219"/>
      <c r="BZ52" s="255"/>
      <c r="CA52" s="255"/>
      <c r="CB52" s="255"/>
      <c r="CC52" s="255"/>
      <c r="CD52" s="255"/>
      <c r="CE52" s="255"/>
      <c r="CF52" s="255"/>
      <c r="CG52" s="265">
        <f>CL55</f>
        <v>433</v>
      </c>
      <c r="CH52" s="255">
        <f>CG52*(CH78+CH77)</f>
        <v>31.372730785728002</v>
      </c>
      <c r="CI52" s="255"/>
      <c r="CJ52" s="255"/>
      <c r="CK52" s="255"/>
      <c r="CL52" s="255"/>
      <c r="CM52" s="255"/>
      <c r="CN52" s="10"/>
      <c r="CO52" s="10"/>
      <c r="CP52" s="10"/>
      <c r="CQ52" s="10"/>
    </row>
    <row r="53" spans="55:121" x14ac:dyDescent="0.25">
      <c r="BC53" s="219"/>
      <c r="BD53" s="219"/>
      <c r="BE53" s="219"/>
      <c r="BF53" s="100">
        <f>BV74*2*BM58</f>
        <v>0</v>
      </c>
      <c r="BG53" s="230">
        <f>CA74*BM58</f>
        <v>0</v>
      </c>
      <c r="BH53" s="100"/>
      <c r="BI53" s="219"/>
      <c r="BJ53" s="219"/>
      <c r="BK53" s="220" t="s">
        <v>35</v>
      </c>
      <c r="BL53" s="219"/>
      <c r="BM53" s="219"/>
      <c r="BN53" s="100" t="s">
        <v>50</v>
      </c>
      <c r="BO53" s="100" t="s">
        <v>1</v>
      </c>
      <c r="BP53" s="100" t="s">
        <v>42</v>
      </c>
      <c r="BQ53" s="231" t="s">
        <v>36</v>
      </c>
      <c r="BR53" s="219"/>
      <c r="BS53" s="219"/>
      <c r="BT53" s="219"/>
      <c r="BU53" s="219"/>
      <c r="BV53" s="219"/>
      <c r="BW53" s="256">
        <f>BZ59</f>
        <v>950.86800000000005</v>
      </c>
      <c r="BX53" s="230" t="s">
        <v>16</v>
      </c>
      <c r="BY53" s="219"/>
      <c r="BZ53" s="255"/>
      <c r="CA53" s="255"/>
      <c r="CB53" s="255"/>
      <c r="CC53" s="255"/>
      <c r="CD53" s="255"/>
      <c r="CE53" s="255"/>
      <c r="CF53" s="255"/>
      <c r="CG53" s="255"/>
      <c r="CH53" s="255"/>
      <c r="CI53" s="255"/>
      <c r="CJ53" s="255">
        <f>CH52+CH58</f>
        <v>130.68641567037602</v>
      </c>
      <c r="CK53" s="255"/>
      <c r="CL53" s="421" t="s">
        <v>52</v>
      </c>
      <c r="CM53" s="421"/>
      <c r="CN53" s="10"/>
      <c r="CO53" s="10"/>
      <c r="CP53" s="10"/>
      <c r="CQ53" s="10"/>
    </row>
    <row r="54" spans="55:121" ht="18.75" customHeight="1" x14ac:dyDescent="0.25">
      <c r="BC54" s="219"/>
      <c r="BD54" s="219"/>
      <c r="BE54" s="219"/>
      <c r="BF54" s="504" t="s">
        <v>55</v>
      </c>
      <c r="BG54" s="220">
        <f>(47.5*210*0.3)*CC75*(BU59*2/2)</f>
        <v>1.2957524999999999</v>
      </c>
      <c r="BH54" s="219" t="s">
        <v>70</v>
      </c>
      <c r="BI54" s="219"/>
      <c r="BJ54" s="219"/>
      <c r="BK54" s="231">
        <f>BO54</f>
        <v>9.255374999999999</v>
      </c>
      <c r="BL54" s="219"/>
      <c r="BM54" s="219"/>
      <c r="BN54" s="100">
        <f>CD75*2*BU59</f>
        <v>0.77128124999999992</v>
      </c>
      <c r="BO54" s="230">
        <f>CI75*BU59</f>
        <v>9.255374999999999</v>
      </c>
      <c r="BP54" s="100"/>
      <c r="BQ54" s="233">
        <v>1E-4</v>
      </c>
      <c r="BR54" s="219"/>
      <c r="BS54" s="219"/>
      <c r="BT54" s="219"/>
      <c r="BU54" s="219"/>
      <c r="BV54" s="219"/>
      <c r="BW54" s="219"/>
      <c r="BX54" s="219"/>
      <c r="BY54" s="219"/>
      <c r="BZ54" s="255"/>
      <c r="CA54" s="255"/>
      <c r="CB54" s="255"/>
      <c r="CC54" s="255"/>
      <c r="CD54" s="255"/>
      <c r="CE54" s="255"/>
      <c r="CF54" s="255"/>
      <c r="CG54" s="255"/>
      <c r="CH54" s="255"/>
      <c r="CI54" s="255"/>
      <c r="CJ54" s="268" t="s">
        <v>34</v>
      </c>
      <c r="CK54" s="255"/>
      <c r="CL54" s="506" t="s">
        <v>6</v>
      </c>
      <c r="CM54" s="506"/>
      <c r="CN54" s="200" t="s">
        <v>88</v>
      </c>
      <c r="CO54" s="10"/>
      <c r="CP54" s="10"/>
      <c r="CQ54" s="10"/>
    </row>
    <row r="55" spans="55:121" ht="22.5" customHeight="1" x14ac:dyDescent="0.25">
      <c r="BC55" s="219"/>
      <c r="BD55" s="219"/>
      <c r="BE55" s="219"/>
      <c r="BF55" s="505"/>
      <c r="BG55" s="220">
        <f>(47.5*210*0.3)*CC75*CF75*(BU59*2/2)</f>
        <v>15.549029999999998</v>
      </c>
      <c r="BH55" s="219" t="s">
        <v>68</v>
      </c>
      <c r="BI55" s="219"/>
      <c r="BJ55" s="219"/>
      <c r="BK55" s="232" t="s">
        <v>36</v>
      </c>
      <c r="BL55" s="219"/>
      <c r="BM55" s="219"/>
      <c r="BN55" s="219"/>
      <c r="BO55" s="219"/>
      <c r="BP55" s="219"/>
      <c r="BQ55" s="231">
        <f>BQ56+BQ56*BQ54</f>
        <v>12.641174831083999</v>
      </c>
      <c r="BR55" s="219"/>
      <c r="BS55" s="219"/>
      <c r="BT55" s="219"/>
      <c r="BU55" s="219"/>
      <c r="BV55" s="219"/>
      <c r="BW55" s="219"/>
      <c r="BX55" s="219"/>
      <c r="BY55" s="219"/>
      <c r="BZ55" s="255"/>
      <c r="CA55" s="255"/>
      <c r="CB55" s="255"/>
      <c r="CC55" s="255"/>
      <c r="CD55" s="255"/>
      <c r="CE55" s="255"/>
      <c r="CF55" s="255"/>
      <c r="CG55" s="255"/>
      <c r="CH55" s="255"/>
      <c r="CI55" s="255"/>
      <c r="CJ55" s="269" t="s">
        <v>3</v>
      </c>
      <c r="CK55" s="255"/>
      <c r="CL55" s="274">
        <v>433</v>
      </c>
      <c r="CM55" s="275" t="s">
        <v>27</v>
      </c>
      <c r="CN55" s="10"/>
      <c r="CO55" s="10"/>
      <c r="CP55" s="10"/>
      <c r="CQ55" s="10"/>
    </row>
    <row r="56" spans="55:121" x14ac:dyDescent="0.25">
      <c r="BC56" s="219"/>
      <c r="BD56" s="219"/>
      <c r="BE56" s="219"/>
      <c r="BF56" s="219"/>
      <c r="BG56" s="219"/>
      <c r="BH56" s="219"/>
      <c r="BI56" s="219"/>
      <c r="BJ56" s="219"/>
      <c r="BK56" s="276" t="s">
        <v>57</v>
      </c>
      <c r="BL56" s="219"/>
      <c r="BM56" s="219"/>
      <c r="BN56" s="219"/>
      <c r="BO56" s="219"/>
      <c r="BP56" s="219"/>
      <c r="BQ56" s="231">
        <f>BO54+BO64</f>
        <v>12.639910839999999</v>
      </c>
      <c r="BR56" s="219"/>
      <c r="BS56" s="219"/>
      <c r="BT56" s="219"/>
      <c r="BU56" s="472" t="s">
        <v>46</v>
      </c>
      <c r="BV56" s="472"/>
      <c r="BW56" s="219"/>
      <c r="BX56" s="219"/>
      <c r="BY56" s="219"/>
      <c r="BZ56" s="507" t="s">
        <v>31</v>
      </c>
      <c r="CA56" s="460"/>
      <c r="CB56" s="255"/>
      <c r="CC56" s="255"/>
      <c r="CD56" s="255"/>
      <c r="CE56" s="255"/>
      <c r="CF56" s="255"/>
      <c r="CG56" s="509" t="s">
        <v>0</v>
      </c>
      <c r="CH56" s="509"/>
      <c r="CI56" s="255"/>
      <c r="CJ56" s="254" t="s">
        <v>35</v>
      </c>
      <c r="CK56" s="255"/>
      <c r="CL56" s="275">
        <f>CL55*CI81</f>
        <v>130.68641567037602</v>
      </c>
      <c r="CM56" s="275" t="s">
        <v>28</v>
      </c>
      <c r="CN56" s="10"/>
      <c r="CO56" s="10"/>
      <c r="CP56" s="10"/>
      <c r="CQ56" s="10"/>
    </row>
    <row r="57" spans="55:121" x14ac:dyDescent="0.25">
      <c r="BC57" s="219"/>
      <c r="BD57" s="219"/>
      <c r="BE57" s="219"/>
      <c r="BF57" s="219"/>
      <c r="BG57" s="219"/>
      <c r="BH57" s="219"/>
      <c r="BI57" s="219"/>
      <c r="BJ57" s="219"/>
      <c r="BK57" s="276"/>
      <c r="BL57" s="219"/>
      <c r="BM57" s="219"/>
      <c r="BN57" s="219"/>
      <c r="BO57" s="219"/>
      <c r="BP57" s="219"/>
      <c r="BQ57" s="227" t="s">
        <v>34</v>
      </c>
      <c r="BR57" s="219"/>
      <c r="BS57" s="219"/>
      <c r="BT57" s="219"/>
      <c r="BU57" s="472"/>
      <c r="BV57" s="472"/>
      <c r="BW57" s="219"/>
      <c r="BX57" s="219"/>
      <c r="BY57" s="219"/>
      <c r="BZ57" s="508"/>
      <c r="CA57" s="462"/>
      <c r="CB57" s="255"/>
      <c r="CC57" s="255"/>
      <c r="CD57" s="255"/>
      <c r="CE57" s="255"/>
      <c r="CF57" s="255"/>
      <c r="CG57" s="265" t="s">
        <v>4</v>
      </c>
      <c r="CH57" s="265" t="s">
        <v>1</v>
      </c>
      <c r="CI57" s="255"/>
      <c r="CJ57" s="255">
        <f>CL56</f>
        <v>130.68641567037602</v>
      </c>
      <c r="CK57" s="255"/>
      <c r="CL57" s="255"/>
      <c r="CM57" s="255"/>
      <c r="CN57" s="10"/>
      <c r="CO57" s="10"/>
      <c r="CP57" s="10"/>
      <c r="CQ57" s="10"/>
    </row>
    <row r="58" spans="55:121" x14ac:dyDescent="0.25">
      <c r="BC58" s="219"/>
      <c r="BD58" s="219"/>
      <c r="BE58" s="219"/>
      <c r="BF58" s="219"/>
      <c r="BG58" s="219"/>
      <c r="BH58" s="219"/>
      <c r="BI58" s="219"/>
      <c r="BJ58" s="219"/>
      <c r="BK58" s="219"/>
      <c r="BL58" s="219"/>
      <c r="BM58" s="219"/>
      <c r="BN58" s="219"/>
      <c r="BO58" s="219"/>
      <c r="BP58" s="219"/>
      <c r="BQ58" s="29" t="s">
        <v>72</v>
      </c>
      <c r="BR58" s="219"/>
      <c r="BS58" s="219"/>
      <c r="BT58" s="219"/>
      <c r="BU58" s="100" t="s">
        <v>41</v>
      </c>
      <c r="BV58" s="100" t="s">
        <v>1</v>
      </c>
      <c r="BW58" s="100" t="s">
        <v>42</v>
      </c>
      <c r="BX58" s="231" t="s">
        <v>36</v>
      </c>
      <c r="BY58" s="219"/>
      <c r="BZ58" s="263" t="s">
        <v>30</v>
      </c>
      <c r="CA58" s="100" t="s">
        <v>1</v>
      </c>
      <c r="CB58" s="264" t="s">
        <v>42</v>
      </c>
      <c r="CC58" s="265" t="s">
        <v>36</v>
      </c>
      <c r="CD58" s="255"/>
      <c r="CE58" s="255"/>
      <c r="CF58" s="255"/>
      <c r="CG58" s="265">
        <f>CL55</f>
        <v>433</v>
      </c>
      <c r="CH58" s="255">
        <f>CG58*(CI75+CH79+CH76+CH74)</f>
        <v>99.313684884648012</v>
      </c>
      <c r="CI58" s="255"/>
      <c r="CJ58" s="270" t="s">
        <v>36</v>
      </c>
      <c r="CK58" s="255"/>
      <c r="CL58" s="255"/>
      <c r="CM58" s="255"/>
      <c r="CN58" s="10"/>
      <c r="CO58" s="10"/>
      <c r="CP58" s="10"/>
      <c r="CQ58" s="10"/>
    </row>
    <row r="59" spans="55:121" x14ac:dyDescent="0.25">
      <c r="BC59" s="219"/>
      <c r="BD59" s="219"/>
      <c r="BE59" s="219"/>
      <c r="BF59" s="219"/>
      <c r="BG59" s="219"/>
      <c r="BH59" s="219"/>
      <c r="BI59" s="219"/>
      <c r="BJ59" s="219"/>
      <c r="BK59" s="219"/>
      <c r="BL59" s="219"/>
      <c r="BM59" s="219"/>
      <c r="BN59" s="219"/>
      <c r="BO59" s="219"/>
      <c r="BP59" s="219"/>
      <c r="BQ59" s="220" t="s">
        <v>35</v>
      </c>
      <c r="BR59" s="219"/>
      <c r="BS59" s="219"/>
      <c r="BT59" s="219"/>
      <c r="BU59" s="100">
        <f>BZ69</f>
        <v>433</v>
      </c>
      <c r="BV59" s="230">
        <f>(CI75+CH79)*BU59</f>
        <v>12.639910839999999</v>
      </c>
      <c r="BW59" s="100"/>
      <c r="BX59" s="233">
        <v>1E-4</v>
      </c>
      <c r="BY59" s="219"/>
      <c r="BZ59" s="263">
        <f>CD76*CG58</f>
        <v>950.86800000000005</v>
      </c>
      <c r="CA59" s="230">
        <f>CH76*CG58</f>
        <v>7.3774044648000012E-2</v>
      </c>
      <c r="CB59" s="264">
        <f>IF(CC67&gt;0,CA59+CC67/2,CA59)</f>
        <v>7.8739728892233171E-2</v>
      </c>
      <c r="CC59" s="267">
        <v>1E-4</v>
      </c>
      <c r="CD59" s="255"/>
      <c r="CE59" s="255"/>
      <c r="CF59" s="255"/>
      <c r="CG59" s="255"/>
      <c r="CH59" s="255"/>
      <c r="CI59" s="255"/>
      <c r="CJ59" s="265">
        <f>CJ53-CJ57</f>
        <v>0</v>
      </c>
      <c r="CK59" s="255"/>
      <c r="CL59" s="255"/>
      <c r="CM59" s="255"/>
      <c r="CN59" s="10"/>
      <c r="CO59" s="10"/>
      <c r="CP59" s="10"/>
      <c r="CQ59" s="10"/>
    </row>
    <row r="60" spans="55:121" x14ac:dyDescent="0.25">
      <c r="BC60" s="219"/>
      <c r="BD60" s="219"/>
      <c r="BE60" s="219"/>
      <c r="BF60" s="219"/>
      <c r="BG60" s="277" t="s">
        <v>58</v>
      </c>
      <c r="BH60" s="277"/>
      <c r="BI60" s="219"/>
      <c r="BJ60" s="219"/>
      <c r="BK60" s="278">
        <f>BG55-BO54</f>
        <v>6.2936549999999993</v>
      </c>
      <c r="BL60" s="219"/>
      <c r="BM60" s="219"/>
      <c r="BN60" s="219"/>
      <c r="BO60" s="219"/>
      <c r="BP60" s="219"/>
      <c r="BQ60" s="231">
        <f>BV59</f>
        <v>12.639910839999999</v>
      </c>
      <c r="BR60" s="219"/>
      <c r="BS60" s="219"/>
      <c r="BT60" s="219"/>
      <c r="BU60" s="219"/>
      <c r="BV60" s="219"/>
      <c r="BW60" s="219"/>
      <c r="BX60" s="231">
        <f>BX61+BX61*BX59</f>
        <v>99.249834831084002</v>
      </c>
      <c r="BY60" s="219"/>
      <c r="BZ60" s="255"/>
      <c r="CA60" s="255"/>
      <c r="CB60" s="255"/>
      <c r="CC60" s="265">
        <f>CC61+CC61*CC59</f>
        <v>99.323616253136478</v>
      </c>
      <c r="CD60" s="255"/>
      <c r="CE60" s="255"/>
      <c r="CF60" s="255"/>
      <c r="CG60" s="255"/>
      <c r="CH60" s="255"/>
      <c r="CI60" s="255"/>
      <c r="CJ60" s="235" t="s">
        <v>45</v>
      </c>
      <c r="CK60" s="255"/>
      <c r="CL60" s="255"/>
      <c r="CM60" s="255"/>
      <c r="CN60" s="10"/>
      <c r="CO60" s="10"/>
      <c r="CP60" s="10"/>
      <c r="CQ60" s="10"/>
    </row>
    <row r="61" spans="55:121" x14ac:dyDescent="0.25">
      <c r="BC61" s="219"/>
      <c r="BD61" s="219"/>
      <c r="BE61" s="219"/>
      <c r="BF61" s="219"/>
      <c r="BG61" s="279" t="s">
        <v>59</v>
      </c>
      <c r="BH61" s="230"/>
      <c r="BI61" s="219"/>
      <c r="BJ61" s="219"/>
      <c r="BK61" s="219"/>
      <c r="BL61" s="219"/>
      <c r="BM61" s="219"/>
      <c r="BN61" s="472" t="s">
        <v>49</v>
      </c>
      <c r="BO61" s="472"/>
      <c r="BP61" s="219"/>
      <c r="BQ61" s="232" t="s">
        <v>36</v>
      </c>
      <c r="BR61" s="219"/>
      <c r="BS61" s="219"/>
      <c r="BT61" s="219"/>
      <c r="BU61" s="219"/>
      <c r="BV61" s="219"/>
      <c r="BW61" s="219"/>
      <c r="BX61" s="231">
        <f>BV59+BV69</f>
        <v>99.239910840000007</v>
      </c>
      <c r="BY61" s="219"/>
      <c r="BZ61" s="255"/>
      <c r="CA61" s="255"/>
      <c r="CB61" s="255"/>
      <c r="CC61" s="265">
        <f>CA59+CA69</f>
        <v>99.313684884648012</v>
      </c>
      <c r="CD61" s="255"/>
      <c r="CE61" s="255"/>
      <c r="CF61" s="255"/>
      <c r="CG61" s="255"/>
      <c r="CH61" s="255"/>
      <c r="CI61" s="255"/>
      <c r="CJ61" s="255"/>
      <c r="CK61" s="255"/>
      <c r="CL61" s="255"/>
      <c r="CM61" s="255"/>
      <c r="CN61" s="10"/>
      <c r="CO61" s="10"/>
      <c r="CP61" s="10"/>
      <c r="CQ61" s="10"/>
    </row>
    <row r="62" spans="55:121" x14ac:dyDescent="0.25">
      <c r="BC62" s="219"/>
      <c r="BD62" s="219"/>
      <c r="BE62" s="219"/>
      <c r="BF62" s="219"/>
      <c r="BG62" s="256">
        <f>BK49</f>
        <v>6.2936549999999993</v>
      </c>
      <c r="BH62" s="230" t="s">
        <v>18</v>
      </c>
      <c r="BI62" s="219"/>
      <c r="BJ62" s="219"/>
      <c r="BK62" s="219"/>
      <c r="BL62" s="219"/>
      <c r="BM62" s="219"/>
      <c r="BN62" s="472"/>
      <c r="BO62" s="472"/>
      <c r="BP62" s="219"/>
      <c r="BQ62" s="280">
        <f>IF(BQ55=BQ56,BQ56-BQ60,BQ55-BQ60)</f>
        <v>1.2639910840004376E-3</v>
      </c>
      <c r="BR62" s="219"/>
      <c r="BS62" s="219"/>
      <c r="BT62" s="219"/>
      <c r="BU62" s="219"/>
      <c r="BV62" s="219"/>
      <c r="BW62" s="219"/>
      <c r="BX62" s="227" t="s">
        <v>34</v>
      </c>
      <c r="BY62" s="219"/>
      <c r="BZ62" s="255"/>
      <c r="CA62" s="255"/>
      <c r="CB62" s="255"/>
      <c r="CC62" s="268" t="s">
        <v>34</v>
      </c>
      <c r="CD62" s="255"/>
      <c r="CE62" s="255"/>
      <c r="CF62" s="255"/>
      <c r="CG62" s="255"/>
      <c r="CH62" s="255"/>
      <c r="CI62" s="255"/>
      <c r="CJ62" s="255"/>
      <c r="CK62" s="255"/>
      <c r="CL62" s="255"/>
      <c r="CM62" s="255"/>
      <c r="CN62" s="10"/>
      <c r="CO62" s="10"/>
      <c r="CP62" s="10"/>
      <c r="CQ62" s="10"/>
    </row>
    <row r="63" spans="55:121" x14ac:dyDescent="0.25">
      <c r="BC63" s="219"/>
      <c r="BD63" s="219"/>
      <c r="BE63" s="219"/>
      <c r="BF63" s="219"/>
      <c r="BG63" s="256">
        <f>BK49</f>
        <v>6.2936549999999993</v>
      </c>
      <c r="BH63" s="230" t="s">
        <v>18</v>
      </c>
      <c r="BI63" s="219"/>
      <c r="BJ63" s="219"/>
      <c r="BK63" s="219"/>
      <c r="BL63" s="219"/>
      <c r="BM63" s="219"/>
      <c r="BN63" s="100" t="s">
        <v>50</v>
      </c>
      <c r="BO63" s="100" t="s">
        <v>1</v>
      </c>
      <c r="BP63" s="100" t="s">
        <v>42</v>
      </c>
      <c r="BQ63" s="235" t="s">
        <v>45</v>
      </c>
      <c r="BR63" s="219"/>
      <c r="BS63" s="219"/>
      <c r="BT63" s="219"/>
      <c r="BU63" s="219"/>
      <c r="BV63" s="219"/>
      <c r="BW63" s="219"/>
      <c r="BX63" s="29" t="s">
        <v>44</v>
      </c>
      <c r="BY63" s="219"/>
      <c r="BZ63" s="255"/>
      <c r="CA63" s="255"/>
      <c r="CB63" s="255"/>
      <c r="CC63" s="269" t="s">
        <v>29</v>
      </c>
      <c r="CD63" s="255"/>
      <c r="CE63" s="255"/>
      <c r="CF63" s="255"/>
      <c r="CG63" s="255"/>
      <c r="CH63" s="255"/>
      <c r="CI63" s="255"/>
      <c r="CJ63" s="255"/>
      <c r="CK63" s="255"/>
      <c r="CL63" s="255"/>
      <c r="CM63" s="255"/>
      <c r="CN63" s="10"/>
      <c r="CO63" s="10"/>
      <c r="CP63" s="10"/>
      <c r="CQ63" s="10"/>
    </row>
    <row r="64" spans="55:121" x14ac:dyDescent="0.25">
      <c r="BC64" s="219"/>
      <c r="BD64" s="219"/>
      <c r="BE64" s="219"/>
      <c r="BF64" s="219"/>
      <c r="BG64" s="219"/>
      <c r="BH64" s="219"/>
      <c r="BI64" s="219"/>
      <c r="BJ64" s="219"/>
      <c r="BK64" s="219"/>
      <c r="BL64" s="219"/>
      <c r="BM64" s="219"/>
      <c r="BN64" s="100">
        <f>BU59*CD79</f>
        <v>3.0309999999999998E-3</v>
      </c>
      <c r="BO64" s="230">
        <f>CH79*BU59</f>
        <v>3.3845358400000003</v>
      </c>
      <c r="BP64" s="100"/>
      <c r="BQ64" s="219"/>
      <c r="BR64" s="219"/>
      <c r="BS64" s="219"/>
      <c r="BT64" s="219"/>
      <c r="BU64" s="219"/>
      <c r="BV64" s="219"/>
      <c r="BW64" s="219"/>
      <c r="BX64" s="220" t="s">
        <v>35</v>
      </c>
      <c r="BY64" s="219"/>
      <c r="BZ64" s="255"/>
      <c r="CA64" s="255"/>
      <c r="CB64" s="255"/>
      <c r="CC64" s="254" t="s">
        <v>35</v>
      </c>
      <c r="CD64" s="255"/>
      <c r="CE64" s="255"/>
      <c r="CF64" s="255"/>
      <c r="CG64" s="255"/>
      <c r="CH64" s="255"/>
      <c r="CI64" s="255"/>
      <c r="CJ64" s="255"/>
      <c r="CK64" s="255"/>
      <c r="CL64" s="255"/>
      <c r="CM64" s="255"/>
      <c r="CN64" s="10"/>
      <c r="CO64" s="10"/>
    </row>
    <row r="65" spans="55:93" x14ac:dyDescent="0.25">
      <c r="BC65" s="219"/>
      <c r="BD65" s="219"/>
      <c r="BE65" s="219"/>
      <c r="BF65" s="219"/>
      <c r="BG65" s="219"/>
      <c r="BH65" s="219"/>
      <c r="BI65" s="219"/>
      <c r="BJ65" s="219"/>
      <c r="BK65" s="219"/>
      <c r="BL65" s="219"/>
      <c r="BM65" s="219"/>
      <c r="BN65" s="219"/>
      <c r="BO65" s="219"/>
      <c r="BP65" s="219"/>
      <c r="BQ65" s="219"/>
      <c r="BR65" s="219"/>
      <c r="BS65" s="219"/>
      <c r="BT65" s="219"/>
      <c r="BU65" s="219"/>
      <c r="BV65" s="219"/>
      <c r="BW65" s="219"/>
      <c r="BX65" s="231">
        <f>CA69</f>
        <v>99.239910840000007</v>
      </c>
      <c r="BY65" s="219"/>
      <c r="BZ65" s="255"/>
      <c r="CA65" s="255"/>
      <c r="CB65" s="255"/>
      <c r="CC65" s="255">
        <f>CH58</f>
        <v>99.313684884648012</v>
      </c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10"/>
      <c r="CO65" s="10"/>
    </row>
    <row r="66" spans="55:93" x14ac:dyDescent="0.25">
      <c r="BC66" s="219"/>
      <c r="BD66" s="219"/>
      <c r="BE66" s="219"/>
      <c r="BF66" s="219"/>
      <c r="BG66" s="219"/>
      <c r="BH66" s="219"/>
      <c r="BI66" s="219"/>
      <c r="BJ66" s="219"/>
      <c r="BK66" s="219"/>
      <c r="BL66" s="219"/>
      <c r="BM66" s="219"/>
      <c r="BN66" s="219"/>
      <c r="BO66" s="219"/>
      <c r="BP66" s="219"/>
      <c r="BQ66" s="278">
        <f>BO64+BO54-BV59</f>
        <v>0</v>
      </c>
      <c r="BR66" s="219"/>
      <c r="BS66" s="219"/>
      <c r="BT66" s="219"/>
      <c r="BU66" s="472" t="s">
        <v>47</v>
      </c>
      <c r="BV66" s="472"/>
      <c r="BW66" s="219"/>
      <c r="BX66" s="232" t="s">
        <v>36</v>
      </c>
      <c r="BY66" s="219"/>
      <c r="BZ66" s="487" t="s">
        <v>40</v>
      </c>
      <c r="CA66" s="472"/>
      <c r="CB66" s="255"/>
      <c r="CC66" s="270" t="s">
        <v>36</v>
      </c>
      <c r="CD66" s="255"/>
      <c r="CE66" s="255"/>
      <c r="CF66" s="255"/>
      <c r="CG66" s="255"/>
      <c r="CH66" s="255"/>
      <c r="CI66" s="255"/>
      <c r="CJ66" s="255"/>
      <c r="CK66" s="255"/>
      <c r="CL66" s="255"/>
      <c r="CM66" s="255"/>
      <c r="CN66" s="10"/>
      <c r="CO66" s="10"/>
    </row>
    <row r="67" spans="55:93" x14ac:dyDescent="0.25">
      <c r="BC67" s="219"/>
      <c r="BD67" s="219"/>
      <c r="BE67" s="219"/>
      <c r="BF67" s="219"/>
      <c r="BG67" s="219"/>
      <c r="BH67" s="219"/>
      <c r="BI67" s="219"/>
      <c r="BJ67" s="219"/>
      <c r="BK67" s="219"/>
      <c r="BL67" s="219"/>
      <c r="BM67" s="219"/>
      <c r="BN67" s="219"/>
      <c r="BO67" s="219"/>
      <c r="BP67" s="219"/>
      <c r="BQ67" s="219"/>
      <c r="BR67" s="219"/>
      <c r="BS67" s="219"/>
      <c r="BT67" s="219"/>
      <c r="BU67" s="472"/>
      <c r="BV67" s="472"/>
      <c r="BW67" s="219"/>
      <c r="BX67" s="280">
        <f>IF(BX60=BX61,BX61-BX65,BX60-BX65)</f>
        <v>9.9239910839941103E-3</v>
      </c>
      <c r="BY67" s="219"/>
      <c r="BZ67" s="487"/>
      <c r="CA67" s="472"/>
      <c r="CB67" s="255"/>
      <c r="CC67" s="281">
        <f>IF(CC60=CC61,CC61-CC65,CC60-CC65)</f>
        <v>9.9313684884663189E-3</v>
      </c>
      <c r="CD67" s="255"/>
      <c r="CE67" s="255"/>
      <c r="CF67" s="255"/>
      <c r="CG67" s="255"/>
      <c r="CH67" s="255"/>
      <c r="CI67" s="255"/>
      <c r="CJ67" s="255"/>
      <c r="CK67" s="255"/>
      <c r="CL67" s="255"/>
      <c r="CM67" s="255"/>
      <c r="CN67" s="10"/>
      <c r="CO67" s="10"/>
    </row>
    <row r="68" spans="55:93" x14ac:dyDescent="0.25">
      <c r="BC68" s="219"/>
      <c r="BD68" s="219"/>
      <c r="BE68" s="219"/>
      <c r="BF68" s="219"/>
      <c r="BG68" s="219"/>
      <c r="BH68" s="219"/>
      <c r="BI68" s="219"/>
      <c r="BJ68" s="219"/>
      <c r="BK68" s="219"/>
      <c r="BL68" s="219"/>
      <c r="BM68" s="219"/>
      <c r="BN68" s="219"/>
      <c r="BO68" s="219"/>
      <c r="BP68" s="219"/>
      <c r="BQ68" s="219"/>
      <c r="BR68" s="219"/>
      <c r="BS68" s="219"/>
      <c r="BT68" s="219"/>
      <c r="BU68" s="100" t="s">
        <v>1</v>
      </c>
      <c r="BV68" s="100" t="s">
        <v>1</v>
      </c>
      <c r="BW68" s="100" t="s">
        <v>42</v>
      </c>
      <c r="BX68" s="235" t="s">
        <v>45</v>
      </c>
      <c r="BY68" s="219"/>
      <c r="BZ68" s="263" t="s">
        <v>41</v>
      </c>
      <c r="CA68" s="100" t="s">
        <v>1</v>
      </c>
      <c r="CB68" s="264" t="s">
        <v>42</v>
      </c>
      <c r="CC68" s="235" t="s">
        <v>45</v>
      </c>
      <c r="CD68" s="255"/>
      <c r="CE68" s="255"/>
      <c r="CF68" s="255"/>
      <c r="CG68" s="255"/>
      <c r="CH68" s="255"/>
      <c r="CI68" s="255"/>
      <c r="CJ68" s="255"/>
      <c r="CK68" s="255"/>
      <c r="CL68" s="255"/>
      <c r="CM68" s="255"/>
      <c r="CN68" s="10"/>
      <c r="CO68" s="10"/>
    </row>
    <row r="69" spans="55:93" x14ac:dyDescent="0.25">
      <c r="BC69" s="219"/>
      <c r="BD69" s="219"/>
      <c r="BE69" s="219"/>
      <c r="BF69" s="219"/>
      <c r="BG69" s="219"/>
      <c r="BH69" s="219"/>
      <c r="BI69" s="219"/>
      <c r="BJ69" s="219"/>
      <c r="BK69" s="277" t="s">
        <v>51</v>
      </c>
      <c r="BL69" s="277"/>
      <c r="BM69" s="219"/>
      <c r="BN69" s="219"/>
      <c r="BO69" s="219"/>
      <c r="BP69" s="219"/>
      <c r="BQ69" s="219"/>
      <c r="BR69" s="219"/>
      <c r="BS69" s="219"/>
      <c r="BT69" s="219"/>
      <c r="BU69" s="100">
        <f>CH74*BZ69</f>
        <v>86.600000000000009</v>
      </c>
      <c r="BV69" s="230">
        <f>CH74*BU59</f>
        <v>86.600000000000009</v>
      </c>
      <c r="BW69" s="100"/>
      <c r="BX69" s="219"/>
      <c r="BY69" s="219"/>
      <c r="BZ69" s="94">
        <f>CG58</f>
        <v>433</v>
      </c>
      <c r="CA69" s="282">
        <f>(CH74+CI75+CH79)*BZ69</f>
        <v>99.239910840000007</v>
      </c>
      <c r="CB69" s="283">
        <f>IF(CC67&gt;0,CA69+CC67/2,CA69)</f>
        <v>99.244876524244233</v>
      </c>
      <c r="CC69" s="241"/>
      <c r="CD69" s="255"/>
      <c r="CE69" s="255"/>
      <c r="CF69" s="255"/>
      <c r="CG69" s="255"/>
      <c r="CH69" s="255"/>
      <c r="CI69" s="255"/>
      <c r="CJ69" s="255"/>
      <c r="CK69" s="255"/>
      <c r="CL69" s="255"/>
      <c r="CM69" s="255"/>
      <c r="CN69" s="10"/>
      <c r="CO69" s="10"/>
    </row>
    <row r="70" spans="55:93" x14ac:dyDescent="0.25">
      <c r="BC70" s="219"/>
      <c r="BD70" s="219"/>
      <c r="BE70" s="219"/>
      <c r="BF70" s="219"/>
      <c r="BG70" s="219"/>
      <c r="BH70" s="219"/>
      <c r="BI70" s="219"/>
      <c r="BJ70" s="219"/>
      <c r="BK70" s="279" t="str">
        <f>BN61</f>
        <v>Pegamento poliuterano</v>
      </c>
      <c r="BL70" s="230"/>
      <c r="BM70" s="219"/>
      <c r="BN70" s="219"/>
      <c r="BO70" s="219"/>
      <c r="BP70" s="219"/>
      <c r="BQ70" s="219"/>
      <c r="BR70" s="219"/>
      <c r="BS70" s="219"/>
      <c r="BT70" s="219"/>
      <c r="BU70" s="219"/>
      <c r="BV70" s="219"/>
      <c r="BW70" s="219"/>
      <c r="BX70" s="219"/>
      <c r="BY70" s="219"/>
      <c r="BZ70" s="219"/>
      <c r="CA70" s="219"/>
      <c r="CB70" s="219"/>
      <c r="CC70" s="219"/>
      <c r="CD70" s="219"/>
      <c r="CE70" s="219"/>
      <c r="CF70" s="219"/>
      <c r="CG70" s="219"/>
      <c r="CH70" s="219"/>
      <c r="CI70" s="219"/>
      <c r="CJ70" s="219"/>
      <c r="CK70" s="219"/>
      <c r="CL70" s="219"/>
      <c r="CM70" s="219"/>
    </row>
    <row r="71" spans="55:93" x14ac:dyDescent="0.25">
      <c r="BC71" s="219"/>
      <c r="BD71" s="219"/>
      <c r="BE71" s="219"/>
      <c r="BF71" s="219"/>
      <c r="BG71" s="219"/>
      <c r="BH71" s="219"/>
      <c r="BI71" s="219"/>
      <c r="BJ71" s="219"/>
      <c r="BK71" s="256">
        <f>BO64</f>
        <v>3.3845358400000003</v>
      </c>
      <c r="BL71" s="230" t="s">
        <v>18</v>
      </c>
      <c r="BM71" s="219"/>
      <c r="BN71" s="219"/>
      <c r="BO71" s="219"/>
      <c r="BP71" s="219"/>
      <c r="BQ71" s="219"/>
      <c r="BR71" s="219"/>
      <c r="BS71" s="219"/>
      <c r="BT71" s="219"/>
      <c r="BU71" s="219"/>
      <c r="BV71" s="219"/>
      <c r="BW71" s="219"/>
      <c r="BX71" s="278">
        <f>BV69+BV59-CA69</f>
        <v>0</v>
      </c>
      <c r="BY71" s="219"/>
      <c r="BZ71" s="219"/>
      <c r="CA71" s="219"/>
      <c r="CB71" s="219"/>
      <c r="CC71" s="242">
        <f>CA69+CA59-CH58</f>
        <v>0</v>
      </c>
      <c r="CD71" s="219"/>
      <c r="CE71" s="219"/>
      <c r="CF71" s="219"/>
      <c r="CG71" s="219"/>
      <c r="CH71" s="219"/>
      <c r="CI71" s="219"/>
      <c r="CJ71" s="219"/>
      <c r="CK71" s="219"/>
      <c r="CL71" s="219"/>
      <c r="CM71" s="219"/>
    </row>
    <row r="72" spans="55:93" x14ac:dyDescent="0.25">
      <c r="BC72" s="219"/>
      <c r="BD72" s="219"/>
      <c r="BE72" s="219"/>
      <c r="BF72" s="219"/>
      <c r="BG72" s="219"/>
      <c r="BH72" s="219"/>
      <c r="BI72" s="219"/>
      <c r="BJ72" s="219"/>
      <c r="BK72" s="256">
        <f>BN64</f>
        <v>3.0309999999999998E-3</v>
      </c>
      <c r="BL72" s="230" t="s">
        <v>15</v>
      </c>
      <c r="BM72" s="219"/>
      <c r="BN72" s="219"/>
      <c r="BO72" s="219"/>
      <c r="BP72" s="219"/>
      <c r="BQ72" s="219"/>
      <c r="BR72" s="219"/>
      <c r="BS72" s="219"/>
      <c r="BT72" s="231" t="s">
        <v>36</v>
      </c>
      <c r="BU72" s="219"/>
      <c r="BV72" s="219"/>
      <c r="BW72" s="219"/>
      <c r="BX72" s="219"/>
      <c r="BY72" s="219"/>
      <c r="BZ72" s="219"/>
      <c r="CA72" s="219"/>
      <c r="CB72" s="219"/>
      <c r="CC72" s="219"/>
      <c r="CD72" s="219"/>
      <c r="CE72" s="219"/>
      <c r="CF72" s="219"/>
      <c r="CG72" s="219"/>
      <c r="CH72" s="219"/>
      <c r="CI72" s="219"/>
      <c r="CJ72" s="219"/>
      <c r="CK72" s="219"/>
      <c r="CL72" s="219"/>
      <c r="CM72" s="219"/>
    </row>
    <row r="73" spans="55:93" x14ac:dyDescent="0.25">
      <c r="BC73" s="219"/>
      <c r="BD73" s="219"/>
      <c r="BE73" s="219"/>
      <c r="BF73" s="219"/>
      <c r="BG73" s="219"/>
      <c r="BH73" s="219"/>
      <c r="BI73" s="219"/>
      <c r="BJ73" s="219"/>
      <c r="BK73" s="219"/>
      <c r="BL73" s="219"/>
      <c r="BM73" s="219"/>
      <c r="BN73" s="219"/>
      <c r="BO73" s="219"/>
      <c r="BP73" s="219"/>
      <c r="BQ73" s="219"/>
      <c r="BR73" s="219"/>
      <c r="BS73" s="219"/>
      <c r="BT73" s="233">
        <v>1E-4</v>
      </c>
      <c r="BU73" s="219"/>
      <c r="BV73" s="219"/>
      <c r="BW73" s="219"/>
      <c r="BX73" s="219"/>
      <c r="BY73" s="219"/>
      <c r="BZ73" s="219"/>
      <c r="CA73" s="498" t="s">
        <v>6</v>
      </c>
      <c r="CB73" s="498"/>
      <c r="CC73" s="230" t="s">
        <v>19</v>
      </c>
      <c r="CD73" s="100" t="s">
        <v>20</v>
      </c>
      <c r="CE73" s="100" t="s">
        <v>2</v>
      </c>
      <c r="CF73" s="100" t="s">
        <v>21</v>
      </c>
      <c r="CG73" s="100" t="s">
        <v>2</v>
      </c>
      <c r="CH73" s="100" t="s">
        <v>24</v>
      </c>
      <c r="CI73" s="219"/>
      <c r="CJ73" s="219"/>
      <c r="CK73" s="219"/>
      <c r="CL73" s="219"/>
      <c r="CM73" s="219"/>
    </row>
    <row r="74" spans="55:93" x14ac:dyDescent="0.25">
      <c r="BC74" s="219"/>
      <c r="BD74" s="219"/>
      <c r="BE74" s="219"/>
      <c r="BF74" s="219"/>
      <c r="BG74" s="219"/>
      <c r="BH74" s="219"/>
      <c r="BI74" s="219"/>
      <c r="BJ74" s="219"/>
      <c r="BK74" s="219"/>
      <c r="BL74" s="219"/>
      <c r="BM74" s="219"/>
      <c r="BN74" s="219"/>
      <c r="BO74" s="219"/>
      <c r="BP74" s="219"/>
      <c r="BQ74" s="219"/>
      <c r="BR74" s="219"/>
      <c r="BS74" s="219"/>
      <c r="BT74" s="231">
        <f>BT75+BT75*BT73</f>
        <v>6.2942843654999994</v>
      </c>
      <c r="BU74" s="219"/>
      <c r="BV74" s="219"/>
      <c r="BW74" s="219"/>
      <c r="BX74" s="219"/>
      <c r="BY74" s="219"/>
      <c r="BZ74" s="100" t="s">
        <v>8</v>
      </c>
      <c r="CA74" s="243">
        <v>200</v>
      </c>
      <c r="CB74" s="243" t="s">
        <v>5</v>
      </c>
      <c r="CC74" s="244">
        <f>1/1000</f>
        <v>1E-3</v>
      </c>
      <c r="CD74" s="244">
        <f t="shared" ref="CD74:CD79" si="0">CA74*CC74</f>
        <v>0.2</v>
      </c>
      <c r="CE74" s="244" t="s">
        <v>18</v>
      </c>
      <c r="CF74" s="244">
        <v>1</v>
      </c>
      <c r="CG74" s="244"/>
      <c r="CH74" s="245">
        <f>CF74*CD74</f>
        <v>0.2</v>
      </c>
      <c r="CI74" s="219"/>
      <c r="CJ74" s="219"/>
      <c r="CK74" s="219"/>
      <c r="CL74" s="219"/>
      <c r="CM74" s="219"/>
    </row>
    <row r="75" spans="55:93" x14ac:dyDescent="0.25">
      <c r="BC75" s="219"/>
      <c r="BD75" s="219"/>
      <c r="BE75" s="219"/>
      <c r="BF75" s="219"/>
      <c r="BG75" s="219"/>
      <c r="BH75" s="219"/>
      <c r="BI75" s="219"/>
      <c r="BJ75" s="219"/>
      <c r="BK75" s="219"/>
      <c r="BL75" s="219"/>
      <c r="BM75" s="219"/>
      <c r="BN75" s="219"/>
      <c r="BO75" s="219"/>
      <c r="BP75" s="219"/>
      <c r="BQ75" s="219"/>
      <c r="BR75" s="219"/>
      <c r="BS75" s="219"/>
      <c r="BT75" s="284">
        <f>BG62+AZ317</f>
        <v>6.2936549999999993</v>
      </c>
      <c r="BU75" s="219"/>
      <c r="BV75" s="219"/>
      <c r="BW75" s="219"/>
      <c r="BX75" s="219"/>
      <c r="BY75" s="219"/>
      <c r="BZ75" s="100" t="s">
        <v>7</v>
      </c>
      <c r="CA75" s="243">
        <f>47.5*62.5*0.3</f>
        <v>890.625</v>
      </c>
      <c r="CB75" s="243" t="s">
        <v>26</v>
      </c>
      <c r="CC75" s="244">
        <f>1/1000000</f>
        <v>9.9999999999999995E-7</v>
      </c>
      <c r="CD75" s="244">
        <f t="shared" si="0"/>
        <v>8.9062499999999992E-4</v>
      </c>
      <c r="CE75" s="244" t="s">
        <v>15</v>
      </c>
      <c r="CF75" s="244">
        <v>12</v>
      </c>
      <c r="CG75" s="244" t="s">
        <v>13</v>
      </c>
      <c r="CH75" s="244">
        <f>CF75*CD75</f>
        <v>1.0687499999999999E-2</v>
      </c>
      <c r="CI75" s="230">
        <f>CH75*2</f>
        <v>2.1374999999999998E-2</v>
      </c>
      <c r="CJ75" s="219"/>
      <c r="CK75" s="219"/>
      <c r="CL75" s="219"/>
      <c r="CM75" s="219"/>
    </row>
    <row r="76" spans="55:93" x14ac:dyDescent="0.25">
      <c r="BC76" s="219"/>
      <c r="BD76" s="219"/>
      <c r="BE76" s="219"/>
      <c r="BF76" s="219"/>
      <c r="BG76" s="219"/>
      <c r="BH76" s="219"/>
      <c r="BI76" s="219"/>
      <c r="BJ76" s="219"/>
      <c r="BK76" s="219"/>
      <c r="BL76" s="219"/>
      <c r="BM76" s="219"/>
      <c r="BN76" s="219"/>
      <c r="BO76" s="219"/>
      <c r="BP76" s="219"/>
      <c r="BQ76" s="219"/>
      <c r="BR76" s="219"/>
      <c r="BS76" s="219"/>
      <c r="BT76" s="227" t="s">
        <v>34</v>
      </c>
      <c r="BU76" s="219"/>
      <c r="BV76" s="219"/>
      <c r="BW76" s="219"/>
      <c r="BX76" s="219"/>
      <c r="BY76" s="219"/>
      <c r="BZ76" s="100" t="s">
        <v>32</v>
      </c>
      <c r="CA76" s="243">
        <v>219.6</v>
      </c>
      <c r="CB76" s="243" t="s">
        <v>10</v>
      </c>
      <c r="CC76" s="244">
        <f>1/100</f>
        <v>0.01</v>
      </c>
      <c r="CD76" s="244">
        <f t="shared" si="0"/>
        <v>2.1960000000000002</v>
      </c>
      <c r="CE76" s="244" t="s">
        <v>16</v>
      </c>
      <c r="CF76" s="244">
        <v>7.7585999999999999E-5</v>
      </c>
      <c r="CG76" s="244" t="s">
        <v>22</v>
      </c>
      <c r="CH76" s="285">
        <f t="shared" ref="CH76:CH79" si="1">CF76*CD76</f>
        <v>1.7037885600000002E-4</v>
      </c>
      <c r="CI76" s="219"/>
      <c r="CJ76" s="219"/>
      <c r="CK76" s="219"/>
      <c r="CL76" s="219"/>
      <c r="CM76" s="219"/>
    </row>
    <row r="77" spans="55:93" x14ac:dyDescent="0.25"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9" t="s">
        <v>56</v>
      </c>
      <c r="BU77" s="219"/>
      <c r="BV77" s="219"/>
      <c r="BW77" s="219"/>
      <c r="BX77" s="219"/>
      <c r="BY77" s="219"/>
      <c r="BZ77" s="100" t="s">
        <v>11</v>
      </c>
      <c r="CA77" s="243">
        <v>7200</v>
      </c>
      <c r="CB77" s="243" t="s">
        <v>9</v>
      </c>
      <c r="CC77" s="244">
        <f>0.0001</f>
        <v>1E-4</v>
      </c>
      <c r="CD77" s="244">
        <f t="shared" si="0"/>
        <v>0.72000000000000008</v>
      </c>
      <c r="CE77" s="244" t="s">
        <v>17</v>
      </c>
      <c r="CF77" s="244">
        <v>0.1</v>
      </c>
      <c r="CG77" s="244" t="s">
        <v>23</v>
      </c>
      <c r="CH77" s="244">
        <f t="shared" si="1"/>
        <v>7.2000000000000008E-2</v>
      </c>
      <c r="CI77" s="219"/>
      <c r="CJ77" s="219"/>
      <c r="CK77" s="219"/>
      <c r="CL77" s="219"/>
      <c r="CM77" s="219"/>
    </row>
    <row r="78" spans="55:93" x14ac:dyDescent="0.25"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20" t="s">
        <v>35</v>
      </c>
      <c r="BU78" s="219"/>
      <c r="BV78" s="219"/>
      <c r="BW78" s="499" t="s">
        <v>51</v>
      </c>
      <c r="BX78" s="500"/>
      <c r="BY78" s="219"/>
      <c r="BZ78" s="100" t="s">
        <v>33</v>
      </c>
      <c r="CA78" s="243">
        <v>585.6</v>
      </c>
      <c r="CB78" s="243" t="s">
        <v>10</v>
      </c>
      <c r="CC78" s="244">
        <f>1/100</f>
        <v>0.01</v>
      </c>
      <c r="CD78" s="244">
        <f t="shared" si="0"/>
        <v>5.8560000000000008</v>
      </c>
      <c r="CE78" s="244" t="s">
        <v>16</v>
      </c>
      <c r="CF78" s="244">
        <v>7.7585999999999999E-5</v>
      </c>
      <c r="CG78" s="244" t="s">
        <v>22</v>
      </c>
      <c r="CH78" s="244">
        <f t="shared" si="1"/>
        <v>4.5434361600000004E-4</v>
      </c>
      <c r="CI78" s="219"/>
      <c r="CJ78" s="219"/>
      <c r="CK78" s="219"/>
      <c r="CL78" s="219"/>
      <c r="CM78" s="219"/>
    </row>
    <row r="79" spans="55:93" x14ac:dyDescent="0.25"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78">
        <f>BT75</f>
        <v>6.2936549999999993</v>
      </c>
      <c r="BU79" s="219"/>
      <c r="BV79" s="219"/>
      <c r="BW79" s="501" t="str">
        <f>BU66</f>
        <v>Espuma triturada</v>
      </c>
      <c r="BX79" s="502"/>
      <c r="BY79" s="219"/>
      <c r="BZ79" s="100" t="s">
        <v>12</v>
      </c>
      <c r="CA79" s="243">
        <v>7</v>
      </c>
      <c r="CB79" s="243" t="s">
        <v>14</v>
      </c>
      <c r="CC79" s="244">
        <f>1/1000000</f>
        <v>9.9999999999999995E-7</v>
      </c>
      <c r="CD79" s="244">
        <f t="shared" si="0"/>
        <v>6.9999999999999999E-6</v>
      </c>
      <c r="CE79" s="244" t="s">
        <v>15</v>
      </c>
      <c r="CF79" s="244">
        <v>1116.6400000000001</v>
      </c>
      <c r="CG79" s="244" t="s">
        <v>13</v>
      </c>
      <c r="CH79" s="244">
        <f t="shared" si="1"/>
        <v>7.8164800000000006E-3</v>
      </c>
      <c r="CI79" s="219"/>
      <c r="CJ79" s="219"/>
      <c r="CK79" s="219"/>
      <c r="CL79" s="219"/>
      <c r="CM79" s="219"/>
    </row>
    <row r="80" spans="55:93" x14ac:dyDescent="0.25">
      <c r="BC80" s="219"/>
      <c r="BD80" s="219"/>
      <c r="BE80" s="219"/>
      <c r="BF80" s="219"/>
      <c r="BG80" s="219"/>
      <c r="BH80" s="219"/>
      <c r="BI80" s="219"/>
      <c r="BJ80" s="219"/>
      <c r="BK80" s="219"/>
      <c r="BL80" s="219"/>
      <c r="BM80" s="219"/>
      <c r="BN80" s="219"/>
      <c r="BO80" s="219"/>
      <c r="BP80" s="219"/>
      <c r="BQ80" s="219"/>
      <c r="BR80" s="219"/>
      <c r="BS80" s="219"/>
      <c r="BT80" s="232" t="s">
        <v>36</v>
      </c>
      <c r="BU80" s="219"/>
      <c r="BV80" s="219"/>
      <c r="BW80" s="286">
        <f>IF(BV69-BT79&lt;0,0,BV69-BT79)</f>
        <v>80.306345000000007</v>
      </c>
      <c r="BX80" s="279" t="s">
        <v>18</v>
      </c>
      <c r="BY80" s="219"/>
      <c r="BZ80" s="219"/>
      <c r="CA80" s="219"/>
      <c r="CB80" s="219"/>
      <c r="CC80" s="219"/>
      <c r="CD80" s="219"/>
      <c r="CE80" s="219"/>
      <c r="CF80" s="219"/>
      <c r="CG80" s="219"/>
      <c r="CH80" s="219"/>
      <c r="CI80" s="503" t="s">
        <v>25</v>
      </c>
      <c r="CJ80" s="503"/>
      <c r="CK80" s="219"/>
      <c r="CL80" s="219"/>
      <c r="CM80" s="219"/>
    </row>
    <row r="81" spans="55:91" x14ac:dyDescent="0.25">
      <c r="BC81" s="219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80">
        <f>IF(BT74=BT75,BT75-BT79,BT74-BT79)</f>
        <v>6.2936550000003422E-4</v>
      </c>
      <c r="BU81" s="219"/>
      <c r="BV81" s="219"/>
      <c r="BW81" s="286">
        <f>IF(BV69-BT79&lt;0,0,BV69-BT79)</f>
        <v>80.306345000000007</v>
      </c>
      <c r="BX81" s="279" t="s">
        <v>18</v>
      </c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30">
        <f>CH74+CI75+CH76+CH77+CH78+CH79</f>
        <v>0.30181620247200003</v>
      </c>
      <c r="CJ81" s="230" t="s">
        <v>18</v>
      </c>
      <c r="CK81" s="219"/>
      <c r="CL81" s="219"/>
      <c r="CM81" s="219"/>
    </row>
    <row r="82" spans="55:91" x14ac:dyDescent="0.25">
      <c r="BC82" s="219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35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</row>
    <row r="83" spans="55:91" x14ac:dyDescent="0.25"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87" t="s">
        <v>233</v>
      </c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</row>
    <row r="84" spans="55:91" x14ac:dyDescent="0.25">
      <c r="BC84" s="219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88">
        <f>BT79-BV69</f>
        <v>-80.306345000000007</v>
      </c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</row>
    <row r="85" spans="55:91" x14ac:dyDescent="0.25">
      <c r="BC85" s="219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</row>
    <row r="86" spans="55:91" x14ac:dyDescent="0.25"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</row>
    <row r="87" spans="55:91" x14ac:dyDescent="0.25"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</row>
    <row r="88" spans="55:91" x14ac:dyDescent="0.25">
      <c r="BC88" s="219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</row>
    <row r="89" spans="55:91" x14ac:dyDescent="0.25">
      <c r="BC89" s="219"/>
      <c r="BD89" s="219"/>
      <c r="BE89" s="219"/>
      <c r="BF89" s="219"/>
      <c r="BG89" s="219"/>
      <c r="BH89" s="219"/>
      <c r="BI89" s="219"/>
      <c r="BJ89" s="219"/>
      <c r="BK89" s="219"/>
      <c r="BL89" s="219"/>
      <c r="BM89" s="219"/>
      <c r="BN89" s="219"/>
      <c r="BO89" s="219"/>
      <c r="BP89" s="219"/>
      <c r="BQ89" s="219"/>
      <c r="BR89" s="219"/>
      <c r="BS89" s="219"/>
      <c r="BT89" s="219"/>
      <c r="BU89" s="219"/>
      <c r="BV89" s="219"/>
      <c r="BW89" s="219"/>
      <c r="BX89" s="219"/>
      <c r="BY89" s="219"/>
      <c r="BZ89" s="219"/>
      <c r="CA89" s="219"/>
      <c r="CB89" s="219"/>
      <c r="CC89" s="219"/>
      <c r="CD89" s="219"/>
      <c r="CE89" s="219"/>
      <c r="CF89" s="219"/>
      <c r="CG89" s="219"/>
      <c r="CH89" s="219"/>
      <c r="CI89" s="219"/>
      <c r="CJ89" s="219"/>
      <c r="CK89" s="219"/>
      <c r="CL89" s="219"/>
      <c r="CM89" s="219"/>
    </row>
    <row r="90" spans="55:91" x14ac:dyDescent="0.25"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19"/>
      <c r="BX90" s="219"/>
      <c r="BY90" s="219"/>
      <c r="BZ90" s="219"/>
      <c r="CA90" s="219"/>
      <c r="CB90" s="219"/>
      <c r="CC90" s="219"/>
      <c r="CD90" s="219"/>
      <c r="CE90" s="219"/>
      <c r="CF90" s="219"/>
      <c r="CG90" s="219"/>
      <c r="CH90" s="219"/>
      <c r="CI90" s="219"/>
      <c r="CJ90" s="219"/>
      <c r="CK90" s="219"/>
      <c r="CL90" s="219"/>
      <c r="CM90" s="219"/>
    </row>
    <row r="110" spans="88:89" x14ac:dyDescent="0.25">
      <c r="CJ110" s="10"/>
      <c r="CK110" s="10"/>
    </row>
    <row r="111" spans="88:89" x14ac:dyDescent="0.25">
      <c r="CJ111" s="10"/>
      <c r="CK111" s="10"/>
    </row>
    <row r="112" spans="88:89" x14ac:dyDescent="0.25">
      <c r="CJ112" s="10"/>
      <c r="CK112" s="10"/>
    </row>
    <row r="114" spans="65:92" x14ac:dyDescent="0.25">
      <c r="BQ114" s="18" t="s">
        <v>36</v>
      </c>
      <c r="CL114" s="416" t="s">
        <v>52</v>
      </c>
      <c r="CM114" s="416"/>
    </row>
    <row r="115" spans="65:92" ht="15.75" customHeight="1" thickBot="1" x14ac:dyDescent="0.3">
      <c r="BQ115" s="19">
        <v>1E-4</v>
      </c>
      <c r="CL115" s="436" t="s">
        <v>90</v>
      </c>
      <c r="CM115" s="417"/>
      <c r="CN115" s="200" t="s">
        <v>37</v>
      </c>
    </row>
    <row r="116" spans="65:92" x14ac:dyDescent="0.25">
      <c r="BQ116" s="18"/>
      <c r="BZ116" s="478" t="s">
        <v>105</v>
      </c>
      <c r="CA116" s="479"/>
      <c r="CL116" s="202">
        <v>406</v>
      </c>
      <c r="CM116" s="4" t="s">
        <v>27</v>
      </c>
    </row>
    <row r="117" spans="65:92" x14ac:dyDescent="0.25">
      <c r="BQ117" s="1">
        <f>SUM(BO124:BO131)</f>
        <v>270.97674239999992</v>
      </c>
      <c r="BZ117" s="480"/>
      <c r="CA117" s="481"/>
      <c r="CG117" s="410" t="s">
        <v>95</v>
      </c>
      <c r="CH117" s="410"/>
      <c r="CL117" s="4">
        <f>CH119</f>
        <v>253.34399999999999</v>
      </c>
      <c r="CM117" s="4" t="s">
        <v>28</v>
      </c>
    </row>
    <row r="118" spans="65:92" x14ac:dyDescent="0.25">
      <c r="BQ118" s="13" t="s">
        <v>34</v>
      </c>
      <c r="BZ118" s="480"/>
      <c r="CA118" s="481"/>
      <c r="CC118" s="1" t="s">
        <v>106</v>
      </c>
      <c r="CG118" s="101" t="s">
        <v>4</v>
      </c>
      <c r="CH118" s="101" t="s">
        <v>1</v>
      </c>
      <c r="CL118" s="14">
        <f>CL116*CI142-CL117</f>
        <v>22.008815504773168</v>
      </c>
    </row>
    <row r="119" spans="65:92" x14ac:dyDescent="0.25">
      <c r="BQ119" s="109" t="s">
        <v>119</v>
      </c>
      <c r="BX119" s="18" t="s">
        <v>36</v>
      </c>
      <c r="BZ119" s="480"/>
      <c r="CA119" s="481"/>
      <c r="CC119" s="18" t="s">
        <v>36</v>
      </c>
      <c r="CG119" s="101">
        <f>CL116</f>
        <v>406</v>
      </c>
      <c r="CH119" s="4">
        <f>CG119*(CH136)</f>
        <v>253.34399999999999</v>
      </c>
    </row>
    <row r="120" spans="65:92" x14ac:dyDescent="0.25">
      <c r="BQ120" s="14" t="s">
        <v>35</v>
      </c>
      <c r="BX120" s="19">
        <v>1E-4</v>
      </c>
      <c r="BZ120" s="480"/>
      <c r="CA120" s="481"/>
      <c r="CC120" s="19">
        <v>6.9599999999999995E-2</v>
      </c>
    </row>
    <row r="121" spans="65:92" ht="15.75" thickBot="1" x14ac:dyDescent="0.3">
      <c r="BQ121" s="1">
        <f>SUM(BW130:BW137)</f>
        <v>270.97674239999992</v>
      </c>
      <c r="BX121" s="18"/>
      <c r="BZ121" s="482"/>
      <c r="CA121" s="483"/>
      <c r="CC121" s="18">
        <f>CG119*CH136*CC120</f>
        <v>17.632742399999998</v>
      </c>
    </row>
    <row r="122" spans="65:92" x14ac:dyDescent="0.25">
      <c r="BN122" s="24" t="s">
        <v>51</v>
      </c>
      <c r="BO122" s="24"/>
      <c r="BQ122" s="15" t="s">
        <v>36</v>
      </c>
      <c r="BX122" s="1">
        <f>SUM(BW130:BW137)</f>
        <v>270.97674239999992</v>
      </c>
      <c r="CC122" s="1">
        <f>CA130</f>
        <v>270.97674239999998</v>
      </c>
    </row>
    <row r="123" spans="65:92" x14ac:dyDescent="0.25">
      <c r="BN123" s="475" t="s">
        <v>120</v>
      </c>
      <c r="BO123" s="476"/>
      <c r="BP123" s="101" t="s">
        <v>2</v>
      </c>
      <c r="BQ123" s="17">
        <f>IF(BQ116=BQ117,BQ117-BQ121,BQ116-BQ121)</f>
        <v>-270.97674239999992</v>
      </c>
      <c r="BX123" s="13" t="s">
        <v>34</v>
      </c>
      <c r="CC123" s="13" t="s">
        <v>34</v>
      </c>
    </row>
    <row r="124" spans="65:92" x14ac:dyDescent="0.25">
      <c r="BM124" s="477" t="s">
        <v>121</v>
      </c>
      <c r="BN124" s="12" t="str">
        <f>BU130</f>
        <v>Agua</v>
      </c>
      <c r="BO124" s="4">
        <f>BW130</f>
        <v>8.1293022719999986</v>
      </c>
      <c r="BP124" s="102" t="s">
        <v>18</v>
      </c>
      <c r="BQ124" s="28" t="s">
        <v>45</v>
      </c>
      <c r="BX124" s="109" t="s">
        <v>84</v>
      </c>
      <c r="CC124" s="109" t="s">
        <v>85</v>
      </c>
    </row>
    <row r="125" spans="65:92" x14ac:dyDescent="0.25">
      <c r="BM125" s="477"/>
      <c r="BN125" s="12" t="str">
        <f t="shared" ref="BN125:BN130" si="2">BU131</f>
        <v>Poliol</v>
      </c>
      <c r="BO125" s="4">
        <f t="shared" ref="BO125:BO131" si="3">BW131</f>
        <v>172.07023142399999</v>
      </c>
      <c r="BP125" s="102" t="s">
        <v>18</v>
      </c>
      <c r="BX125" s="14" t="s">
        <v>35</v>
      </c>
      <c r="CC125" s="14" t="s">
        <v>35</v>
      </c>
    </row>
    <row r="126" spans="65:92" x14ac:dyDescent="0.25">
      <c r="BM126" s="477"/>
      <c r="BN126" s="12" t="str">
        <f t="shared" si="2"/>
        <v>TDI</v>
      </c>
      <c r="BO126" s="4">
        <f t="shared" si="3"/>
        <v>88.067441279999997</v>
      </c>
      <c r="BP126" s="102" t="s">
        <v>18</v>
      </c>
      <c r="BX126" s="1">
        <f>CA130</f>
        <v>270.97674239999998</v>
      </c>
      <c r="CC126">
        <f>CH119</f>
        <v>253.34399999999999</v>
      </c>
      <c r="CM126" t="s">
        <v>91</v>
      </c>
    </row>
    <row r="127" spans="65:92" x14ac:dyDescent="0.25">
      <c r="BM127" s="477"/>
      <c r="BN127" s="12" t="str">
        <f t="shared" si="2"/>
        <v>Amina</v>
      </c>
      <c r="BO127" s="4">
        <f t="shared" si="3"/>
        <v>0.54195348479999994</v>
      </c>
      <c r="BP127" s="102" t="s">
        <v>18</v>
      </c>
      <c r="BQ127" s="21">
        <f>SUM(BO124:BO131)-SUM(BW130:BW137)</f>
        <v>0</v>
      </c>
      <c r="BU127" s="410" t="s">
        <v>107</v>
      </c>
      <c r="BV127" s="410"/>
      <c r="BX127" s="15" t="s">
        <v>36</v>
      </c>
      <c r="BZ127" s="410" t="s">
        <v>103</v>
      </c>
      <c r="CA127" s="410"/>
      <c r="CC127" s="15" t="s">
        <v>36</v>
      </c>
    </row>
    <row r="128" spans="65:92" x14ac:dyDescent="0.25">
      <c r="BM128" s="477"/>
      <c r="BN128" s="12" t="str">
        <f t="shared" si="2"/>
        <v>Estaño</v>
      </c>
      <c r="BO128" s="4">
        <f t="shared" si="3"/>
        <v>0.54195348479999994</v>
      </c>
      <c r="BP128" s="102" t="s">
        <v>18</v>
      </c>
      <c r="BU128" s="410"/>
      <c r="BV128" s="410"/>
      <c r="BX128" s="17">
        <f>IF(BX121=BX122,BX122-BX126,BX121-BX126)</f>
        <v>-270.97674239999998</v>
      </c>
      <c r="BZ128" s="410"/>
      <c r="CA128" s="410"/>
      <c r="CC128" s="17"/>
    </row>
    <row r="129" spans="65:88" x14ac:dyDescent="0.25">
      <c r="BM129" s="477"/>
      <c r="BN129" s="12" t="str">
        <f t="shared" si="2"/>
        <v>Siliciona</v>
      </c>
      <c r="BO129" s="4">
        <f t="shared" si="3"/>
        <v>0.54195348479999994</v>
      </c>
      <c r="BP129" s="102" t="s">
        <v>18</v>
      </c>
      <c r="BU129" s="101" t="s">
        <v>108</v>
      </c>
      <c r="BV129" s="101" t="s">
        <v>118</v>
      </c>
      <c r="BW129" s="101" t="s">
        <v>117</v>
      </c>
      <c r="BX129" s="28" t="s">
        <v>45</v>
      </c>
      <c r="BZ129" s="101" t="s">
        <v>50</v>
      </c>
      <c r="CA129" s="101" t="s">
        <v>1</v>
      </c>
      <c r="CB129" s="101" t="s">
        <v>42</v>
      </c>
      <c r="CC129" s="28"/>
    </row>
    <row r="130" spans="65:88" x14ac:dyDescent="0.25">
      <c r="BM130" s="477"/>
      <c r="BN130" s="12" t="str">
        <f t="shared" si="2"/>
        <v>Polimérico</v>
      </c>
      <c r="BO130" s="4">
        <f t="shared" si="3"/>
        <v>0.54195348479999994</v>
      </c>
      <c r="BP130" s="102" t="s">
        <v>18</v>
      </c>
      <c r="BU130" s="101" t="s">
        <v>109</v>
      </c>
      <c r="BV130" s="105">
        <v>0.03</v>
      </c>
      <c r="BW130" s="101">
        <f>$CA$130*BV130</f>
        <v>8.1293022719999986</v>
      </c>
      <c r="BZ130" s="27">
        <f>CA130*(1/1005)</f>
        <v>0.26962859940298506</v>
      </c>
      <c r="CA130" s="4">
        <f>CH136*CG119+CC120*CH136*CG119</f>
        <v>270.97674239999998</v>
      </c>
      <c r="CB130" s="101">
        <f>IF(CC128&gt;0,CA130+CC128/2,CA130)</f>
        <v>270.97674239999998</v>
      </c>
      <c r="CC130" s="16"/>
    </row>
    <row r="131" spans="65:88" x14ac:dyDescent="0.25">
      <c r="BM131" s="477"/>
      <c r="BN131" s="12" t="str">
        <f>BU137</f>
        <v>Cloruro de Metilo</v>
      </c>
      <c r="BO131" s="4">
        <f t="shared" si="3"/>
        <v>0.54195348479999994</v>
      </c>
      <c r="BP131" s="102" t="s">
        <v>18</v>
      </c>
      <c r="BU131" s="4" t="s">
        <v>110</v>
      </c>
      <c r="BV131" s="105">
        <v>0.63500000000000001</v>
      </c>
      <c r="BW131" s="101">
        <f t="shared" ref="BW131:BW137" si="4">$CA$130*BV131</f>
        <v>172.07023142399999</v>
      </c>
      <c r="BZ131" s="14" t="s">
        <v>104</v>
      </c>
    </row>
    <row r="132" spans="65:88" x14ac:dyDescent="0.25">
      <c r="BU132" s="4" t="s">
        <v>111</v>
      </c>
      <c r="BV132" s="105">
        <v>0.32500000000000001</v>
      </c>
      <c r="BW132" s="101">
        <f t="shared" si="4"/>
        <v>88.067441279999997</v>
      </c>
      <c r="BX132" s="21">
        <f>BX122-BX126</f>
        <v>0</v>
      </c>
      <c r="CC132" s="22">
        <f>CA130-CH119</f>
        <v>17.632742399999984</v>
      </c>
    </row>
    <row r="133" spans="65:88" x14ac:dyDescent="0.25">
      <c r="BU133" s="4" t="s">
        <v>112</v>
      </c>
      <c r="BV133" s="105">
        <v>2E-3</v>
      </c>
      <c r="BW133" s="101">
        <f t="shared" si="4"/>
        <v>0.54195348479999994</v>
      </c>
    </row>
    <row r="134" spans="65:88" x14ac:dyDescent="0.25">
      <c r="BU134" s="4" t="s">
        <v>113</v>
      </c>
      <c r="BV134" s="105">
        <v>2E-3</v>
      </c>
      <c r="BW134" s="101">
        <f t="shared" si="4"/>
        <v>0.54195348479999994</v>
      </c>
      <c r="CA134" s="415" t="s">
        <v>125</v>
      </c>
      <c r="CB134" s="415"/>
      <c r="CC134" s="4" t="s">
        <v>19</v>
      </c>
      <c r="CD134" s="101" t="s">
        <v>20</v>
      </c>
      <c r="CE134" s="101" t="s">
        <v>2</v>
      </c>
      <c r="CF134" s="101" t="s">
        <v>21</v>
      </c>
      <c r="CG134" s="101" t="s">
        <v>2</v>
      </c>
      <c r="CH134" s="11" t="s">
        <v>24</v>
      </c>
    </row>
    <row r="135" spans="65:88" x14ac:dyDescent="0.25">
      <c r="BU135" s="4" t="s">
        <v>114</v>
      </c>
      <c r="BV135" s="105">
        <v>2E-3</v>
      </c>
      <c r="BW135" s="101">
        <f t="shared" si="4"/>
        <v>0.54195348479999994</v>
      </c>
      <c r="BZ135" s="101"/>
      <c r="CA135" s="104"/>
      <c r="CB135" s="104"/>
      <c r="CC135" s="23"/>
      <c r="CD135" s="23"/>
      <c r="CE135" s="23"/>
      <c r="CF135" s="23"/>
      <c r="CG135" s="23"/>
      <c r="CH135" s="39"/>
    </row>
    <row r="136" spans="65:88" x14ac:dyDescent="0.25">
      <c r="BU136" s="4" t="s">
        <v>115</v>
      </c>
      <c r="BV136" s="105">
        <v>2E-3</v>
      </c>
      <c r="BW136" s="101">
        <f t="shared" si="4"/>
        <v>0.54195348479999994</v>
      </c>
      <c r="BZ136" s="101" t="s">
        <v>96</v>
      </c>
      <c r="CA136" s="104">
        <f>13*60*40</f>
        <v>31200</v>
      </c>
      <c r="CB136" s="104" t="s">
        <v>26</v>
      </c>
      <c r="CC136" s="23">
        <v>9.9999999999999995E-7</v>
      </c>
      <c r="CD136" s="23">
        <f>CA136*CC136</f>
        <v>3.1199999999999999E-2</v>
      </c>
      <c r="CE136" s="23" t="s">
        <v>15</v>
      </c>
      <c r="CF136" s="23">
        <v>20</v>
      </c>
      <c r="CG136" s="23" t="s">
        <v>13</v>
      </c>
      <c r="CH136" s="23">
        <f>CD136*CF136</f>
        <v>0.624</v>
      </c>
    </row>
    <row r="137" spans="65:88" x14ac:dyDescent="0.25">
      <c r="BU137" s="4" t="s">
        <v>116</v>
      </c>
      <c r="BV137" s="105">
        <v>2E-3</v>
      </c>
      <c r="BW137" s="101">
        <f t="shared" si="4"/>
        <v>0.54195348479999994</v>
      </c>
      <c r="BZ137" s="101"/>
      <c r="CA137" s="104"/>
      <c r="CB137" s="104"/>
      <c r="CC137" s="23"/>
      <c r="CD137" s="23"/>
      <c r="CE137" s="23"/>
      <c r="CF137" s="23"/>
      <c r="CG137" s="23"/>
      <c r="CH137" s="40"/>
    </row>
    <row r="138" spans="65:88" x14ac:dyDescent="0.25">
      <c r="BZ138" s="101" t="s">
        <v>92</v>
      </c>
      <c r="CA138" s="104">
        <f>62.5*40</f>
        <v>2500</v>
      </c>
      <c r="CB138" s="104" t="s">
        <v>9</v>
      </c>
      <c r="CC138" s="23">
        <f>0.0001</f>
        <v>1E-4</v>
      </c>
      <c r="CD138" s="23">
        <f>CA138*CC138</f>
        <v>0.25</v>
      </c>
      <c r="CE138" s="23" t="s">
        <v>17</v>
      </c>
      <c r="CF138" s="23">
        <v>0.1</v>
      </c>
      <c r="CG138" s="23" t="s">
        <v>23</v>
      </c>
      <c r="CH138" s="66">
        <f t="shared" ref="CH138:CH140" si="5">CF138*CD138</f>
        <v>2.5000000000000001E-2</v>
      </c>
      <c r="CI138" s="67">
        <f>CH138*2</f>
        <v>0.05</v>
      </c>
    </row>
    <row r="139" spans="65:88" x14ac:dyDescent="0.25">
      <c r="BZ139" s="101" t="s">
        <v>33</v>
      </c>
      <c r="CA139" s="104">
        <v>1146.8</v>
      </c>
      <c r="CB139" s="104" t="s">
        <v>10</v>
      </c>
      <c r="CC139" s="23">
        <f>1/100</f>
        <v>0.01</v>
      </c>
      <c r="CD139" s="23">
        <f>CA139*CC139</f>
        <v>11.468</v>
      </c>
      <c r="CE139" s="23" t="s">
        <v>16</v>
      </c>
      <c r="CF139" s="23">
        <v>7.7585999999999999E-5</v>
      </c>
      <c r="CG139" s="23" t="s">
        <v>22</v>
      </c>
      <c r="CH139" s="23">
        <f t="shared" si="5"/>
        <v>8.89756248E-4</v>
      </c>
    </row>
    <row r="140" spans="65:88" x14ac:dyDescent="0.25">
      <c r="BZ140" s="101" t="s">
        <v>93</v>
      </c>
      <c r="CA140" s="104">
        <v>39</v>
      </c>
      <c r="CB140" s="104" t="s">
        <v>10</v>
      </c>
      <c r="CC140" s="23">
        <f>1/100</f>
        <v>0.01</v>
      </c>
      <c r="CD140" s="23">
        <f>CA140*CC140</f>
        <v>0.39</v>
      </c>
      <c r="CE140" s="23" t="s">
        <v>16</v>
      </c>
      <c r="CF140" s="23">
        <f>1/117.5</f>
        <v>8.5106382978723406E-3</v>
      </c>
      <c r="CG140" s="23" t="s">
        <v>22</v>
      </c>
      <c r="CH140" s="23">
        <f t="shared" si="5"/>
        <v>3.319148936170213E-3</v>
      </c>
    </row>
    <row r="141" spans="65:88" x14ac:dyDescent="0.25">
      <c r="CI141" s="408" t="s">
        <v>25</v>
      </c>
      <c r="CJ141" s="408"/>
    </row>
    <row r="142" spans="65:88" x14ac:dyDescent="0.25">
      <c r="CI142" s="4">
        <f>CH136+CI138+CH139+CH140</f>
        <v>0.67820890518417032</v>
      </c>
      <c r="CJ142" s="4" t="s">
        <v>18</v>
      </c>
    </row>
    <row r="175" spans="90:92" x14ac:dyDescent="0.25">
      <c r="CL175" s="416" t="s">
        <v>52</v>
      </c>
      <c r="CM175" s="416"/>
    </row>
    <row r="176" spans="90:92" x14ac:dyDescent="0.25">
      <c r="CL176" s="436" t="s">
        <v>124</v>
      </c>
      <c r="CM176" s="417"/>
      <c r="CN176" s="127" t="s">
        <v>123</v>
      </c>
    </row>
    <row r="177" spans="75:91" x14ac:dyDescent="0.25">
      <c r="CL177" s="184">
        <v>585</v>
      </c>
      <c r="CM177" s="4" t="s">
        <v>27</v>
      </c>
    </row>
    <row r="178" spans="75:91" x14ac:dyDescent="0.25">
      <c r="CG178" s="410" t="s">
        <v>134</v>
      </c>
      <c r="CH178" s="410"/>
      <c r="CL178" s="4">
        <f>CH180</f>
        <v>2000.7</v>
      </c>
      <c r="CM178" s="4" t="s">
        <v>28</v>
      </c>
    </row>
    <row r="179" spans="75:91" x14ac:dyDescent="0.25">
      <c r="CC179" s="1"/>
      <c r="CG179" s="101" t="s">
        <v>4</v>
      </c>
      <c r="CH179" s="101" t="s">
        <v>1</v>
      </c>
      <c r="CL179" s="14">
        <f>CL177*CI203-CH180</f>
        <v>359.26660966451095</v>
      </c>
    </row>
    <row r="180" spans="75:91" x14ac:dyDescent="0.25">
      <c r="CC180" s="18" t="s">
        <v>36</v>
      </c>
      <c r="CG180" s="101">
        <f>CL177</f>
        <v>585</v>
      </c>
      <c r="CH180" s="4">
        <f>CG180*(CH197)</f>
        <v>2000.7</v>
      </c>
    </row>
    <row r="181" spans="75:91" x14ac:dyDescent="0.25">
      <c r="CC181" s="19">
        <v>1.0000000000000001E-5</v>
      </c>
    </row>
    <row r="182" spans="75:91" x14ac:dyDescent="0.25">
      <c r="BW182" s="473" t="s">
        <v>87</v>
      </c>
      <c r="BX182" s="473"/>
      <c r="CC182" s="18">
        <f>CC183-CC187</f>
        <v>0</v>
      </c>
    </row>
    <row r="183" spans="75:91" x14ac:dyDescent="0.25">
      <c r="BW183" s="447" t="str">
        <f>BZ188</f>
        <v>Bloque de espuma</v>
      </c>
      <c r="BX183" s="448"/>
      <c r="CC183" s="1">
        <f>CA192</f>
        <v>2000.7</v>
      </c>
    </row>
    <row r="184" spans="75:91" x14ac:dyDescent="0.25">
      <c r="BW184" s="12"/>
      <c r="BX184" s="4" t="s">
        <v>18</v>
      </c>
      <c r="CC184" s="13" t="s">
        <v>34</v>
      </c>
    </row>
    <row r="185" spans="75:91" ht="15" customHeight="1" x14ac:dyDescent="0.25">
      <c r="BW185" s="12"/>
      <c r="BX185" s="4" t="s">
        <v>16</v>
      </c>
      <c r="CC185" s="109" t="s">
        <v>142</v>
      </c>
    </row>
    <row r="186" spans="75:91" x14ac:dyDescent="0.25">
      <c r="CC186" s="14" t="s">
        <v>35</v>
      </c>
    </row>
    <row r="187" spans="75:91" x14ac:dyDescent="0.25">
      <c r="CC187">
        <f>CH180</f>
        <v>2000.7</v>
      </c>
      <c r="CM187" t="s">
        <v>91</v>
      </c>
    </row>
    <row r="188" spans="75:91" x14ac:dyDescent="0.25">
      <c r="BZ188" s="474" t="s">
        <v>143</v>
      </c>
      <c r="CA188" s="474"/>
      <c r="CC188" s="15" t="s">
        <v>36</v>
      </c>
    </row>
    <row r="189" spans="75:91" x14ac:dyDescent="0.25">
      <c r="BZ189" s="474"/>
      <c r="CA189" s="474"/>
      <c r="CC189" s="28" t="s">
        <v>45</v>
      </c>
    </row>
    <row r="190" spans="75:91" x14ac:dyDescent="0.25">
      <c r="BZ190" s="101" t="s">
        <v>50</v>
      </c>
      <c r="CA190" s="101" t="s">
        <v>1</v>
      </c>
      <c r="CB190" s="101" t="s">
        <v>42</v>
      </c>
      <c r="CC190" s="28"/>
    </row>
    <row r="191" spans="75:91" x14ac:dyDescent="0.25">
      <c r="BZ191" s="27"/>
      <c r="CA191" s="4"/>
      <c r="CB191" s="101"/>
      <c r="CC191" s="16"/>
    </row>
    <row r="192" spans="75:91" x14ac:dyDescent="0.25">
      <c r="BY192" s="14" t="s">
        <v>144</v>
      </c>
      <c r="BZ192" s="14">
        <f>CD197*CG180</f>
        <v>111.15</v>
      </c>
      <c r="CA192" s="14">
        <f>CH197*CG180</f>
        <v>2000.7</v>
      </c>
    </row>
    <row r="193" spans="78:88" x14ac:dyDescent="0.25">
      <c r="CC193" s="22">
        <f>CA192-CH180</f>
        <v>0</v>
      </c>
    </row>
    <row r="195" spans="78:88" x14ac:dyDescent="0.25">
      <c r="CA195" s="415" t="s">
        <v>126</v>
      </c>
      <c r="CB195" s="415"/>
      <c r="CC195" s="4" t="s">
        <v>19</v>
      </c>
      <c r="CD195" s="101" t="s">
        <v>20</v>
      </c>
      <c r="CE195" s="101" t="s">
        <v>2</v>
      </c>
      <c r="CF195" s="101" t="s">
        <v>21</v>
      </c>
      <c r="CG195" s="101" t="s">
        <v>2</v>
      </c>
      <c r="CH195" s="11" t="s">
        <v>24</v>
      </c>
    </row>
    <row r="196" spans="78:88" x14ac:dyDescent="0.25">
      <c r="BZ196" s="101"/>
      <c r="CA196" s="104"/>
      <c r="CB196" s="104"/>
      <c r="CC196" s="23"/>
      <c r="CD196" s="23"/>
      <c r="CE196" s="23"/>
      <c r="CF196" s="23"/>
      <c r="CG196" s="23"/>
      <c r="CH196" s="39"/>
    </row>
    <row r="197" spans="78:88" x14ac:dyDescent="0.25">
      <c r="BZ197" s="101" t="s">
        <v>128</v>
      </c>
      <c r="CA197" s="104">
        <f>100*190*10</f>
        <v>190000</v>
      </c>
      <c r="CB197" s="104" t="s">
        <v>26</v>
      </c>
      <c r="CC197" s="23">
        <v>9.9999999999999995E-7</v>
      </c>
      <c r="CD197" s="23">
        <f t="shared" ref="CD197:CD203" si="6">CA197*CC197</f>
        <v>0.19</v>
      </c>
      <c r="CE197" s="23" t="s">
        <v>15</v>
      </c>
      <c r="CF197" s="23">
        <v>18</v>
      </c>
      <c r="CG197" s="23" t="s">
        <v>13</v>
      </c>
      <c r="CH197" s="23">
        <f>CD197*CF197</f>
        <v>3.42</v>
      </c>
    </row>
    <row r="198" spans="78:88" x14ac:dyDescent="0.25">
      <c r="BZ198" s="101" t="s">
        <v>129</v>
      </c>
      <c r="CA198" s="104">
        <f>3708.8</f>
        <v>3708.8</v>
      </c>
      <c r="CB198" s="104" t="s">
        <v>10</v>
      </c>
      <c r="CC198" s="23">
        <f>1/100</f>
        <v>0.01</v>
      </c>
      <c r="CD198" s="23">
        <f t="shared" si="6"/>
        <v>37.088000000000001</v>
      </c>
      <c r="CE198" s="23" t="s">
        <v>16</v>
      </c>
      <c r="CF198" s="23">
        <v>7.7585999999999999E-5</v>
      </c>
      <c r="CG198" s="23" t="s">
        <v>22</v>
      </c>
      <c r="CH198" s="23">
        <f t="shared" ref="CH198:CH200" si="7">CD198*CF198</f>
        <v>2.8775095680000002E-3</v>
      </c>
    </row>
    <row r="199" spans="78:88" x14ac:dyDescent="0.25">
      <c r="BZ199" s="101" t="s">
        <v>131</v>
      </c>
      <c r="CA199" s="104">
        <f>210*210*0.3</f>
        <v>13230</v>
      </c>
      <c r="CB199" s="104" t="s">
        <v>26</v>
      </c>
      <c r="CC199" s="23">
        <v>9.9999999999999995E-7</v>
      </c>
      <c r="CD199" s="23">
        <f t="shared" si="6"/>
        <v>1.3229999999999999E-2</v>
      </c>
      <c r="CE199" s="23" t="s">
        <v>15</v>
      </c>
      <c r="CF199" s="23">
        <v>12</v>
      </c>
      <c r="CG199" s="23" t="s">
        <v>13</v>
      </c>
      <c r="CH199" s="23">
        <f t="shared" si="7"/>
        <v>0.15875999999999998</v>
      </c>
    </row>
    <row r="200" spans="78:88" x14ac:dyDescent="0.25">
      <c r="BZ200" s="101" t="s">
        <v>127</v>
      </c>
      <c r="CA200" s="104">
        <f>560</f>
        <v>560</v>
      </c>
      <c r="CB200" s="104" t="s">
        <v>9</v>
      </c>
      <c r="CC200" s="23">
        <f>0.0001</f>
        <v>1E-4</v>
      </c>
      <c r="CD200" s="23">
        <f t="shared" si="6"/>
        <v>5.6000000000000001E-2</v>
      </c>
      <c r="CE200" s="23" t="s">
        <v>17</v>
      </c>
      <c r="CF200" s="23">
        <f>20/1000</f>
        <v>0.02</v>
      </c>
      <c r="CG200" s="23" t="s">
        <v>23</v>
      </c>
      <c r="CH200" s="23">
        <f t="shared" si="7"/>
        <v>1.1200000000000001E-3</v>
      </c>
    </row>
    <row r="201" spans="78:88" x14ac:dyDescent="0.25">
      <c r="BZ201" s="101" t="s">
        <v>93</v>
      </c>
      <c r="CA201" s="104">
        <v>100</v>
      </c>
      <c r="CB201" s="104" t="s">
        <v>10</v>
      </c>
      <c r="CC201" s="23">
        <f>1/100</f>
        <v>0.01</v>
      </c>
      <c r="CD201" s="23">
        <f t="shared" si="6"/>
        <v>1</v>
      </c>
      <c r="CE201" s="23" t="s">
        <v>16</v>
      </c>
      <c r="CF201" s="23">
        <f>1/117.5</f>
        <v>8.5106382978723406E-3</v>
      </c>
      <c r="CG201" s="23" t="s">
        <v>22</v>
      </c>
      <c r="CH201" s="23">
        <f>CD201*CF201</f>
        <v>8.5106382978723406E-3</v>
      </c>
    </row>
    <row r="202" spans="78:88" x14ac:dyDescent="0.25">
      <c r="BZ202" s="11" t="s">
        <v>130</v>
      </c>
      <c r="CA202" s="104">
        <f>2400.96</f>
        <v>2400.96</v>
      </c>
      <c r="CB202" s="104" t="s">
        <v>10</v>
      </c>
      <c r="CC202" s="23">
        <f>1/100</f>
        <v>0.01</v>
      </c>
      <c r="CD202" s="23">
        <f t="shared" si="6"/>
        <v>24.009600000000002</v>
      </c>
      <c r="CE202" s="23" t="s">
        <v>16</v>
      </c>
      <c r="CF202" s="23">
        <v>7.7585999999999999E-5</v>
      </c>
      <c r="CG202" s="23" t="s">
        <v>22</v>
      </c>
      <c r="CH202" s="23">
        <f>CD202*CF202</f>
        <v>1.8628088256000001E-3</v>
      </c>
      <c r="CI202" s="408" t="s">
        <v>133</v>
      </c>
      <c r="CJ202" s="408"/>
    </row>
    <row r="203" spans="78:88" x14ac:dyDescent="0.25">
      <c r="BZ203" s="11" t="s">
        <v>132</v>
      </c>
      <c r="CA203" s="104">
        <f>210*210</f>
        <v>44100</v>
      </c>
      <c r="CB203" s="104" t="s">
        <v>9</v>
      </c>
      <c r="CC203" s="23">
        <f>0.0001</f>
        <v>1E-4</v>
      </c>
      <c r="CD203" s="23">
        <f t="shared" si="6"/>
        <v>4.41</v>
      </c>
      <c r="CE203" s="23" t="s">
        <v>17</v>
      </c>
      <c r="CF203" s="23">
        <v>0.1</v>
      </c>
      <c r="CG203" s="23" t="s">
        <v>23</v>
      </c>
      <c r="CH203" s="23">
        <f>CD203*CF203</f>
        <v>0.44100000000000006</v>
      </c>
      <c r="CI203" s="4">
        <f>CH197+CH198+CH199+CH200+CH201+CH202+CH203</f>
        <v>4.034130956691472</v>
      </c>
      <c r="CJ203" s="4" t="s">
        <v>18</v>
      </c>
    </row>
    <row r="231" spans="75:92" x14ac:dyDescent="0.25">
      <c r="CL231" s="416" t="s">
        <v>52</v>
      </c>
      <c r="CM231" s="416"/>
    </row>
    <row r="232" spans="75:92" x14ac:dyDescent="0.25">
      <c r="CL232" s="436" t="s">
        <v>162</v>
      </c>
      <c r="CM232" s="417"/>
      <c r="CN232" s="127" t="s">
        <v>150</v>
      </c>
    </row>
    <row r="233" spans="75:92" x14ac:dyDescent="0.25">
      <c r="CL233" s="184">
        <v>299</v>
      </c>
      <c r="CM233" s="4" t="s">
        <v>27</v>
      </c>
    </row>
    <row r="234" spans="75:92" x14ac:dyDescent="0.25">
      <c r="CG234" s="410" t="s">
        <v>134</v>
      </c>
      <c r="CH234" s="410"/>
      <c r="CL234" s="4">
        <f>CH236</f>
        <v>1533.87</v>
      </c>
      <c r="CM234" s="4" t="s">
        <v>28</v>
      </c>
    </row>
    <row r="235" spans="75:92" x14ac:dyDescent="0.25">
      <c r="CC235" s="1"/>
      <c r="CG235" s="101" t="s">
        <v>50</v>
      </c>
      <c r="CH235" s="101" t="s">
        <v>1</v>
      </c>
      <c r="CL235" s="14">
        <f>CL233*CI259-CH236</f>
        <v>283.38804409347517</v>
      </c>
    </row>
    <row r="236" spans="75:92" x14ac:dyDescent="0.25">
      <c r="CC236" s="18" t="s">
        <v>36</v>
      </c>
      <c r="CG236" s="101">
        <f>CL233*CD253</f>
        <v>85.214999999999989</v>
      </c>
      <c r="CH236" s="4">
        <f>CL233*(CH253)</f>
        <v>1533.87</v>
      </c>
    </row>
    <row r="237" spans="75:92" x14ac:dyDescent="0.25">
      <c r="CC237" s="19">
        <v>1.0000000000000001E-5</v>
      </c>
    </row>
    <row r="238" spans="75:92" x14ac:dyDescent="0.25">
      <c r="BW238" s="473" t="s">
        <v>87</v>
      </c>
      <c r="BX238" s="473"/>
      <c r="CC238" s="18">
        <f>CC239-CC243</f>
        <v>0</v>
      </c>
    </row>
    <row r="239" spans="75:92" x14ac:dyDescent="0.25">
      <c r="BW239" s="447" t="str">
        <f>BZ244</f>
        <v>Bloque de espuma</v>
      </c>
      <c r="BX239" s="448"/>
      <c r="CC239" s="1">
        <f>CA248</f>
        <v>1533.87</v>
      </c>
    </row>
    <row r="240" spans="75:92" x14ac:dyDescent="0.25">
      <c r="BW240" s="12"/>
      <c r="BX240" s="4" t="s">
        <v>18</v>
      </c>
      <c r="CC240" s="13" t="s">
        <v>34</v>
      </c>
    </row>
    <row r="241" spans="75:91" x14ac:dyDescent="0.25">
      <c r="BW241" s="12"/>
      <c r="BX241" s="4" t="s">
        <v>16</v>
      </c>
      <c r="CC241" s="109" t="s">
        <v>142</v>
      </c>
    </row>
    <row r="242" spans="75:91" x14ac:dyDescent="0.25">
      <c r="CC242" s="14" t="s">
        <v>35</v>
      </c>
    </row>
    <row r="243" spans="75:91" x14ac:dyDescent="0.25">
      <c r="CC243">
        <f>CH236</f>
        <v>1533.87</v>
      </c>
      <c r="CM243" t="s">
        <v>91</v>
      </c>
    </row>
    <row r="244" spans="75:91" x14ac:dyDescent="0.25">
      <c r="BZ244" s="474" t="s">
        <v>143</v>
      </c>
      <c r="CA244" s="474"/>
      <c r="CC244" s="15" t="s">
        <v>36</v>
      </c>
    </row>
    <row r="245" spans="75:91" x14ac:dyDescent="0.25">
      <c r="BZ245" s="474"/>
      <c r="CA245" s="474"/>
      <c r="CC245" s="28" t="s">
        <v>45</v>
      </c>
    </row>
    <row r="246" spans="75:91" x14ac:dyDescent="0.25">
      <c r="BZ246" s="101" t="s">
        <v>50</v>
      </c>
      <c r="CA246" s="101" t="s">
        <v>1</v>
      </c>
      <c r="CB246" s="101" t="s">
        <v>42</v>
      </c>
      <c r="CC246" s="28"/>
    </row>
    <row r="247" spans="75:91" x14ac:dyDescent="0.25">
      <c r="BZ247" s="27"/>
      <c r="CA247" s="4"/>
      <c r="CB247" s="101"/>
      <c r="CC247" s="16"/>
    </row>
    <row r="248" spans="75:91" x14ac:dyDescent="0.25">
      <c r="BY248" s="14" t="s">
        <v>170</v>
      </c>
      <c r="BZ248" s="14">
        <f>CG236</f>
        <v>85.214999999999989</v>
      </c>
      <c r="CA248" s="14">
        <f>CH236</f>
        <v>1533.87</v>
      </c>
    </row>
    <row r="249" spans="75:91" x14ac:dyDescent="0.25">
      <c r="CC249" s="22">
        <f>CA248-CH236</f>
        <v>0</v>
      </c>
    </row>
    <row r="251" spans="75:91" x14ac:dyDescent="0.25">
      <c r="CA251" s="415" t="str">
        <f>CL232</f>
        <v>Sensaflex de 190 x 100 (C15)</v>
      </c>
      <c r="CB251" s="415"/>
      <c r="CC251" s="4" t="s">
        <v>19</v>
      </c>
      <c r="CD251" s="101" t="s">
        <v>20</v>
      </c>
      <c r="CE251" s="101" t="s">
        <v>2</v>
      </c>
      <c r="CF251" s="101" t="s">
        <v>21</v>
      </c>
      <c r="CG251" s="101" t="s">
        <v>2</v>
      </c>
      <c r="CH251" s="11" t="s">
        <v>24</v>
      </c>
    </row>
    <row r="252" spans="75:91" x14ac:dyDescent="0.25">
      <c r="BZ252" s="101"/>
      <c r="CA252" s="104"/>
      <c r="CB252" s="104"/>
      <c r="CC252" s="23"/>
      <c r="CD252" s="23"/>
      <c r="CE252" s="23"/>
      <c r="CF252" s="23"/>
      <c r="CG252" s="23"/>
      <c r="CH252" s="39"/>
    </row>
    <row r="253" spans="75:91" x14ac:dyDescent="0.25">
      <c r="BZ253" s="27" t="s">
        <v>128</v>
      </c>
      <c r="CA253" s="104">
        <f>100*190*15</f>
        <v>285000</v>
      </c>
      <c r="CB253" s="104" t="s">
        <v>26</v>
      </c>
      <c r="CC253" s="23">
        <v>9.9999999999999995E-7</v>
      </c>
      <c r="CD253" s="23">
        <f t="shared" ref="CD253:CD260" si="8">CA253*CC253</f>
        <v>0.28499999999999998</v>
      </c>
      <c r="CE253" s="23" t="s">
        <v>15</v>
      </c>
      <c r="CF253" s="23">
        <v>18</v>
      </c>
      <c r="CG253" s="23" t="s">
        <v>13</v>
      </c>
      <c r="CH253" s="23">
        <f>CD253*CF253</f>
        <v>5.13</v>
      </c>
    </row>
    <row r="254" spans="75:91" x14ac:dyDescent="0.25">
      <c r="BZ254" s="27" t="s">
        <v>130</v>
      </c>
      <c r="CA254" s="104">
        <f>5621.76</f>
        <v>5621.76</v>
      </c>
      <c r="CB254" s="104" t="s">
        <v>10</v>
      </c>
      <c r="CC254" s="23">
        <f>1/100</f>
        <v>0.01</v>
      </c>
      <c r="CD254" s="23">
        <f t="shared" si="8"/>
        <v>56.217600000000004</v>
      </c>
      <c r="CE254" s="23" t="s">
        <v>16</v>
      </c>
      <c r="CF254" s="23">
        <v>7.7585999999999999E-5</v>
      </c>
      <c r="CG254" s="23" t="s">
        <v>22</v>
      </c>
      <c r="CH254" s="23">
        <f t="shared" ref="CH254:CH256" si="9">CD254*CF254</f>
        <v>4.3616987136000001E-3</v>
      </c>
    </row>
    <row r="255" spans="75:91" x14ac:dyDescent="0.25">
      <c r="BZ255" s="27" t="s">
        <v>164</v>
      </c>
      <c r="CA255" s="104">
        <f>210*210*0.3</f>
        <v>13230</v>
      </c>
      <c r="CB255" s="104" t="s">
        <v>26</v>
      </c>
      <c r="CC255" s="23">
        <v>9.9999999999999995E-7</v>
      </c>
      <c r="CD255" s="23">
        <f t="shared" si="8"/>
        <v>1.3229999999999999E-2</v>
      </c>
      <c r="CE255" s="23" t="s">
        <v>15</v>
      </c>
      <c r="CF255" s="23">
        <v>12</v>
      </c>
      <c r="CG255" s="23" t="s">
        <v>13</v>
      </c>
      <c r="CH255" s="23">
        <f t="shared" si="9"/>
        <v>0.15875999999999998</v>
      </c>
    </row>
    <row r="256" spans="75:91" x14ac:dyDescent="0.25">
      <c r="BZ256" s="27" t="s">
        <v>127</v>
      </c>
      <c r="CA256" s="104">
        <f>56000</f>
        <v>56000</v>
      </c>
      <c r="CB256" s="104" t="s">
        <v>9</v>
      </c>
      <c r="CC256" s="23">
        <f>0.0001</f>
        <v>1E-4</v>
      </c>
      <c r="CD256" s="23">
        <f t="shared" si="8"/>
        <v>5.6000000000000005</v>
      </c>
      <c r="CE256" s="23" t="s">
        <v>17</v>
      </c>
      <c r="CF256" s="23">
        <f>20/1000</f>
        <v>0.02</v>
      </c>
      <c r="CG256" s="23" t="s">
        <v>23</v>
      </c>
      <c r="CH256" s="23">
        <f t="shared" si="9"/>
        <v>0.11200000000000002</v>
      </c>
    </row>
    <row r="257" spans="78:88" x14ac:dyDescent="0.25">
      <c r="BZ257" s="27" t="s">
        <v>93</v>
      </c>
      <c r="CA257" s="104">
        <v>100</v>
      </c>
      <c r="CB257" s="104" t="s">
        <v>10</v>
      </c>
      <c r="CC257" s="23">
        <f>1/100</f>
        <v>0.01</v>
      </c>
      <c r="CD257" s="23">
        <f t="shared" si="8"/>
        <v>1</v>
      </c>
      <c r="CE257" s="23" t="s">
        <v>16</v>
      </c>
      <c r="CF257" s="23">
        <f>1/117.5</f>
        <v>8.5106382978723406E-3</v>
      </c>
      <c r="CG257" s="23" t="s">
        <v>22</v>
      </c>
      <c r="CH257" s="23">
        <f>CD257*CF257</f>
        <v>8.5106382978723406E-3</v>
      </c>
    </row>
    <row r="258" spans="78:88" x14ac:dyDescent="0.25">
      <c r="BZ258" s="132" t="s">
        <v>130</v>
      </c>
      <c r="CA258" s="104">
        <f>2400.96</f>
        <v>2400.96</v>
      </c>
      <c r="CB258" s="104" t="s">
        <v>10</v>
      </c>
      <c r="CC258" s="23">
        <f>1/100</f>
        <v>0.01</v>
      </c>
      <c r="CD258" s="23">
        <f t="shared" si="8"/>
        <v>24.009600000000002</v>
      </c>
      <c r="CE258" s="23" t="s">
        <v>16</v>
      </c>
      <c r="CF258" s="23">
        <v>7.7585999999999999E-5</v>
      </c>
      <c r="CG258" s="23" t="s">
        <v>22</v>
      </c>
      <c r="CH258" s="23">
        <f>CD258*CF258</f>
        <v>1.8628088256000001E-3</v>
      </c>
      <c r="CI258" s="408" t="s">
        <v>163</v>
      </c>
      <c r="CJ258" s="408"/>
    </row>
    <row r="259" spans="78:88" x14ac:dyDescent="0.25">
      <c r="BZ259" s="132" t="s">
        <v>132</v>
      </c>
      <c r="CA259" s="131">
        <f>227*227</f>
        <v>51529</v>
      </c>
      <c r="CB259" s="131" t="s">
        <v>9</v>
      </c>
      <c r="CC259" s="39">
        <f>0.0001</f>
        <v>1E-4</v>
      </c>
      <c r="CD259" s="39">
        <f t="shared" si="8"/>
        <v>5.1528999999999998</v>
      </c>
      <c r="CE259" s="39" t="s">
        <v>17</v>
      </c>
      <c r="CF259" s="39">
        <v>0.1</v>
      </c>
      <c r="CG259" s="39" t="s">
        <v>23</v>
      </c>
      <c r="CH259" s="39">
        <f>CD259*CF259</f>
        <v>0.51529000000000003</v>
      </c>
      <c r="CI259" s="4">
        <f>CH253+CH254+CH255+CH256+CH257+CH258+CH259+CH260+CH261+CH262</f>
        <v>6.0777861006470735</v>
      </c>
      <c r="CJ259" s="4" t="s">
        <v>18</v>
      </c>
    </row>
    <row r="260" spans="78:88" x14ac:dyDescent="0.25">
      <c r="BZ260" s="108" t="s">
        <v>165</v>
      </c>
      <c r="CA260" s="71">
        <f>0.515*0.515*0.3</f>
        <v>7.9567499999999999E-2</v>
      </c>
      <c r="CB260" s="127" t="s">
        <v>26</v>
      </c>
      <c r="CC260" s="71">
        <v>9.9999999999999995E-7</v>
      </c>
      <c r="CD260" s="71">
        <f t="shared" si="8"/>
        <v>7.9567500000000001E-8</v>
      </c>
      <c r="CE260" s="71" t="s">
        <v>15</v>
      </c>
      <c r="CF260" s="71">
        <v>12</v>
      </c>
      <c r="CG260" s="71" t="s">
        <v>13</v>
      </c>
      <c r="CH260" s="71">
        <f>CD260*CF260</f>
        <v>9.5481000000000001E-7</v>
      </c>
    </row>
    <row r="261" spans="78:88" x14ac:dyDescent="0.25">
      <c r="BZ261" s="134" t="s">
        <v>166</v>
      </c>
      <c r="CA261" s="135"/>
      <c r="CB261" s="135"/>
      <c r="CC261" s="135"/>
      <c r="CD261" s="136">
        <v>1.23</v>
      </c>
      <c r="CE261" s="136" t="s">
        <v>17</v>
      </c>
      <c r="CF261" s="136">
        <v>0.1</v>
      </c>
      <c r="CG261" s="136" t="s">
        <v>22</v>
      </c>
      <c r="CH261" s="136">
        <f>CD261*CF261</f>
        <v>0.123</v>
      </c>
    </row>
    <row r="262" spans="78:88" x14ac:dyDescent="0.25">
      <c r="BZ262" s="137" t="s">
        <v>167</v>
      </c>
      <c r="CA262" s="71">
        <f>6*4</f>
        <v>24</v>
      </c>
      <c r="CB262" s="138" t="s">
        <v>5</v>
      </c>
      <c r="CC262" s="71"/>
      <c r="CD262" s="71"/>
      <c r="CE262" s="71"/>
      <c r="CF262" s="71">
        <f>1/1000</f>
        <v>1E-3</v>
      </c>
      <c r="CG262" s="139" t="s">
        <v>18</v>
      </c>
      <c r="CH262" s="139">
        <f>CA262*CF262</f>
        <v>2.4E-2</v>
      </c>
    </row>
    <row r="349" spans="52:94" x14ac:dyDescent="0.25">
      <c r="CD349" s="1"/>
    </row>
    <row r="350" spans="52:94" ht="15.75" thickBot="1" x14ac:dyDescent="0.3">
      <c r="AZ350" s="19">
        <v>1E-4</v>
      </c>
      <c r="CD350" s="18" t="s">
        <v>36</v>
      </c>
      <c r="CN350" s="430" t="s">
        <v>52</v>
      </c>
      <c r="CO350" s="431"/>
    </row>
    <row r="351" spans="52:94" x14ac:dyDescent="0.25">
      <c r="AZ351" s="18"/>
      <c r="BI351" s="453" t="s">
        <v>208</v>
      </c>
      <c r="BJ351" s="454"/>
      <c r="CD351" s="19">
        <v>1.0000000000000001E-5</v>
      </c>
      <c r="CN351" s="417" t="s">
        <v>201</v>
      </c>
      <c r="CO351" s="418"/>
      <c r="CP351" s="127" t="s">
        <v>172</v>
      </c>
    </row>
    <row r="352" spans="52:94" x14ac:dyDescent="0.25">
      <c r="AZ352" s="34">
        <f>BG357</f>
        <v>4367.5787852987396</v>
      </c>
      <c r="BI352" s="455"/>
      <c r="BJ352" s="456"/>
      <c r="BX352" s="473" t="s">
        <v>87</v>
      </c>
      <c r="BY352" s="473"/>
      <c r="CD352" s="18">
        <f>CD353-CD357</f>
        <v>0</v>
      </c>
      <c r="CN352" s="184">
        <v>116</v>
      </c>
      <c r="CO352" s="4" t="s">
        <v>27</v>
      </c>
    </row>
    <row r="353" spans="48:93" x14ac:dyDescent="0.25">
      <c r="AZ353" s="13" t="s">
        <v>34</v>
      </c>
      <c r="BI353" s="455"/>
      <c r="BJ353" s="456"/>
      <c r="BL353" s="1" t="s">
        <v>106</v>
      </c>
      <c r="BX353" s="447" t="str">
        <f>CA358</f>
        <v>Bloque de espuma</v>
      </c>
      <c r="BY353" s="448"/>
      <c r="CD353" s="1">
        <f>CB362</f>
        <v>119.01599999999998</v>
      </c>
      <c r="CI353" s="428" t="s">
        <v>134</v>
      </c>
      <c r="CJ353" s="429"/>
      <c r="CN353" s="4">
        <f>CJ355</f>
        <v>119.01599999999998</v>
      </c>
      <c r="CO353" s="4" t="s">
        <v>28</v>
      </c>
    </row>
    <row r="354" spans="48:93" x14ac:dyDescent="0.25">
      <c r="AZ354" s="109" t="s">
        <v>119</v>
      </c>
      <c r="BG354" s="18" t="s">
        <v>36</v>
      </c>
      <c r="BI354" s="455"/>
      <c r="BJ354" s="456"/>
      <c r="BL354" s="18" t="s">
        <v>36</v>
      </c>
      <c r="BX354" s="42">
        <v>94.962228550963189</v>
      </c>
      <c r="BY354" s="4" t="s">
        <v>18</v>
      </c>
      <c r="CD354" s="13" t="s">
        <v>34</v>
      </c>
      <c r="CI354" s="101" t="s">
        <v>50</v>
      </c>
      <c r="CJ354" s="101" t="s">
        <v>1</v>
      </c>
      <c r="CN354" s="14">
        <f>CN352*CK378-CJ355</f>
        <v>2357.7973162231128</v>
      </c>
    </row>
    <row r="355" spans="48:93" x14ac:dyDescent="0.25">
      <c r="AZ355" s="14" t="s">
        <v>35</v>
      </c>
      <c r="BG355" s="19">
        <v>1E-4</v>
      </c>
      <c r="BI355" s="455"/>
      <c r="BJ355" s="456"/>
      <c r="BL355" s="19">
        <v>6.9599999999999995E-2</v>
      </c>
      <c r="BX355" s="42">
        <v>5.2756793639423991</v>
      </c>
      <c r="BY355" s="4" t="s">
        <v>15</v>
      </c>
      <c r="CD355" s="109" t="s">
        <v>142</v>
      </c>
      <c r="CI355" s="101">
        <f>CN352*CF372</f>
        <v>6.6119999999999992</v>
      </c>
      <c r="CJ355" s="4">
        <f>CN352*(CJ372)</f>
        <v>119.01599999999998</v>
      </c>
    </row>
    <row r="356" spans="48:93" ht="19.5" thickBot="1" x14ac:dyDescent="0.35">
      <c r="AZ356" s="1">
        <f>AZ352</f>
        <v>4367.5787852987396</v>
      </c>
      <c r="BG356" s="18"/>
      <c r="BI356" s="457"/>
      <c r="BJ356" s="458"/>
      <c r="BL356" s="18">
        <f>BL357-BL361</f>
        <v>284.20295760732233</v>
      </c>
      <c r="BX356" s="165">
        <f>ROUNDUP(CB361/BX354,0)</f>
        <v>43</v>
      </c>
      <c r="BY356" s="165" t="s">
        <v>209</v>
      </c>
      <c r="CD356" s="14" t="s">
        <v>35</v>
      </c>
    </row>
    <row r="357" spans="48:93" x14ac:dyDescent="0.25">
      <c r="AW357" s="24" t="s">
        <v>51</v>
      </c>
      <c r="AX357" s="24"/>
      <c r="AZ357" s="15" t="s">
        <v>36</v>
      </c>
      <c r="BG357" s="1">
        <f>BJ365</f>
        <v>4367.5787852987396</v>
      </c>
      <c r="BL357" s="1">
        <f>BL361+BL361*BL355</f>
        <v>4367.5787852987396</v>
      </c>
      <c r="CD357">
        <f>CJ355</f>
        <v>119.01599999999998</v>
      </c>
    </row>
    <row r="358" spans="48:93" ht="18.75" x14ac:dyDescent="0.3">
      <c r="AW358" s="475" t="s">
        <v>120</v>
      </c>
      <c r="AX358" s="476"/>
      <c r="AY358" s="101" t="s">
        <v>2</v>
      </c>
      <c r="AZ358" s="17">
        <f>IF(AZ351=AZ352,AZ352-AZ356,AZ351-AZ356)</f>
        <v>-4367.5787852987396</v>
      </c>
      <c r="BG358" s="13" t="s">
        <v>34</v>
      </c>
      <c r="BL358" s="13" t="s">
        <v>34</v>
      </c>
      <c r="BX358" s="165" t="s">
        <v>210</v>
      </c>
      <c r="BY358" s="166"/>
      <c r="CA358" s="474" t="s">
        <v>143</v>
      </c>
      <c r="CB358" s="474"/>
      <c r="CD358" s="15" t="s">
        <v>36</v>
      </c>
    </row>
    <row r="359" spans="48:93" ht="18.75" x14ac:dyDescent="0.3">
      <c r="AV359" s="477" t="s">
        <v>121</v>
      </c>
      <c r="AW359" s="12" t="str">
        <f>BD365</f>
        <v>Agua</v>
      </c>
      <c r="AX359" s="4">
        <f>BF365</f>
        <v>131.02736355896218</v>
      </c>
      <c r="AY359" s="102" t="s">
        <v>18</v>
      </c>
      <c r="AZ359" s="28" t="s">
        <v>45</v>
      </c>
      <c r="BG359" s="109" t="s">
        <v>84</v>
      </c>
      <c r="BL359" s="109" t="s">
        <v>85</v>
      </c>
      <c r="BX359" s="165">
        <f>BX356*BX354-CB361</f>
        <v>83.00182769141702</v>
      </c>
      <c r="BY359" s="165" t="s">
        <v>102</v>
      </c>
      <c r="CA359" s="474"/>
      <c r="CB359" s="474"/>
      <c r="CD359" s="28" t="s">
        <v>45</v>
      </c>
    </row>
    <row r="360" spans="48:93" x14ac:dyDescent="0.25">
      <c r="AV360" s="477"/>
      <c r="AW360" s="12" t="str">
        <f t="shared" ref="AW360:AW365" si="10">BD366</f>
        <v>Poliol</v>
      </c>
      <c r="AX360" s="4">
        <f t="shared" ref="AX360:AX366" si="11">BF366</f>
        <v>2751.574634738206</v>
      </c>
      <c r="AY360" s="102" t="s">
        <v>18</v>
      </c>
      <c r="BG360" s="14" t="s">
        <v>35</v>
      </c>
      <c r="BL360" s="14" t="s">
        <v>35</v>
      </c>
      <c r="CA360" s="101" t="s">
        <v>50</v>
      </c>
      <c r="CB360" s="101" t="s">
        <v>1</v>
      </c>
      <c r="CC360" s="167" t="s">
        <v>211</v>
      </c>
      <c r="CD360" s="28"/>
    </row>
    <row r="361" spans="48:93" x14ac:dyDescent="0.25">
      <c r="AV361" s="477"/>
      <c r="AW361" s="12" t="str">
        <f t="shared" si="10"/>
        <v>TDI</v>
      </c>
      <c r="AX361" s="4">
        <f t="shared" si="11"/>
        <v>1419.4631052220905</v>
      </c>
      <c r="AY361" s="102" t="s">
        <v>18</v>
      </c>
      <c r="BG361" s="1">
        <f>BJ365</f>
        <v>4367.5787852987396</v>
      </c>
      <c r="BL361">
        <f>BX354*BX356</f>
        <v>4083.3758276914173</v>
      </c>
      <c r="CA361" s="4">
        <f>SUM(CA362:CA365)</f>
        <v>222.24299999999997</v>
      </c>
      <c r="CB361" s="4">
        <f>SUM(CB362:CB365)</f>
        <v>4000.3740000000003</v>
      </c>
      <c r="CC361" s="167">
        <f>CB361/SUM(CB362:CB365)*100</f>
        <v>100</v>
      </c>
      <c r="CD361" s="16"/>
    </row>
    <row r="362" spans="48:93" x14ac:dyDescent="0.25">
      <c r="AV362" s="477"/>
      <c r="AW362" s="12" t="str">
        <f t="shared" si="10"/>
        <v>Amina</v>
      </c>
      <c r="AX362" s="4">
        <f t="shared" si="11"/>
        <v>8.7351575705974795</v>
      </c>
      <c r="AY362" s="102" t="s">
        <v>18</v>
      </c>
      <c r="AZ362" s="21">
        <f>SUM(AX359:AX366)-SUM(BF365:BF372)</f>
        <v>0</v>
      </c>
      <c r="BD362" s="410" t="s">
        <v>107</v>
      </c>
      <c r="BE362" s="410"/>
      <c r="BG362" s="15" t="s">
        <v>36</v>
      </c>
      <c r="BI362" s="410" t="s">
        <v>103</v>
      </c>
      <c r="BJ362" s="410"/>
      <c r="BL362" s="15" t="s">
        <v>36</v>
      </c>
      <c r="BZ362" s="14" t="s">
        <v>177</v>
      </c>
      <c r="CA362" s="14">
        <f>CF372*CN352</f>
        <v>6.6119999999999992</v>
      </c>
      <c r="CB362" s="14">
        <f>CJ372*CN352</f>
        <v>119.01599999999998</v>
      </c>
      <c r="CC362" s="164">
        <f>CB362/$CB$361*100</f>
        <v>2.975121826109258</v>
      </c>
      <c r="CO362" t="s">
        <v>91</v>
      </c>
    </row>
    <row r="363" spans="48:93" x14ac:dyDescent="0.25">
      <c r="AV363" s="477"/>
      <c r="AW363" s="12" t="str">
        <f t="shared" si="10"/>
        <v>Estaño</v>
      </c>
      <c r="AX363" s="4">
        <f t="shared" si="11"/>
        <v>8.7351575705974795</v>
      </c>
      <c r="AY363" s="102" t="s">
        <v>18</v>
      </c>
      <c r="BD363" s="410"/>
      <c r="BE363" s="410"/>
      <c r="BG363" s="17">
        <f>IF(BG356=BG357,BG357-BG361,BG356-BG361)</f>
        <v>-4367.5787852987396</v>
      </c>
      <c r="BI363" s="410"/>
      <c r="BJ363" s="410"/>
      <c r="BL363" s="17"/>
      <c r="BZ363" s="14" t="str">
        <f>BY248</f>
        <v>Sensaflex</v>
      </c>
      <c r="CA363" s="14">
        <f>BZ248</f>
        <v>85.214999999999989</v>
      </c>
      <c r="CB363" s="14">
        <f t="shared" ref="CB363" si="12">CA248</f>
        <v>1533.87</v>
      </c>
      <c r="CC363" s="164">
        <f t="shared" ref="CC363:CC365" si="13">CB363/$CB$361*100</f>
        <v>38.343164914080532</v>
      </c>
      <c r="CD363" s="22">
        <f>CB362-CJ355</f>
        <v>0</v>
      </c>
    </row>
    <row r="364" spans="48:93" x14ac:dyDescent="0.25">
      <c r="AV364" s="477"/>
      <c r="AW364" s="12" t="str">
        <f t="shared" si="10"/>
        <v>Siliciona</v>
      </c>
      <c r="AX364" s="4">
        <f>BF370</f>
        <v>8.7351575705974795</v>
      </c>
      <c r="AY364" s="102" t="s">
        <v>18</v>
      </c>
      <c r="BD364" s="101" t="s">
        <v>108</v>
      </c>
      <c r="BE364" s="101" t="s">
        <v>118</v>
      </c>
      <c r="BF364" s="101" t="s">
        <v>117</v>
      </c>
      <c r="BG364" s="28" t="s">
        <v>45</v>
      </c>
      <c r="BI364" s="101" t="s">
        <v>50</v>
      </c>
      <c r="BJ364" s="101" t="s">
        <v>1</v>
      </c>
      <c r="BK364" s="101" t="s">
        <v>42</v>
      </c>
      <c r="BL364" s="28"/>
      <c r="BZ364" s="14" t="str">
        <f>BY192</f>
        <v>Colchonetas</v>
      </c>
      <c r="CA364" s="14">
        <f t="shared" ref="CA364:CB364" si="14">BZ192</f>
        <v>111.15</v>
      </c>
      <c r="CB364" s="14">
        <f t="shared" si="14"/>
        <v>2000.7</v>
      </c>
      <c r="CC364" s="164">
        <f t="shared" si="13"/>
        <v>50.012823800974601</v>
      </c>
    </row>
    <row r="365" spans="48:93" x14ac:dyDescent="0.25">
      <c r="AV365" s="477"/>
      <c r="AW365" s="12" t="str">
        <f t="shared" si="10"/>
        <v>Polimérico</v>
      </c>
      <c r="AX365" s="4">
        <f t="shared" si="11"/>
        <v>8.7351575705974795</v>
      </c>
      <c r="AY365" s="102" t="s">
        <v>18</v>
      </c>
      <c r="BD365" s="101" t="s">
        <v>109</v>
      </c>
      <c r="BE365" s="105">
        <v>0.03</v>
      </c>
      <c r="BF365" s="101">
        <f>BE365*$BG$357</f>
        <v>131.02736355896218</v>
      </c>
      <c r="BI365" s="27">
        <f>BJ365*(1/1005)</f>
        <v>4.345849537610686</v>
      </c>
      <c r="BJ365" s="4">
        <f>BL357</f>
        <v>4367.5787852987396</v>
      </c>
      <c r="BK365" s="101">
        <f>IF(BL363&gt;0,BJ365+BL363/2,BJ365)</f>
        <v>4367.5787852987396</v>
      </c>
      <c r="BL365" s="16"/>
      <c r="BZ365" s="14" t="str">
        <f t="shared" ref="BZ365:CA365" si="15">BZ717</f>
        <v>Colchón Cassata</v>
      </c>
      <c r="CA365" s="14">
        <f t="shared" si="15"/>
        <v>19.265999999999998</v>
      </c>
      <c r="CB365" s="14">
        <f>CB717</f>
        <v>346.78799999999995</v>
      </c>
      <c r="CC365" s="164">
        <f t="shared" si="13"/>
        <v>8.6688894588355971</v>
      </c>
    </row>
    <row r="366" spans="48:93" x14ac:dyDescent="0.25">
      <c r="AV366" s="477"/>
      <c r="AW366" s="12" t="str">
        <f>BD372</f>
        <v>Cloruro de Metilo</v>
      </c>
      <c r="AX366" s="4">
        <f t="shared" si="11"/>
        <v>8.7351575705974795</v>
      </c>
      <c r="AY366" s="102" t="s">
        <v>18</v>
      </c>
      <c r="BD366" s="4" t="s">
        <v>110</v>
      </c>
      <c r="BE366" s="105">
        <v>0.63</v>
      </c>
      <c r="BF366" s="101">
        <f t="shared" ref="BF366:BF371" si="16">BE366*$BG$357</f>
        <v>2751.574634738206</v>
      </c>
      <c r="BI366" s="14" t="s">
        <v>104</v>
      </c>
    </row>
    <row r="367" spans="48:93" x14ac:dyDescent="0.25">
      <c r="BD367" s="4" t="s">
        <v>111</v>
      </c>
      <c r="BE367" s="105">
        <v>0.32500000000000001</v>
      </c>
      <c r="BF367" s="101">
        <f t="shared" si="16"/>
        <v>1419.4631052220905</v>
      </c>
      <c r="BG367" s="21">
        <f>BG357-BG361</f>
        <v>0</v>
      </c>
      <c r="BL367" s="22">
        <f>BL357-BL361</f>
        <v>284.20295760732233</v>
      </c>
    </row>
    <row r="368" spans="48:93" x14ac:dyDescent="0.25">
      <c r="BD368" s="4" t="s">
        <v>112</v>
      </c>
      <c r="BE368" s="105">
        <v>2E-3</v>
      </c>
      <c r="BF368" s="101">
        <f t="shared" si="16"/>
        <v>8.7351575705974795</v>
      </c>
    </row>
    <row r="369" spans="56:90" x14ac:dyDescent="0.25">
      <c r="BD369" s="4" t="s">
        <v>113</v>
      </c>
      <c r="BE369" s="105">
        <v>2E-3</v>
      </c>
      <c r="BF369" s="101">
        <f t="shared" si="16"/>
        <v>8.7351575705974795</v>
      </c>
    </row>
    <row r="370" spans="56:90" x14ac:dyDescent="0.25">
      <c r="BD370" s="4" t="s">
        <v>114</v>
      </c>
      <c r="BE370" s="105">
        <v>2E-3</v>
      </c>
      <c r="BF370" s="101">
        <f t="shared" si="16"/>
        <v>8.7351575705974795</v>
      </c>
      <c r="CC370" s="415" t="s">
        <v>188</v>
      </c>
      <c r="CD370" s="415"/>
      <c r="CE370" s="4" t="s">
        <v>19</v>
      </c>
      <c r="CF370" s="101" t="s">
        <v>20</v>
      </c>
      <c r="CG370" s="101" t="s">
        <v>2</v>
      </c>
      <c r="CH370" s="101" t="s">
        <v>21</v>
      </c>
      <c r="CI370" s="101" t="s">
        <v>2</v>
      </c>
      <c r="CJ370" s="11" t="s">
        <v>24</v>
      </c>
    </row>
    <row r="371" spans="56:90" x14ac:dyDescent="0.25">
      <c r="BD371" s="4" t="s">
        <v>115</v>
      </c>
      <c r="BE371" s="105">
        <v>2E-3</v>
      </c>
      <c r="BF371" s="101">
        <f t="shared" si="16"/>
        <v>8.7351575705974795</v>
      </c>
      <c r="CB371" s="153"/>
      <c r="CC371" s="104"/>
      <c r="CD371" s="104"/>
      <c r="CE371" s="23"/>
      <c r="CF371" s="23"/>
      <c r="CG371" s="23"/>
      <c r="CH371" s="23"/>
      <c r="CI371" s="23"/>
      <c r="CJ371" s="39"/>
    </row>
    <row r="372" spans="56:90" x14ac:dyDescent="0.25">
      <c r="BD372" s="4" t="s">
        <v>116</v>
      </c>
      <c r="BE372" s="105">
        <v>2E-3</v>
      </c>
      <c r="BF372" s="101">
        <f>BE372*$BG$357</f>
        <v>8.7351575705974795</v>
      </c>
      <c r="CB372" s="149" t="s">
        <v>128</v>
      </c>
      <c r="CC372" s="158">
        <f>100*190*3</f>
        <v>57000</v>
      </c>
      <c r="CD372" s="104" t="s">
        <v>26</v>
      </c>
      <c r="CE372" s="23">
        <v>9.9999999999999995E-7</v>
      </c>
      <c r="CF372" s="23">
        <f t="shared" ref="CF372:CF379" si="17">CC372*CE372</f>
        <v>5.6999999999999995E-2</v>
      </c>
      <c r="CG372" s="23" t="s">
        <v>15</v>
      </c>
      <c r="CH372" s="23">
        <v>18</v>
      </c>
      <c r="CI372" s="23" t="s">
        <v>13</v>
      </c>
      <c r="CJ372" s="23">
        <f>CF372*CH372</f>
        <v>1.0259999999999998</v>
      </c>
    </row>
    <row r="373" spans="56:90" x14ac:dyDescent="0.25">
      <c r="CB373" s="149" t="s">
        <v>130</v>
      </c>
      <c r="CC373" s="158">
        <f>5782.8</f>
        <v>5782.8</v>
      </c>
      <c r="CD373" s="104" t="s">
        <v>10</v>
      </c>
      <c r="CE373" s="23">
        <f>1/100</f>
        <v>0.01</v>
      </c>
      <c r="CF373" s="23">
        <f t="shared" si="17"/>
        <v>57.828000000000003</v>
      </c>
      <c r="CG373" s="23" t="s">
        <v>16</v>
      </c>
      <c r="CH373" s="23">
        <v>7.7585999999999999E-5</v>
      </c>
      <c r="CI373" s="23" t="s">
        <v>22</v>
      </c>
      <c r="CJ373" s="23">
        <f t="shared" ref="CJ373:CJ375" si="18">CF373*CH373</f>
        <v>4.4866432080000003E-3</v>
      </c>
    </row>
    <row r="374" spans="56:90" x14ac:dyDescent="0.25">
      <c r="CB374" s="149" t="s">
        <v>164</v>
      </c>
      <c r="CC374" s="158">
        <f>230*230*0.3</f>
        <v>15870</v>
      </c>
      <c r="CD374" s="104" t="s">
        <v>26</v>
      </c>
      <c r="CE374" s="23">
        <v>9.9999999999999995E-7</v>
      </c>
      <c r="CF374" s="23">
        <f t="shared" si="17"/>
        <v>1.5869999999999999E-2</v>
      </c>
      <c r="CG374" s="23" t="s">
        <v>15</v>
      </c>
      <c r="CH374" s="23">
        <v>12</v>
      </c>
      <c r="CI374" s="23" t="s">
        <v>13</v>
      </c>
      <c r="CJ374" s="23">
        <f t="shared" si="18"/>
        <v>0.19044</v>
      </c>
    </row>
    <row r="375" spans="56:90" x14ac:dyDescent="0.25">
      <c r="CB375" s="149" t="s">
        <v>127</v>
      </c>
      <c r="CC375" s="158">
        <v>59400</v>
      </c>
      <c r="CD375" s="104" t="s">
        <v>9</v>
      </c>
      <c r="CE375" s="23">
        <f>0.0001</f>
        <v>1E-4</v>
      </c>
      <c r="CF375" s="23">
        <f t="shared" si="17"/>
        <v>5.94</v>
      </c>
      <c r="CG375" s="23" t="s">
        <v>17</v>
      </c>
      <c r="CH375" s="23">
        <f>20/1000</f>
        <v>0.02</v>
      </c>
      <c r="CI375" s="23" t="s">
        <v>23</v>
      </c>
      <c r="CJ375" s="23">
        <f t="shared" si="18"/>
        <v>0.11880000000000002</v>
      </c>
    </row>
    <row r="376" spans="56:90" x14ac:dyDescent="0.25">
      <c r="CB376" s="149" t="s">
        <v>93</v>
      </c>
      <c r="CC376" s="158">
        <v>100</v>
      </c>
      <c r="CD376" s="104" t="s">
        <v>10</v>
      </c>
      <c r="CE376" s="23">
        <f>1/100</f>
        <v>0.01</v>
      </c>
      <c r="CF376" s="23">
        <f t="shared" si="17"/>
        <v>1</v>
      </c>
      <c r="CG376" s="23" t="s">
        <v>16</v>
      </c>
      <c r="CH376" s="23">
        <f>1/117.5</f>
        <v>8.5106382978723406E-3</v>
      </c>
      <c r="CI376" s="23" t="s">
        <v>22</v>
      </c>
      <c r="CJ376" s="23">
        <f>CF376*CH376</f>
        <v>8.5106382978723406E-3</v>
      </c>
    </row>
    <row r="377" spans="56:90" x14ac:dyDescent="0.25">
      <c r="CB377" s="137" t="s">
        <v>130</v>
      </c>
      <c r="CC377" s="158">
        <f>26177.96</f>
        <v>26177.96</v>
      </c>
      <c r="CD377" s="104" t="s">
        <v>10</v>
      </c>
      <c r="CE377" s="23">
        <f>1/100</f>
        <v>0.01</v>
      </c>
      <c r="CF377" s="23">
        <f t="shared" si="17"/>
        <v>261.77960000000002</v>
      </c>
      <c r="CG377" s="23" t="s">
        <v>16</v>
      </c>
      <c r="CH377" s="23">
        <v>7.7585999999999999E-5</v>
      </c>
      <c r="CI377" s="23" t="s">
        <v>22</v>
      </c>
      <c r="CJ377" s="23">
        <f>CF377*CH377</f>
        <v>2.0310432045599999E-2</v>
      </c>
      <c r="CK377" s="408" t="s">
        <v>204</v>
      </c>
      <c r="CL377" s="408"/>
    </row>
    <row r="378" spans="56:90" x14ac:dyDescent="0.25">
      <c r="CB378" s="137" t="s">
        <v>132</v>
      </c>
      <c r="CC378" s="151">
        <f>227*227</f>
        <v>51529</v>
      </c>
      <c r="CD378" s="131" t="s">
        <v>9</v>
      </c>
      <c r="CE378" s="39">
        <f>0.0001</f>
        <v>1E-4</v>
      </c>
      <c r="CF378" s="39">
        <f t="shared" si="17"/>
        <v>5.1528999999999998</v>
      </c>
      <c r="CG378" s="39" t="s">
        <v>17</v>
      </c>
      <c r="CH378" s="39">
        <v>0.1</v>
      </c>
      <c r="CI378" s="39" t="s">
        <v>23</v>
      </c>
      <c r="CJ378" s="39">
        <f>CF378*CH378</f>
        <v>0.51529000000000003</v>
      </c>
      <c r="CK378" s="4">
        <f>CJ372+CJ373+CJ374+CJ375+CJ376+CJ377+CJ378+CJ379+CJ380+CJ381</f>
        <v>21.351838932957872</v>
      </c>
      <c r="CL378" s="4" t="s">
        <v>18</v>
      </c>
    </row>
    <row r="379" spans="56:90" x14ac:dyDescent="0.25">
      <c r="CB379" s="149" t="s">
        <v>165</v>
      </c>
      <c r="CC379" s="152">
        <f>0.582*0.582*0.3</f>
        <v>0.10161719999999999</v>
      </c>
      <c r="CD379" s="127" t="s">
        <v>26</v>
      </c>
      <c r="CE379" s="71">
        <v>9.9999999999999995E-7</v>
      </c>
      <c r="CF379" s="71">
        <f t="shared" si="17"/>
        <v>1.0161719999999999E-7</v>
      </c>
      <c r="CG379" s="71" t="s">
        <v>15</v>
      </c>
      <c r="CH379" s="71">
        <v>12</v>
      </c>
      <c r="CI379" s="71" t="s">
        <v>13</v>
      </c>
      <c r="CJ379" s="71">
        <f>CF379*CH379</f>
        <v>1.2194063999999998E-6</v>
      </c>
    </row>
    <row r="380" spans="56:90" x14ac:dyDescent="0.25">
      <c r="CB380" s="137" t="s">
        <v>174</v>
      </c>
      <c r="CC380" s="155">
        <v>1</v>
      </c>
      <c r="CD380" s="156" t="s">
        <v>2</v>
      </c>
      <c r="CE380" s="67"/>
      <c r="CF380" s="67"/>
      <c r="CG380" s="139" t="s">
        <v>18</v>
      </c>
      <c r="CH380" s="67"/>
      <c r="CI380" s="139" t="s">
        <v>18</v>
      </c>
      <c r="CJ380" s="71">
        <f>19.44</f>
        <v>19.440000000000001</v>
      </c>
    </row>
    <row r="381" spans="56:90" x14ac:dyDescent="0.25">
      <c r="CB381" s="137" t="s">
        <v>175</v>
      </c>
      <c r="CC381" s="152">
        <f>7*4</f>
        <v>28</v>
      </c>
      <c r="CD381" s="138" t="s">
        <v>5</v>
      </c>
      <c r="CE381" s="71"/>
      <c r="CF381" s="71"/>
      <c r="CG381" s="71"/>
      <c r="CH381" s="71">
        <f>1/1000</f>
        <v>1E-3</v>
      </c>
      <c r="CI381" s="139" t="s">
        <v>18</v>
      </c>
      <c r="CJ381" s="139">
        <f>CC381*CH381</f>
        <v>2.8000000000000001E-2</v>
      </c>
    </row>
    <row r="385" spans="67:78" x14ac:dyDescent="0.25">
      <c r="BO385" s="18" t="s">
        <v>36</v>
      </c>
    </row>
    <row r="386" spans="67:78" x14ac:dyDescent="0.25">
      <c r="BO386" s="19">
        <v>1E-4</v>
      </c>
    </row>
    <row r="387" spans="67:78" x14ac:dyDescent="0.25">
      <c r="BO387" s="18">
        <f>BO388+BO388*BO386</f>
        <v>0</v>
      </c>
    </row>
    <row r="388" spans="67:78" x14ac:dyDescent="0.25">
      <c r="BO388" s="130">
        <f>BZ403</f>
        <v>0</v>
      </c>
      <c r="BV388" s="41" t="s">
        <v>58</v>
      </c>
      <c r="BW388" s="41"/>
    </row>
    <row r="389" spans="67:78" x14ac:dyDescent="0.25">
      <c r="BO389" s="13" t="s">
        <v>34</v>
      </c>
      <c r="BV389" s="25" t="s">
        <v>156</v>
      </c>
      <c r="BW389" s="4"/>
    </row>
    <row r="390" spans="67:78" x14ac:dyDescent="0.25">
      <c r="BO390" s="29" t="s">
        <v>142</v>
      </c>
      <c r="BV390" s="129">
        <f>BZ403</f>
        <v>0</v>
      </c>
      <c r="BW390" s="4" t="s">
        <v>18</v>
      </c>
    </row>
    <row r="391" spans="67:78" x14ac:dyDescent="0.25">
      <c r="BO391" s="14" t="s">
        <v>35</v>
      </c>
      <c r="BR391" s="404" t="s">
        <v>51</v>
      </c>
      <c r="BS391" s="405"/>
      <c r="BV391" s="12">
        <f>6/1000</f>
        <v>6.0000000000000001E-3</v>
      </c>
      <c r="BW391" s="4" t="s">
        <v>158</v>
      </c>
    </row>
    <row r="392" spans="67:78" x14ac:dyDescent="0.25">
      <c r="BO392" s="130">
        <f>BO388</f>
        <v>0</v>
      </c>
      <c r="BR392" s="406" t="s">
        <v>159</v>
      </c>
      <c r="BS392" s="407"/>
    </row>
    <row r="393" spans="67:78" x14ac:dyDescent="0.25">
      <c r="BO393" s="15" t="s">
        <v>36</v>
      </c>
      <c r="BR393" s="43">
        <f>IF(CK441-BO388&lt;0,0,CK441-BO388)</f>
        <v>2.976</v>
      </c>
      <c r="BS393" s="44" t="s">
        <v>18</v>
      </c>
    </row>
    <row r="394" spans="67:78" x14ac:dyDescent="0.25">
      <c r="BO394" s="210">
        <f>BO392-CK441</f>
        <v>-2.976</v>
      </c>
      <c r="BP394" s="209"/>
      <c r="BQ394" s="209"/>
      <c r="BR394" s="43">
        <f>BR393</f>
        <v>2.976</v>
      </c>
      <c r="BS394" s="44" t="s">
        <v>18</v>
      </c>
    </row>
    <row r="395" spans="67:78" x14ac:dyDescent="0.25">
      <c r="BO395" s="209" t="s">
        <v>168</v>
      </c>
      <c r="BP395" s="209"/>
      <c r="BQ395" s="209"/>
    </row>
    <row r="399" spans="67:78" x14ac:dyDescent="0.25">
      <c r="BV399" s="10"/>
      <c r="BW399" s="10"/>
      <c r="BX399" s="10"/>
      <c r="BY399" s="10"/>
      <c r="BZ399" s="10"/>
    </row>
    <row r="400" spans="67:78" x14ac:dyDescent="0.25">
      <c r="BV400" s="10"/>
      <c r="BW400" s="10"/>
      <c r="BX400" s="10"/>
      <c r="BY400" s="10"/>
      <c r="BZ400" s="10" t="s">
        <v>141</v>
      </c>
    </row>
    <row r="401" spans="74:93" x14ac:dyDescent="0.25">
      <c r="BV401" s="10"/>
      <c r="BW401" s="10"/>
      <c r="BX401" s="10"/>
      <c r="BY401" s="10"/>
      <c r="BZ401" s="49" t="s">
        <v>36</v>
      </c>
    </row>
    <row r="402" spans="74:93" x14ac:dyDescent="0.25">
      <c r="BV402" s="10"/>
      <c r="BW402" s="10"/>
      <c r="BX402" s="10"/>
      <c r="BY402" s="10"/>
      <c r="BZ402" s="45" t="s">
        <v>54</v>
      </c>
    </row>
    <row r="403" spans="74:93" x14ac:dyDescent="0.25">
      <c r="BV403" s="10"/>
      <c r="BW403" s="10"/>
      <c r="BX403" s="10"/>
      <c r="BY403" s="10"/>
      <c r="BZ403" s="121">
        <f>BZ404-BZ408</f>
        <v>0</v>
      </c>
    </row>
    <row r="404" spans="74:93" x14ac:dyDescent="0.25">
      <c r="BV404" s="10"/>
      <c r="BW404" s="10"/>
      <c r="BX404" s="10"/>
      <c r="BY404" s="10"/>
      <c r="BZ404" s="113">
        <f>BW410</f>
        <v>0</v>
      </c>
    </row>
    <row r="405" spans="74:93" x14ac:dyDescent="0.25">
      <c r="BV405" s="437" t="s">
        <v>139</v>
      </c>
      <c r="BW405" s="438"/>
      <c r="BX405" s="10"/>
      <c r="BY405" s="10"/>
      <c r="BZ405" s="47" t="s">
        <v>34</v>
      </c>
    </row>
    <row r="406" spans="74:93" x14ac:dyDescent="0.25">
      <c r="BV406" s="439"/>
      <c r="BW406" s="440"/>
      <c r="BX406" s="10"/>
      <c r="BY406" s="10"/>
      <c r="BZ406" s="118" t="s">
        <v>138</v>
      </c>
    </row>
    <row r="407" spans="74:93" x14ac:dyDescent="0.25">
      <c r="BV407" s="120" t="s">
        <v>1</v>
      </c>
      <c r="BW407" s="120" t="s">
        <v>1</v>
      </c>
      <c r="BX407" s="116"/>
      <c r="BY407" s="10"/>
      <c r="BZ407" s="48" t="s">
        <v>35</v>
      </c>
    </row>
    <row r="408" spans="74:93" x14ac:dyDescent="0.25">
      <c r="BV408" s="120">
        <f>BW408</f>
        <v>0</v>
      </c>
      <c r="BW408" s="67">
        <f>BW410</f>
        <v>0</v>
      </c>
      <c r="BX408" s="55"/>
      <c r="BY408" s="10"/>
      <c r="BZ408" s="10">
        <f>CI423</f>
        <v>0</v>
      </c>
    </row>
    <row r="409" spans="74:93" x14ac:dyDescent="0.25">
      <c r="BV409" s="422" t="s">
        <v>186</v>
      </c>
      <c r="BW409" s="10"/>
      <c r="BX409" s="10"/>
      <c r="BY409" s="10"/>
      <c r="BZ409" s="50" t="s">
        <v>36</v>
      </c>
    </row>
    <row r="410" spans="74:93" x14ac:dyDescent="0.25">
      <c r="BV410" s="423"/>
      <c r="BW410" s="10">
        <f>BZ408+BZ408*0.05</f>
        <v>0</v>
      </c>
      <c r="BX410" s="10"/>
      <c r="BY410" s="10"/>
      <c r="BZ410" s="117" t="s">
        <v>63</v>
      </c>
    </row>
    <row r="411" spans="74:93" x14ac:dyDescent="0.25">
      <c r="BV411" s="10"/>
      <c r="BW411" s="48"/>
      <c r="BX411" s="10"/>
      <c r="BY411" s="10"/>
      <c r="BZ411" s="28"/>
    </row>
    <row r="412" spans="74:93" x14ac:dyDescent="0.25">
      <c r="BV412" s="10"/>
      <c r="BW412" s="10"/>
      <c r="BX412" s="10"/>
      <c r="BY412" s="10"/>
      <c r="BZ412" s="16"/>
    </row>
    <row r="413" spans="74:93" x14ac:dyDescent="0.25">
      <c r="BV413" s="10"/>
      <c r="BW413" s="10"/>
      <c r="BX413" s="10"/>
      <c r="BY413" s="10"/>
      <c r="BZ413" s="10"/>
    </row>
    <row r="414" spans="74:93" x14ac:dyDescent="0.25">
      <c r="BV414" s="10"/>
      <c r="BW414" s="10"/>
      <c r="BX414" s="10"/>
      <c r="BY414" s="48"/>
      <c r="BZ414" s="52">
        <f>BW410-CI423</f>
        <v>0</v>
      </c>
    </row>
    <row r="415" spans="74:93" x14ac:dyDescent="0.25">
      <c r="CO415" s="14" t="s">
        <v>247</v>
      </c>
    </row>
    <row r="416" spans="74:93" x14ac:dyDescent="0.25">
      <c r="CO416" s="14">
        <f>CK409+CH409+CJ429+CJ433+CK437+BR393</f>
        <v>640.69216978942256</v>
      </c>
    </row>
    <row r="424" spans="78:94" x14ac:dyDescent="0.25">
      <c r="CL424">
        <f>CJ423+CJ429+CJ433+CK437+CK441+CJ417+CM417</f>
        <v>640.69216978942256</v>
      </c>
      <c r="CN424" s="430" t="s">
        <v>52</v>
      </c>
      <c r="CO424" s="431"/>
    </row>
    <row r="425" spans="78:94" x14ac:dyDescent="0.25">
      <c r="CL425" s="13" t="s">
        <v>34</v>
      </c>
      <c r="CN425" s="417" t="s">
        <v>191</v>
      </c>
      <c r="CO425" s="418"/>
      <c r="CP425" s="127" t="s">
        <v>181</v>
      </c>
    </row>
    <row r="426" spans="78:94" x14ac:dyDescent="0.25">
      <c r="CL426" s="109" t="s">
        <v>160</v>
      </c>
      <c r="CN426" s="184">
        <v>124</v>
      </c>
      <c r="CO426" s="4" t="s">
        <v>27</v>
      </c>
    </row>
    <row r="427" spans="78:94" x14ac:dyDescent="0.25">
      <c r="CI427" s="428" t="s">
        <v>134</v>
      </c>
      <c r="CJ427" s="429"/>
      <c r="CL427" s="14" t="s">
        <v>35</v>
      </c>
      <c r="CN427" s="4">
        <f>CN426*CK452</f>
        <v>1399.3942252802372</v>
      </c>
      <c r="CO427" s="4" t="s">
        <v>28</v>
      </c>
    </row>
    <row r="428" spans="78:94" x14ac:dyDescent="0.25">
      <c r="CI428" s="101" t="s">
        <v>50</v>
      </c>
      <c r="CJ428" s="101" t="s">
        <v>1</v>
      </c>
      <c r="CL428">
        <f>CN427</f>
        <v>1399.3942252802372</v>
      </c>
    </row>
    <row r="429" spans="78:94" x14ac:dyDescent="0.25">
      <c r="CI429" s="101">
        <f>CN426*CF446</f>
        <v>35.339999999999996</v>
      </c>
      <c r="CJ429" s="4">
        <f>CN426*(CJ446)</f>
        <v>636.12</v>
      </c>
      <c r="CL429" s="15" t="s">
        <v>36</v>
      </c>
    </row>
    <row r="430" spans="78:94" x14ac:dyDescent="0.25">
      <c r="CA430" s="419" t="s">
        <v>51</v>
      </c>
      <c r="CB430" s="420"/>
      <c r="CL430" s="1">
        <f>CL424-CL428</f>
        <v>-758.70205549081459</v>
      </c>
    </row>
    <row r="431" spans="78:94" x14ac:dyDescent="0.25">
      <c r="BZ431" s="161" t="s">
        <v>185</v>
      </c>
      <c r="CA431" s="142" t="str">
        <f>CI427</f>
        <v xml:space="preserve">Lámina de espuma </v>
      </c>
      <c r="CB431" s="143"/>
      <c r="CI431" s="428" t="s">
        <v>98</v>
      </c>
      <c r="CJ431" s="429"/>
      <c r="CL431" s="28" t="s">
        <v>45</v>
      </c>
    </row>
    <row r="432" spans="78:94" x14ac:dyDescent="0.25">
      <c r="CA432" s="120">
        <f>CI429</f>
        <v>35.339999999999996</v>
      </c>
      <c r="CB432" s="141" t="str">
        <f>CI428</f>
        <v>en m^3</v>
      </c>
      <c r="CI432" s="101" t="s">
        <v>30</v>
      </c>
      <c r="CJ432" s="101" t="s">
        <v>1</v>
      </c>
    </row>
    <row r="433" spans="79:93" x14ac:dyDescent="0.25">
      <c r="CA433" s="120">
        <f>CJ429</f>
        <v>636.12</v>
      </c>
      <c r="CB433" s="141" t="str">
        <f>CJ428</f>
        <v>en kg</v>
      </c>
      <c r="CI433" s="101">
        <f>CN426*CF450</f>
        <v>124</v>
      </c>
      <c r="CJ433" s="4">
        <f>CN426*(CJ450)</f>
        <v>1.0553191489361702</v>
      </c>
    </row>
    <row r="435" spans="79:93" x14ac:dyDescent="0.25">
      <c r="CF435" s="419" t="s">
        <v>51</v>
      </c>
      <c r="CG435" s="420"/>
      <c r="CH435" s="144"/>
      <c r="CJ435" s="428" t="s">
        <v>137</v>
      </c>
      <c r="CK435" s="429"/>
    </row>
    <row r="436" spans="79:93" x14ac:dyDescent="0.25">
      <c r="CF436" s="142" t="s">
        <v>98</v>
      </c>
      <c r="CG436" s="143" t="str">
        <f>CJ435</f>
        <v>Hilo</v>
      </c>
      <c r="CH436" s="103"/>
      <c r="CJ436" s="101" t="s">
        <v>30</v>
      </c>
      <c r="CK436" s="101" t="s">
        <v>1</v>
      </c>
      <c r="CO436" t="s">
        <v>91</v>
      </c>
    </row>
    <row r="437" spans="79:93" x14ac:dyDescent="0.25">
      <c r="CF437" s="120">
        <f>CJ433</f>
        <v>1.0553191489361702</v>
      </c>
      <c r="CG437" s="141">
        <f>CK437</f>
        <v>0.54085064048639997</v>
      </c>
      <c r="CH437" s="4" t="s">
        <v>18</v>
      </c>
      <c r="CJ437" s="101">
        <f>CJ447*CN426</f>
        <v>0.54085064048639997</v>
      </c>
      <c r="CK437" s="4">
        <f>CN426*(CJ447)</f>
        <v>0.54085064048639997</v>
      </c>
    </row>
    <row r="438" spans="79:93" x14ac:dyDescent="0.25">
      <c r="CF438" s="120">
        <f>CI433</f>
        <v>124</v>
      </c>
      <c r="CG438" s="141">
        <f>CJ437</f>
        <v>0.54085064048639997</v>
      </c>
      <c r="CH438" s="4" t="s">
        <v>16</v>
      </c>
    </row>
    <row r="439" spans="79:93" x14ac:dyDescent="0.25">
      <c r="CJ439" s="428" t="s">
        <v>161</v>
      </c>
      <c r="CK439" s="429"/>
    </row>
    <row r="440" spans="79:93" x14ac:dyDescent="0.25">
      <c r="CJ440" s="101" t="s">
        <v>4</v>
      </c>
      <c r="CK440" s="101" t="s">
        <v>1</v>
      </c>
    </row>
    <row r="441" spans="79:93" x14ac:dyDescent="0.25">
      <c r="CJ441" s="101">
        <f>CN426*4</f>
        <v>496</v>
      </c>
      <c r="CK441" s="4">
        <f>CJ455*CN426</f>
        <v>2.976</v>
      </c>
    </row>
    <row r="444" spans="79:93" x14ac:dyDescent="0.25">
      <c r="CC444" s="432" t="s">
        <v>189</v>
      </c>
      <c r="CD444" s="433"/>
      <c r="CE444" s="4" t="s">
        <v>19</v>
      </c>
      <c r="CF444" s="101" t="s">
        <v>20</v>
      </c>
      <c r="CG444" s="101" t="s">
        <v>2</v>
      </c>
      <c r="CH444" s="101" t="s">
        <v>21</v>
      </c>
      <c r="CI444" s="101" t="s">
        <v>2</v>
      </c>
      <c r="CJ444" s="11" t="s">
        <v>24</v>
      </c>
    </row>
    <row r="445" spans="79:93" x14ac:dyDescent="0.25">
      <c r="CB445" s="101"/>
      <c r="CC445" s="104"/>
      <c r="CD445" s="104"/>
      <c r="CE445" s="23"/>
      <c r="CF445" s="23"/>
      <c r="CG445" s="23"/>
      <c r="CH445" s="23"/>
      <c r="CI445" s="23"/>
      <c r="CJ445" s="39"/>
    </row>
    <row r="446" spans="79:93" x14ac:dyDescent="0.25">
      <c r="CB446" s="27" t="s">
        <v>128</v>
      </c>
      <c r="CC446" s="104">
        <f>100*190*15</f>
        <v>285000</v>
      </c>
      <c r="CD446" s="104" t="s">
        <v>26</v>
      </c>
      <c r="CE446" s="23">
        <v>9.9999999999999995E-7</v>
      </c>
      <c r="CF446" s="23">
        <f t="shared" ref="CF446:CF453" si="19">CC446*CE446</f>
        <v>0.28499999999999998</v>
      </c>
      <c r="CG446" s="23" t="s">
        <v>15</v>
      </c>
      <c r="CH446" s="23">
        <v>18</v>
      </c>
      <c r="CI446" s="23" t="s">
        <v>13</v>
      </c>
      <c r="CJ446" s="23">
        <f>CF446*CH446</f>
        <v>5.13</v>
      </c>
    </row>
    <row r="447" spans="79:93" x14ac:dyDescent="0.25">
      <c r="CB447" s="27" t="s">
        <v>130</v>
      </c>
      <c r="CC447" s="104">
        <f>5621.76</f>
        <v>5621.76</v>
      </c>
      <c r="CD447" s="104" t="s">
        <v>10</v>
      </c>
      <c r="CE447" s="23">
        <f>1/100</f>
        <v>0.01</v>
      </c>
      <c r="CF447" s="23">
        <f t="shared" si="19"/>
        <v>56.217600000000004</v>
      </c>
      <c r="CG447" s="23" t="s">
        <v>16</v>
      </c>
      <c r="CH447" s="23">
        <v>7.7585999999999999E-5</v>
      </c>
      <c r="CI447" s="23" t="s">
        <v>22</v>
      </c>
      <c r="CJ447" s="23">
        <f t="shared" ref="CJ447:CJ449" si="20">CF447*CH447</f>
        <v>4.3616987136000001E-3</v>
      </c>
    </row>
    <row r="448" spans="79:93" x14ac:dyDescent="0.25">
      <c r="CB448" s="27" t="s">
        <v>164</v>
      </c>
      <c r="CC448" s="104">
        <f>210*210*0.3</f>
        <v>13230</v>
      </c>
      <c r="CD448" s="104" t="s">
        <v>26</v>
      </c>
      <c r="CE448" s="23">
        <v>9.9999999999999995E-7</v>
      </c>
      <c r="CF448" s="23">
        <f t="shared" si="19"/>
        <v>1.3229999999999999E-2</v>
      </c>
      <c r="CG448" s="23" t="s">
        <v>15</v>
      </c>
      <c r="CH448" s="23">
        <v>12</v>
      </c>
      <c r="CI448" s="23" t="s">
        <v>13</v>
      </c>
      <c r="CJ448" s="23">
        <f t="shared" si="20"/>
        <v>0.15875999999999998</v>
      </c>
    </row>
    <row r="449" spans="67:90" x14ac:dyDescent="0.25">
      <c r="CB449" s="27" t="s">
        <v>127</v>
      </c>
      <c r="CC449" s="104">
        <f>56000</f>
        <v>56000</v>
      </c>
      <c r="CD449" s="104" t="s">
        <v>9</v>
      </c>
      <c r="CE449" s="23">
        <f>0.0001</f>
        <v>1E-4</v>
      </c>
      <c r="CF449" s="23">
        <f t="shared" si="19"/>
        <v>5.6000000000000005</v>
      </c>
      <c r="CG449" s="23" t="s">
        <v>17</v>
      </c>
      <c r="CH449" s="23">
        <f>20/1000</f>
        <v>0.02</v>
      </c>
      <c r="CI449" s="23" t="s">
        <v>23</v>
      </c>
      <c r="CJ449" s="23">
        <f t="shared" si="20"/>
        <v>0.11200000000000002</v>
      </c>
    </row>
    <row r="450" spans="67:90" x14ac:dyDescent="0.25">
      <c r="CB450" s="27" t="s">
        <v>93</v>
      </c>
      <c r="CC450" s="104">
        <v>100</v>
      </c>
      <c r="CD450" s="104" t="s">
        <v>10</v>
      </c>
      <c r="CE450" s="23">
        <f>1/100</f>
        <v>0.01</v>
      </c>
      <c r="CF450" s="23">
        <f t="shared" si="19"/>
        <v>1</v>
      </c>
      <c r="CG450" s="23" t="s">
        <v>16</v>
      </c>
      <c r="CH450" s="23">
        <f>1/117.5</f>
        <v>8.5106382978723406E-3</v>
      </c>
      <c r="CI450" s="23" t="s">
        <v>22</v>
      </c>
      <c r="CJ450" s="23">
        <f>CF450*CH450</f>
        <v>8.5106382978723406E-3</v>
      </c>
    </row>
    <row r="451" spans="67:90" x14ac:dyDescent="0.25">
      <c r="CB451" s="132" t="s">
        <v>130</v>
      </c>
      <c r="CC451" s="104">
        <f>2400.96</f>
        <v>2400.96</v>
      </c>
      <c r="CD451" s="104" t="s">
        <v>10</v>
      </c>
      <c r="CE451" s="23">
        <f>1/100</f>
        <v>0.01</v>
      </c>
      <c r="CF451" s="23">
        <f t="shared" si="19"/>
        <v>24.009600000000002</v>
      </c>
      <c r="CG451" s="23" t="s">
        <v>16</v>
      </c>
      <c r="CH451" s="23">
        <v>7.7585999999999999E-5</v>
      </c>
      <c r="CI451" s="23" t="s">
        <v>22</v>
      </c>
      <c r="CJ451" s="23">
        <f>CF451*CH451</f>
        <v>1.8628088256000001E-3</v>
      </c>
      <c r="CK451" s="434" t="s">
        <v>205</v>
      </c>
      <c r="CL451" s="435"/>
    </row>
    <row r="452" spans="67:90" x14ac:dyDescent="0.25">
      <c r="CB452" s="132" t="s">
        <v>132</v>
      </c>
      <c r="CC452" s="131">
        <f>227*227</f>
        <v>51529</v>
      </c>
      <c r="CD452" s="131" t="s">
        <v>9</v>
      </c>
      <c r="CE452" s="39">
        <f>0.0001</f>
        <v>1E-4</v>
      </c>
      <c r="CF452" s="39">
        <f t="shared" si="19"/>
        <v>5.1528999999999998</v>
      </c>
      <c r="CG452" s="39" t="s">
        <v>17</v>
      </c>
      <c r="CH452" s="39">
        <v>0.1</v>
      </c>
      <c r="CI452" s="39" t="s">
        <v>23</v>
      </c>
      <c r="CJ452" s="39">
        <f>CF452*CH452</f>
        <v>0.51529000000000003</v>
      </c>
      <c r="CK452" s="4">
        <f>CJ446+CJ447+CJ448+CJ449+CJ450+CJ451+CJ452+CJ453+CJ454+CJ455+CJ457+CJ456</f>
        <v>11.285437300647073</v>
      </c>
      <c r="CL452" s="4" t="s">
        <v>18</v>
      </c>
    </row>
    <row r="453" spans="67:90" x14ac:dyDescent="0.25">
      <c r="CB453" s="108" t="s">
        <v>165</v>
      </c>
      <c r="CC453" s="71">
        <f>0.515*0.515*0.3</f>
        <v>7.9567499999999999E-2</v>
      </c>
      <c r="CD453" s="127" t="s">
        <v>26</v>
      </c>
      <c r="CE453" s="71">
        <v>9.9999999999999995E-7</v>
      </c>
      <c r="CF453" s="71">
        <f t="shared" si="19"/>
        <v>7.9567500000000001E-8</v>
      </c>
      <c r="CG453" s="71" t="s">
        <v>15</v>
      </c>
      <c r="CH453" s="71">
        <v>12</v>
      </c>
      <c r="CI453" s="71" t="s">
        <v>13</v>
      </c>
      <c r="CJ453" s="71">
        <f>CF453*CH453</f>
        <v>9.5481000000000001E-7</v>
      </c>
    </row>
    <row r="454" spans="67:90" x14ac:dyDescent="0.25">
      <c r="CB454" s="134" t="s">
        <v>166</v>
      </c>
      <c r="CC454" s="135"/>
      <c r="CD454" s="135"/>
      <c r="CE454" s="135"/>
      <c r="CF454" s="136">
        <v>1.23</v>
      </c>
      <c r="CG454" s="136" t="s">
        <v>17</v>
      </c>
      <c r="CH454" s="136">
        <v>0.1</v>
      </c>
      <c r="CI454" s="136" t="s">
        <v>22</v>
      </c>
      <c r="CJ454" s="136">
        <f>CF454*CH454</f>
        <v>0.123</v>
      </c>
    </row>
    <row r="455" spans="67:90" x14ac:dyDescent="0.25">
      <c r="CB455" s="137" t="s">
        <v>167</v>
      </c>
      <c r="CC455" s="71">
        <f>6*4</f>
        <v>24</v>
      </c>
      <c r="CD455" s="138" t="s">
        <v>5</v>
      </c>
      <c r="CE455" s="71"/>
      <c r="CF455" s="71"/>
      <c r="CG455" s="71"/>
      <c r="CH455" s="71">
        <f>1/1000</f>
        <v>1E-3</v>
      </c>
      <c r="CI455" s="139" t="s">
        <v>18</v>
      </c>
      <c r="CJ455" s="139">
        <f>CC455*CH455</f>
        <v>2.4E-2</v>
      </c>
    </row>
    <row r="456" spans="67:90" x14ac:dyDescent="0.25">
      <c r="CB456" s="137" t="s">
        <v>182</v>
      </c>
      <c r="CC456" s="14">
        <f>190*100*3</f>
        <v>57000</v>
      </c>
      <c r="CD456" s="104" t="s">
        <v>26</v>
      </c>
      <c r="CE456" s="23">
        <v>9.9999999999999995E-7</v>
      </c>
      <c r="CF456" s="23">
        <f>CC456*CE456</f>
        <v>5.6999999999999995E-2</v>
      </c>
      <c r="CG456" s="23" t="s">
        <v>15</v>
      </c>
      <c r="CH456" s="23">
        <v>80</v>
      </c>
      <c r="CI456" s="133" t="s">
        <v>13</v>
      </c>
      <c r="CJ456" s="133">
        <f>CH456*CF456</f>
        <v>4.5599999999999996</v>
      </c>
    </row>
    <row r="457" spans="67:90" x14ac:dyDescent="0.25">
      <c r="CB457" s="160" t="s">
        <v>12</v>
      </c>
      <c r="CC457" s="104">
        <v>580</v>
      </c>
      <c r="CD457" s="104" t="s">
        <v>14</v>
      </c>
      <c r="CE457" s="23">
        <f>1/1000000</f>
        <v>9.9999999999999995E-7</v>
      </c>
      <c r="CF457" s="23">
        <f t="shared" ref="CF457" si="21">CC457*CE457</f>
        <v>5.8E-4</v>
      </c>
      <c r="CG457" s="23" t="s">
        <v>15</v>
      </c>
      <c r="CH457" s="23">
        <v>1116.6400000000001</v>
      </c>
      <c r="CI457" s="23" t="s">
        <v>13</v>
      </c>
      <c r="CJ457" s="23">
        <f t="shared" ref="CJ457" si="22">CH457*CF457</f>
        <v>0.64765120000000009</v>
      </c>
    </row>
    <row r="460" spans="67:90" x14ac:dyDescent="0.25">
      <c r="BS460" s="140">
        <f>(BV466-BO470)</f>
        <v>2.7120000000000002</v>
      </c>
    </row>
    <row r="461" spans="67:90" x14ac:dyDescent="0.25">
      <c r="BO461" s="18" t="s">
        <v>36</v>
      </c>
    </row>
    <row r="462" spans="67:90" x14ac:dyDescent="0.25">
      <c r="BO462" s="19">
        <v>1E-4</v>
      </c>
    </row>
    <row r="463" spans="67:90" x14ac:dyDescent="0.25">
      <c r="BO463" s="18">
        <f>BO464+BO464*BO462</f>
        <v>5.1471774308176022</v>
      </c>
    </row>
    <row r="464" spans="67:90" x14ac:dyDescent="0.25">
      <c r="BO464" s="130">
        <f>BZ479</f>
        <v>5.1466627645411478</v>
      </c>
      <c r="BV464" s="41" t="s">
        <v>58</v>
      </c>
      <c r="BW464" s="41"/>
    </row>
    <row r="465" spans="67:78" x14ac:dyDescent="0.25">
      <c r="BO465" s="13" t="s">
        <v>34</v>
      </c>
      <c r="BV465" s="25" t="s">
        <v>156</v>
      </c>
      <c r="BW465" s="4"/>
    </row>
    <row r="466" spans="67:78" x14ac:dyDescent="0.25">
      <c r="BO466" s="29" t="s">
        <v>142</v>
      </c>
      <c r="BV466" s="129">
        <f>BZ479</f>
        <v>5.1466627645411478</v>
      </c>
      <c r="BW466" s="4" t="s">
        <v>18</v>
      </c>
    </row>
    <row r="467" spans="67:78" x14ac:dyDescent="0.25">
      <c r="BO467" s="14" t="s">
        <v>35</v>
      </c>
      <c r="BR467" s="404" t="s">
        <v>51</v>
      </c>
      <c r="BS467" s="405"/>
      <c r="BV467" s="12">
        <f>6/1000</f>
        <v>6.0000000000000001E-3</v>
      </c>
      <c r="BW467" s="4" t="s">
        <v>158</v>
      </c>
    </row>
    <row r="468" spans="67:78" x14ac:dyDescent="0.25">
      <c r="BO468" s="130">
        <f>BO464</f>
        <v>5.1466627645411478</v>
      </c>
      <c r="BR468" s="406" t="s">
        <v>159</v>
      </c>
      <c r="BS468" s="407"/>
    </row>
    <row r="469" spans="67:78" x14ac:dyDescent="0.25">
      <c r="BO469" s="15" t="s">
        <v>36</v>
      </c>
      <c r="BR469" s="43">
        <f>IF(CK517-BO464&lt;0,0,CK517-BO464)</f>
        <v>0</v>
      </c>
      <c r="BS469" s="44" t="s">
        <v>18</v>
      </c>
    </row>
    <row r="470" spans="67:78" x14ac:dyDescent="0.25">
      <c r="BO470" s="210">
        <f>BO468-CK517</f>
        <v>2.4346627645411476</v>
      </c>
      <c r="BP470" s="209"/>
      <c r="BQ470" s="209"/>
      <c r="BR470" s="43">
        <f>BR469</f>
        <v>0</v>
      </c>
      <c r="BS470" s="44" t="s">
        <v>18</v>
      </c>
    </row>
    <row r="471" spans="67:78" x14ac:dyDescent="0.25">
      <c r="BO471" s="209" t="s">
        <v>168</v>
      </c>
      <c r="BP471" s="209"/>
      <c r="BQ471" s="209"/>
    </row>
    <row r="475" spans="67:78" x14ac:dyDescent="0.25">
      <c r="BV475" s="10"/>
      <c r="BW475" s="10"/>
      <c r="BX475" s="10"/>
      <c r="BY475" s="10"/>
      <c r="BZ475" s="10"/>
    </row>
    <row r="476" spans="67:78" x14ac:dyDescent="0.25">
      <c r="BV476" s="10"/>
      <c r="BW476" s="10"/>
      <c r="BX476" s="10"/>
      <c r="BY476" s="10"/>
      <c r="BZ476" s="10" t="s">
        <v>141</v>
      </c>
    </row>
    <row r="477" spans="67:78" x14ac:dyDescent="0.25">
      <c r="BV477" s="10"/>
      <c r="BW477" s="10"/>
      <c r="BX477" s="10"/>
      <c r="BY477" s="10"/>
      <c r="BZ477" s="49" t="s">
        <v>36</v>
      </c>
    </row>
    <row r="478" spans="67:78" x14ac:dyDescent="0.25">
      <c r="BV478" s="10"/>
      <c r="BW478" s="10"/>
      <c r="BX478" s="10"/>
      <c r="BY478" s="10"/>
      <c r="BZ478" s="45" t="s">
        <v>54</v>
      </c>
    </row>
    <row r="479" spans="67:78" x14ac:dyDescent="0.25">
      <c r="BV479" s="10"/>
      <c r="BW479" s="10"/>
      <c r="BX479" s="10"/>
      <c r="BY479" s="10"/>
      <c r="BZ479" s="121">
        <f>BZ480-BZ484</f>
        <v>5.1466627645411478</v>
      </c>
    </row>
    <row r="480" spans="67:78" x14ac:dyDescent="0.25">
      <c r="BV480" s="10"/>
      <c r="BW480" s="10"/>
      <c r="BX480" s="10"/>
      <c r="BY480" s="10"/>
      <c r="BZ480" s="113">
        <f>BW486</f>
        <v>108.07991805536395</v>
      </c>
    </row>
    <row r="481" spans="74:93" x14ac:dyDescent="0.25">
      <c r="BV481" s="437" t="s">
        <v>139</v>
      </c>
      <c r="BW481" s="438"/>
      <c r="BX481" s="10"/>
      <c r="BY481" s="10"/>
      <c r="BZ481" s="47" t="s">
        <v>34</v>
      </c>
    </row>
    <row r="482" spans="74:93" x14ac:dyDescent="0.25">
      <c r="BV482" s="439"/>
      <c r="BW482" s="440"/>
      <c r="BX482" s="10"/>
      <c r="BY482" s="10"/>
      <c r="BZ482" s="118" t="s">
        <v>138</v>
      </c>
      <c r="CH482" s="419" t="s">
        <v>51</v>
      </c>
      <c r="CI482" s="420"/>
      <c r="CK482" s="419" t="s">
        <v>51</v>
      </c>
      <c r="CL482" s="420"/>
    </row>
    <row r="483" spans="74:93" x14ac:dyDescent="0.25">
      <c r="BV483" s="120" t="s">
        <v>1</v>
      </c>
      <c r="BW483" s="120" t="s">
        <v>1</v>
      </c>
      <c r="BX483" s="116"/>
      <c r="BY483" s="10"/>
      <c r="BZ483" s="48" t="s">
        <v>35</v>
      </c>
      <c r="CH483" s="142" t="str">
        <f>CI490</f>
        <v>pegante poliuretano</v>
      </c>
      <c r="CI483" s="143">
        <f>CL482</f>
        <v>0</v>
      </c>
      <c r="CK483" s="142" t="str">
        <f>CL490</f>
        <v>cassata</v>
      </c>
      <c r="CL483" s="143">
        <f>CO482</f>
        <v>0</v>
      </c>
    </row>
    <row r="484" spans="74:93" x14ac:dyDescent="0.25">
      <c r="BV484" s="120">
        <f>BW484</f>
        <v>108.07991805536395</v>
      </c>
      <c r="BW484" s="67">
        <f>BW486</f>
        <v>108.07991805536395</v>
      </c>
      <c r="BX484" s="55"/>
      <c r="BY484" s="10"/>
      <c r="BZ484" s="10">
        <f>CI499</f>
        <v>102.9332552908228</v>
      </c>
      <c r="CH484" s="120">
        <f>CI493</f>
        <v>6.5540000000000001E-2</v>
      </c>
      <c r="CI484" s="141" t="str">
        <f>CI492</f>
        <v>en m^3</v>
      </c>
      <c r="CK484" s="120">
        <f>CL493</f>
        <v>12.882</v>
      </c>
      <c r="CL484" s="141" t="str">
        <f>CL492</f>
        <v>en m^3</v>
      </c>
    </row>
    <row r="485" spans="74:93" x14ac:dyDescent="0.25">
      <c r="BV485" s="422" t="s">
        <v>212</v>
      </c>
      <c r="BW485" s="10"/>
      <c r="BX485" s="10"/>
      <c r="BY485" s="10"/>
      <c r="BZ485" s="50" t="s">
        <v>36</v>
      </c>
      <c r="CH485" s="120">
        <f>CJ493</f>
        <v>73.184585600000005</v>
      </c>
      <c r="CI485" s="141" t="str">
        <f>CJ492</f>
        <v>en kg</v>
      </c>
      <c r="CK485" s="120">
        <f>CM493</f>
        <v>2061.12</v>
      </c>
      <c r="CL485" s="141" t="str">
        <f>CM492</f>
        <v>en kg</v>
      </c>
    </row>
    <row r="486" spans="74:93" x14ac:dyDescent="0.25">
      <c r="BV486" s="423"/>
      <c r="BW486" s="10">
        <f>BZ484+BZ484*0.05</f>
        <v>108.07991805536395</v>
      </c>
      <c r="BX486" s="10"/>
      <c r="BY486" s="10"/>
      <c r="BZ486" s="117" t="s">
        <v>63</v>
      </c>
    </row>
    <row r="487" spans="74:93" x14ac:dyDescent="0.25">
      <c r="BV487" s="10"/>
      <c r="BW487" s="48"/>
      <c r="BX487" s="10"/>
      <c r="BY487" s="10"/>
      <c r="BZ487" s="28"/>
    </row>
    <row r="488" spans="74:93" x14ac:dyDescent="0.25">
      <c r="BV488" s="10"/>
      <c r="BW488" s="10"/>
      <c r="BX488" s="10"/>
      <c r="BY488" s="10"/>
      <c r="BZ488" s="16"/>
    </row>
    <row r="489" spans="74:93" x14ac:dyDescent="0.25">
      <c r="BV489" s="10"/>
      <c r="BW489" s="10"/>
      <c r="BX489" s="10"/>
      <c r="BY489" s="10"/>
      <c r="BZ489" s="10"/>
    </row>
    <row r="490" spans="74:93" x14ac:dyDescent="0.25">
      <c r="BV490" s="10"/>
      <c r="BW490" s="10"/>
      <c r="BX490" s="10"/>
      <c r="BY490" s="48"/>
      <c r="BZ490" s="52">
        <f>BW486-CI499</f>
        <v>5.1466627645411478</v>
      </c>
      <c r="CI490" s="424" t="s">
        <v>183</v>
      </c>
      <c r="CJ490" s="425"/>
      <c r="CL490" s="424" t="s">
        <v>182</v>
      </c>
      <c r="CM490" s="425"/>
    </row>
    <row r="491" spans="74:93" x14ac:dyDescent="0.25">
      <c r="CI491" s="426"/>
      <c r="CJ491" s="427"/>
      <c r="CL491" s="426"/>
      <c r="CM491" s="427"/>
      <c r="CO491" s="14" t="s">
        <v>247</v>
      </c>
    </row>
    <row r="492" spans="74:93" x14ac:dyDescent="0.25">
      <c r="CI492" s="101" t="s">
        <v>50</v>
      </c>
      <c r="CJ492" s="101" t="s">
        <v>1</v>
      </c>
      <c r="CL492" s="101" t="s">
        <v>50</v>
      </c>
      <c r="CM492" s="101" t="s">
        <v>1</v>
      </c>
      <c r="CO492" s="14">
        <f>CK485+CH485+CJ505+CJ509+CK513+BR469</f>
        <v>2715.4491596822963</v>
      </c>
    </row>
    <row r="493" spans="74:93" x14ac:dyDescent="0.25">
      <c r="CI493" s="101">
        <f>CF533*CN502</f>
        <v>6.5540000000000001E-2</v>
      </c>
      <c r="CJ493" s="4">
        <f>CN502*CJ533</f>
        <v>73.184585600000005</v>
      </c>
      <c r="CL493" s="101">
        <f>CF532*CN502</f>
        <v>12.882</v>
      </c>
      <c r="CM493" s="4">
        <f>CN502*CJ532</f>
        <v>2061.12</v>
      </c>
    </row>
    <row r="496" spans="74:93" x14ac:dyDescent="0.25">
      <c r="CI496" s="424" t="s">
        <v>141</v>
      </c>
      <c r="CJ496" s="425"/>
    </row>
    <row r="497" spans="78:94" x14ac:dyDescent="0.25">
      <c r="CI497" s="426"/>
      <c r="CJ497" s="427"/>
    </row>
    <row r="498" spans="78:94" x14ac:dyDescent="0.25">
      <c r="CI498" s="101" t="s">
        <v>1</v>
      </c>
      <c r="CJ498" s="101" t="s">
        <v>1</v>
      </c>
    </row>
    <row r="499" spans="78:94" x14ac:dyDescent="0.25">
      <c r="CI499" s="101">
        <f>CJ499</f>
        <v>102.9332552908228</v>
      </c>
      <c r="CJ499" s="4">
        <f>CN502*(CJ524+CJ525+CJ527+CJ528+CJ529+CJ530)</f>
        <v>102.9332552908228</v>
      </c>
    </row>
    <row r="500" spans="78:94" x14ac:dyDescent="0.25">
      <c r="CL500">
        <f>CJ499+CJ505+CJ509+CK513+CK517+CJ493+CM493</f>
        <v>2821.094414973119</v>
      </c>
      <c r="CN500" s="430" t="s">
        <v>52</v>
      </c>
      <c r="CO500" s="431"/>
    </row>
    <row r="501" spans="78:94" x14ac:dyDescent="0.25">
      <c r="CL501" s="13" t="s">
        <v>34</v>
      </c>
      <c r="CN501" s="417" t="s">
        <v>196</v>
      </c>
      <c r="CO501" s="418"/>
      <c r="CP501" s="127" t="s">
        <v>194</v>
      </c>
    </row>
    <row r="502" spans="78:94" x14ac:dyDescent="0.25">
      <c r="CL502" s="109" t="s">
        <v>160</v>
      </c>
      <c r="CN502" s="223">
        <v>113</v>
      </c>
      <c r="CO502" s="4" t="s">
        <v>27</v>
      </c>
    </row>
    <row r="503" spans="78:94" x14ac:dyDescent="0.25">
      <c r="CI503" s="428" t="s">
        <v>134</v>
      </c>
      <c r="CJ503" s="429"/>
      <c r="CL503" s="14" t="s">
        <v>35</v>
      </c>
      <c r="CN503" s="4">
        <f>CN502*CK528</f>
        <v>2821.094414973119</v>
      </c>
      <c r="CO503" s="4" t="s">
        <v>28</v>
      </c>
    </row>
    <row r="504" spans="78:94" x14ac:dyDescent="0.25">
      <c r="CI504" s="101" t="s">
        <v>50</v>
      </c>
      <c r="CJ504" s="101" t="s">
        <v>1</v>
      </c>
      <c r="CL504">
        <f>CN503</f>
        <v>2821.094414973119</v>
      </c>
    </row>
    <row r="505" spans="78:94" x14ac:dyDescent="0.25">
      <c r="CI505" s="101">
        <f>CN502*CF522</f>
        <v>32.204999999999998</v>
      </c>
      <c r="CJ505" s="4">
        <f>CN502*(CJ522)</f>
        <v>579.68999999999994</v>
      </c>
      <c r="CL505" s="15" t="s">
        <v>36</v>
      </c>
    </row>
    <row r="506" spans="78:94" x14ac:dyDescent="0.25">
      <c r="CA506" s="419" t="s">
        <v>51</v>
      </c>
      <c r="CB506" s="420"/>
      <c r="CL506" s="1">
        <f>CL500-CL504</f>
        <v>0</v>
      </c>
    </row>
    <row r="507" spans="78:94" x14ac:dyDescent="0.25">
      <c r="BZ507" s="161" t="s">
        <v>185</v>
      </c>
      <c r="CA507" s="142" t="str">
        <f>CI503</f>
        <v xml:space="preserve">Lámina de espuma </v>
      </c>
      <c r="CB507" s="143"/>
      <c r="CI507" s="428" t="s">
        <v>98</v>
      </c>
      <c r="CJ507" s="429"/>
      <c r="CL507" s="28" t="s">
        <v>45</v>
      </c>
    </row>
    <row r="508" spans="78:94" x14ac:dyDescent="0.25">
      <c r="CA508" s="120">
        <f>CI505</f>
        <v>32.204999999999998</v>
      </c>
      <c r="CB508" s="141" t="str">
        <f>CI504</f>
        <v>en m^3</v>
      </c>
      <c r="CI508" s="101" t="s">
        <v>30</v>
      </c>
      <c r="CJ508" s="101" t="s">
        <v>1</v>
      </c>
    </row>
    <row r="509" spans="78:94" x14ac:dyDescent="0.25">
      <c r="CA509" s="120">
        <f>CJ505</f>
        <v>579.68999999999994</v>
      </c>
      <c r="CB509" s="141" t="str">
        <f>CJ504</f>
        <v>en kg</v>
      </c>
      <c r="CI509" s="101">
        <f>CN502*CF526</f>
        <v>113</v>
      </c>
      <c r="CJ509" s="4">
        <f>CN502*(CJ526)</f>
        <v>0.96170212765957452</v>
      </c>
    </row>
    <row r="511" spans="78:94" x14ac:dyDescent="0.25">
      <c r="CF511" s="419" t="s">
        <v>51</v>
      </c>
      <c r="CG511" s="420"/>
      <c r="CH511" s="144"/>
      <c r="CJ511" s="428" t="s">
        <v>137</v>
      </c>
      <c r="CK511" s="429"/>
    </row>
    <row r="512" spans="78:94" x14ac:dyDescent="0.25">
      <c r="CF512" s="142" t="s">
        <v>98</v>
      </c>
      <c r="CG512" s="143" t="str">
        <f>CJ511</f>
        <v>Hilo</v>
      </c>
      <c r="CH512" s="103"/>
      <c r="CJ512" s="101" t="s">
        <v>30</v>
      </c>
      <c r="CK512" s="101" t="s">
        <v>1</v>
      </c>
      <c r="CO512" t="s">
        <v>91</v>
      </c>
    </row>
    <row r="513" spans="80:90" x14ac:dyDescent="0.25">
      <c r="CF513" s="120">
        <f>CJ509</f>
        <v>0.96170212765957452</v>
      </c>
      <c r="CG513" s="141">
        <f>CK513</f>
        <v>0.4928719546368</v>
      </c>
      <c r="CH513" s="4" t="s">
        <v>18</v>
      </c>
      <c r="CJ513" s="101">
        <f>CJ523*CN502</f>
        <v>0.4928719546368</v>
      </c>
      <c r="CK513" s="4">
        <f>CN502*(CJ523)</f>
        <v>0.4928719546368</v>
      </c>
    </row>
    <row r="514" spans="80:90" x14ac:dyDescent="0.25">
      <c r="CF514" s="120">
        <f>CI509</f>
        <v>113</v>
      </c>
      <c r="CG514" s="141">
        <f>CJ513</f>
        <v>0.4928719546368</v>
      </c>
      <c r="CH514" s="4" t="s">
        <v>16</v>
      </c>
    </row>
    <row r="515" spans="80:90" x14ac:dyDescent="0.25">
      <c r="CJ515" s="428" t="s">
        <v>161</v>
      </c>
      <c r="CK515" s="429"/>
    </row>
    <row r="516" spans="80:90" x14ac:dyDescent="0.25">
      <c r="CJ516" s="101" t="s">
        <v>4</v>
      </c>
      <c r="CK516" s="101" t="s">
        <v>1</v>
      </c>
    </row>
    <row r="517" spans="80:90" x14ac:dyDescent="0.25">
      <c r="CJ517" s="101">
        <f>CN502*4</f>
        <v>452</v>
      </c>
      <c r="CK517" s="4">
        <f>CJ531*CN502</f>
        <v>2.7120000000000002</v>
      </c>
    </row>
    <row r="520" spans="80:90" x14ac:dyDescent="0.25">
      <c r="CC520" s="432" t="s">
        <v>195</v>
      </c>
      <c r="CD520" s="433"/>
      <c r="CE520" s="4" t="s">
        <v>19</v>
      </c>
      <c r="CF520" s="101" t="s">
        <v>20</v>
      </c>
      <c r="CG520" s="101" t="s">
        <v>2</v>
      </c>
      <c r="CH520" s="101" t="s">
        <v>21</v>
      </c>
      <c r="CI520" s="101" t="s">
        <v>2</v>
      </c>
      <c r="CJ520" s="11" t="s">
        <v>24</v>
      </c>
    </row>
    <row r="521" spans="80:90" x14ac:dyDescent="0.25">
      <c r="CB521" s="101"/>
      <c r="CC521" s="104"/>
      <c r="CD521" s="104"/>
      <c r="CE521" s="23"/>
      <c r="CF521" s="23"/>
      <c r="CG521" s="23"/>
      <c r="CH521" s="23"/>
      <c r="CI521" s="23"/>
      <c r="CJ521" s="39"/>
    </row>
    <row r="522" spans="80:90" x14ac:dyDescent="0.25">
      <c r="CB522" s="27" t="s">
        <v>128</v>
      </c>
      <c r="CC522" s="104">
        <f>100*190*15</f>
        <v>285000</v>
      </c>
      <c r="CD522" s="104" t="s">
        <v>26</v>
      </c>
      <c r="CE522" s="23">
        <v>9.9999999999999995E-7</v>
      </c>
      <c r="CF522" s="23">
        <f t="shared" ref="CF522:CF529" si="23">CC522*CE522</f>
        <v>0.28499999999999998</v>
      </c>
      <c r="CG522" s="23" t="s">
        <v>15</v>
      </c>
      <c r="CH522" s="23">
        <v>18</v>
      </c>
      <c r="CI522" s="23" t="s">
        <v>13</v>
      </c>
      <c r="CJ522" s="23">
        <f>CF522*CH522</f>
        <v>5.13</v>
      </c>
    </row>
    <row r="523" spans="80:90" x14ac:dyDescent="0.25">
      <c r="CB523" s="27" t="s">
        <v>130</v>
      </c>
      <c r="CC523" s="104">
        <f>5621.76</f>
        <v>5621.76</v>
      </c>
      <c r="CD523" s="104" t="s">
        <v>10</v>
      </c>
      <c r="CE523" s="23">
        <f>1/100</f>
        <v>0.01</v>
      </c>
      <c r="CF523" s="23">
        <f t="shared" si="23"/>
        <v>56.217600000000004</v>
      </c>
      <c r="CG523" s="23" t="s">
        <v>16</v>
      </c>
      <c r="CH523" s="23">
        <v>7.7585999999999999E-5</v>
      </c>
      <c r="CI523" s="23" t="s">
        <v>22</v>
      </c>
      <c r="CJ523" s="23">
        <f t="shared" ref="CJ523:CJ525" si="24">CF523*CH523</f>
        <v>4.3616987136000001E-3</v>
      </c>
    </row>
    <row r="524" spans="80:90" x14ac:dyDescent="0.25">
      <c r="CB524" s="27" t="s">
        <v>164</v>
      </c>
      <c r="CC524" s="104">
        <f>210*210*0.3</f>
        <v>13230</v>
      </c>
      <c r="CD524" s="104" t="s">
        <v>26</v>
      </c>
      <c r="CE524" s="23">
        <v>9.9999999999999995E-7</v>
      </c>
      <c r="CF524" s="23">
        <f t="shared" si="23"/>
        <v>1.3229999999999999E-2</v>
      </c>
      <c r="CG524" s="23" t="s">
        <v>15</v>
      </c>
      <c r="CH524" s="23">
        <v>12</v>
      </c>
      <c r="CI524" s="23" t="s">
        <v>13</v>
      </c>
      <c r="CJ524" s="23">
        <f t="shared" si="24"/>
        <v>0.15875999999999998</v>
      </c>
    </row>
    <row r="525" spans="80:90" x14ac:dyDescent="0.25">
      <c r="CB525" s="27" t="s">
        <v>127</v>
      </c>
      <c r="CC525" s="104">
        <f>56000</f>
        <v>56000</v>
      </c>
      <c r="CD525" s="104" t="s">
        <v>9</v>
      </c>
      <c r="CE525" s="23">
        <f>0.0001</f>
        <v>1E-4</v>
      </c>
      <c r="CF525" s="23">
        <f t="shared" si="23"/>
        <v>5.6000000000000005</v>
      </c>
      <c r="CG525" s="23" t="s">
        <v>17</v>
      </c>
      <c r="CH525" s="23">
        <f>20/1000</f>
        <v>0.02</v>
      </c>
      <c r="CI525" s="23" t="s">
        <v>23</v>
      </c>
      <c r="CJ525" s="23">
        <f t="shared" si="24"/>
        <v>0.11200000000000002</v>
      </c>
    </row>
    <row r="526" spans="80:90" x14ac:dyDescent="0.25">
      <c r="CB526" s="27" t="s">
        <v>93</v>
      </c>
      <c r="CC526" s="104">
        <v>100</v>
      </c>
      <c r="CD526" s="104" t="s">
        <v>10</v>
      </c>
      <c r="CE526" s="23">
        <f>1/100</f>
        <v>0.01</v>
      </c>
      <c r="CF526" s="23">
        <f t="shared" si="23"/>
        <v>1</v>
      </c>
      <c r="CG526" s="23" t="s">
        <v>16</v>
      </c>
      <c r="CH526" s="23">
        <f>1/117.5</f>
        <v>8.5106382978723406E-3</v>
      </c>
      <c r="CI526" s="23" t="s">
        <v>22</v>
      </c>
      <c r="CJ526" s="23">
        <f>CF526*CH526</f>
        <v>8.5106382978723406E-3</v>
      </c>
    </row>
    <row r="527" spans="80:90" x14ac:dyDescent="0.25">
      <c r="CB527" s="132" t="s">
        <v>130</v>
      </c>
      <c r="CC527" s="104">
        <f>2400.96</f>
        <v>2400.96</v>
      </c>
      <c r="CD527" s="104" t="s">
        <v>10</v>
      </c>
      <c r="CE527" s="23">
        <f>1/100</f>
        <v>0.01</v>
      </c>
      <c r="CF527" s="23">
        <f t="shared" si="23"/>
        <v>24.009600000000002</v>
      </c>
      <c r="CG527" s="23" t="s">
        <v>16</v>
      </c>
      <c r="CH527" s="23">
        <v>7.7585999999999999E-5</v>
      </c>
      <c r="CI527" s="23" t="s">
        <v>22</v>
      </c>
      <c r="CJ527" s="23">
        <f>CF527*CH527</f>
        <v>1.8628088256000001E-3</v>
      </c>
      <c r="CK527" s="434" t="s">
        <v>197</v>
      </c>
      <c r="CL527" s="435"/>
    </row>
    <row r="528" spans="80:90" x14ac:dyDescent="0.25">
      <c r="CB528" s="132" t="s">
        <v>132</v>
      </c>
      <c r="CC528" s="131">
        <f>227*227</f>
        <v>51529</v>
      </c>
      <c r="CD528" s="131" t="s">
        <v>9</v>
      </c>
      <c r="CE528" s="39">
        <f>0.0001</f>
        <v>1E-4</v>
      </c>
      <c r="CF528" s="39">
        <f t="shared" si="23"/>
        <v>5.1528999999999998</v>
      </c>
      <c r="CG528" s="39" t="s">
        <v>17</v>
      </c>
      <c r="CH528" s="39">
        <v>0.1</v>
      </c>
      <c r="CI528" s="39" t="s">
        <v>23</v>
      </c>
      <c r="CJ528" s="39">
        <f>CF528*CH528</f>
        <v>0.51529000000000003</v>
      </c>
      <c r="CK528" s="4">
        <f>CJ522+CJ523+CJ524+CJ525+CJ526+CJ527+CJ528+CJ529+CJ530+CJ531+CJ533+CJ532</f>
        <v>24.965437300647071</v>
      </c>
      <c r="CL528" s="4" t="s">
        <v>18</v>
      </c>
    </row>
    <row r="529" spans="67:88" x14ac:dyDescent="0.25">
      <c r="CB529" s="108" t="s">
        <v>165</v>
      </c>
      <c r="CC529" s="71">
        <f>0.515*0.515*0.3</f>
        <v>7.9567499999999999E-2</v>
      </c>
      <c r="CD529" s="127" t="s">
        <v>26</v>
      </c>
      <c r="CE529" s="71">
        <v>9.9999999999999995E-7</v>
      </c>
      <c r="CF529" s="71">
        <f t="shared" si="23"/>
        <v>7.9567500000000001E-8</v>
      </c>
      <c r="CG529" s="71" t="s">
        <v>15</v>
      </c>
      <c r="CH529" s="71">
        <v>12</v>
      </c>
      <c r="CI529" s="71" t="s">
        <v>13</v>
      </c>
      <c r="CJ529" s="71">
        <f>CF529*CH529</f>
        <v>9.5481000000000001E-7</v>
      </c>
    </row>
    <row r="530" spans="67:88" x14ac:dyDescent="0.25">
      <c r="CB530" s="134" t="s">
        <v>166</v>
      </c>
      <c r="CC530" s="135"/>
      <c r="CD530" s="135"/>
      <c r="CE530" s="135"/>
      <c r="CF530" s="136">
        <v>1.23</v>
      </c>
      <c r="CG530" s="136" t="s">
        <v>17</v>
      </c>
      <c r="CH530" s="136">
        <v>0.1</v>
      </c>
      <c r="CI530" s="136" t="s">
        <v>22</v>
      </c>
      <c r="CJ530" s="136">
        <f>CF530*CH530</f>
        <v>0.123</v>
      </c>
    </row>
    <row r="531" spans="67:88" x14ac:dyDescent="0.25">
      <c r="CB531" s="137" t="s">
        <v>167</v>
      </c>
      <c r="CC531" s="71">
        <f>6*4</f>
        <v>24</v>
      </c>
      <c r="CD531" s="138" t="s">
        <v>5</v>
      </c>
      <c r="CE531" s="71"/>
      <c r="CF531" s="71"/>
      <c r="CG531" s="71"/>
      <c r="CH531" s="71">
        <f>1/1000</f>
        <v>1E-3</v>
      </c>
      <c r="CI531" s="139" t="s">
        <v>18</v>
      </c>
      <c r="CJ531" s="139">
        <f>CC531*CH531</f>
        <v>2.4E-2</v>
      </c>
    </row>
    <row r="532" spans="67:88" x14ac:dyDescent="0.25">
      <c r="CB532" s="137" t="s">
        <v>182</v>
      </c>
      <c r="CC532" s="14">
        <f>(190*100*3)*2</f>
        <v>114000</v>
      </c>
      <c r="CD532" s="104" t="s">
        <v>26</v>
      </c>
      <c r="CE532" s="23">
        <v>9.9999999999999995E-7</v>
      </c>
      <c r="CF532" s="23">
        <f>CC532*CE532</f>
        <v>0.11399999999999999</v>
      </c>
      <c r="CG532" s="23" t="s">
        <v>15</v>
      </c>
      <c r="CH532" s="23">
        <v>80</v>
      </c>
      <c r="CI532" s="133" t="s">
        <v>13</v>
      </c>
      <c r="CJ532" s="133">
        <f>CH532*CF532*2</f>
        <v>18.239999999999998</v>
      </c>
    </row>
    <row r="533" spans="67:88" x14ac:dyDescent="0.25">
      <c r="CB533" s="160" t="s">
        <v>12</v>
      </c>
      <c r="CC533" s="104">
        <v>580</v>
      </c>
      <c r="CD533" s="104" t="s">
        <v>14</v>
      </c>
      <c r="CE533" s="23">
        <f>1/1000000</f>
        <v>9.9999999999999995E-7</v>
      </c>
      <c r="CF533" s="23">
        <f t="shared" ref="CF533" si="25">CC533*CE533</f>
        <v>5.8E-4</v>
      </c>
      <c r="CG533" s="23" t="s">
        <v>15</v>
      </c>
      <c r="CH533" s="23">
        <v>1116.6400000000001</v>
      </c>
      <c r="CI533" s="23" t="s">
        <v>13</v>
      </c>
      <c r="CJ533" s="23">
        <f t="shared" ref="CJ533" si="26">CH533*CF533</f>
        <v>0.64765120000000009</v>
      </c>
    </row>
    <row r="538" spans="67:88" x14ac:dyDescent="0.25">
      <c r="BS538" s="140">
        <f>(BV544-BO548)</f>
        <v>3.2480000000000002</v>
      </c>
    </row>
    <row r="539" spans="67:88" x14ac:dyDescent="0.25">
      <c r="BO539" s="18" t="s">
        <v>36</v>
      </c>
    </row>
    <row r="540" spans="67:88" x14ac:dyDescent="0.25">
      <c r="BO540" s="19">
        <v>1E-4</v>
      </c>
    </row>
    <row r="541" spans="67:88" x14ac:dyDescent="0.25">
      <c r="BO541" s="18">
        <f>BO542+BO542*BO540</f>
        <v>4.9005706477207722</v>
      </c>
    </row>
    <row r="542" spans="67:88" x14ac:dyDescent="0.25">
      <c r="BO542" s="130">
        <f>BZ557</f>
        <v>4.9000806396568066</v>
      </c>
      <c r="BV542" s="41" t="s">
        <v>58</v>
      </c>
      <c r="BW542" s="41"/>
    </row>
    <row r="543" spans="67:88" x14ac:dyDescent="0.25">
      <c r="BO543" s="13" t="s">
        <v>34</v>
      </c>
      <c r="BV543" s="25" t="s">
        <v>156</v>
      </c>
      <c r="BW543" s="4"/>
    </row>
    <row r="544" spans="67:88" x14ac:dyDescent="0.25">
      <c r="BO544" s="29" t="s">
        <v>142</v>
      </c>
      <c r="BV544" s="129">
        <f>BZ557</f>
        <v>4.9000806396568066</v>
      </c>
      <c r="BW544" s="4" t="s">
        <v>18</v>
      </c>
    </row>
    <row r="545" spans="67:87" x14ac:dyDescent="0.25">
      <c r="BO545" s="14" t="s">
        <v>35</v>
      </c>
      <c r="BR545" s="404" t="s">
        <v>51</v>
      </c>
      <c r="BS545" s="405"/>
      <c r="BV545" s="12">
        <f>6/1000</f>
        <v>6.0000000000000001E-3</v>
      </c>
      <c r="BW545" s="4" t="s">
        <v>158</v>
      </c>
    </row>
    <row r="546" spans="67:87" x14ac:dyDescent="0.25">
      <c r="BO546" s="130">
        <f>BO542</f>
        <v>4.9000806396568066</v>
      </c>
      <c r="BR546" s="406" t="s">
        <v>159</v>
      </c>
      <c r="BS546" s="407"/>
    </row>
    <row r="547" spans="67:87" x14ac:dyDescent="0.25">
      <c r="BO547" s="15" t="s">
        <v>36</v>
      </c>
      <c r="BR547" s="43">
        <f>IF(CK595-BO542&lt;0,0,CK595-BO542)</f>
        <v>0</v>
      </c>
      <c r="BS547" s="44" t="s">
        <v>18</v>
      </c>
    </row>
    <row r="548" spans="67:87" x14ac:dyDescent="0.25">
      <c r="BO548" s="17">
        <f>BO546-CK595</f>
        <v>1.6520806396568064</v>
      </c>
      <c r="BR548" s="43">
        <f>BR547</f>
        <v>0</v>
      </c>
      <c r="BS548" s="44" t="s">
        <v>18</v>
      </c>
    </row>
    <row r="549" spans="67:87" x14ac:dyDescent="0.25">
      <c r="BO549" s="14" t="s">
        <v>168</v>
      </c>
    </row>
    <row r="553" spans="67:87" x14ac:dyDescent="0.25">
      <c r="BV553" s="10"/>
      <c r="BW553" s="10"/>
      <c r="BX553" s="10"/>
      <c r="BY553" s="10"/>
      <c r="BZ553" s="10"/>
    </row>
    <row r="554" spans="67:87" x14ac:dyDescent="0.25">
      <c r="BV554" s="10"/>
      <c r="BW554" s="10"/>
      <c r="BX554" s="10"/>
      <c r="BY554" s="10"/>
      <c r="BZ554" s="10" t="s">
        <v>141</v>
      </c>
    </row>
    <row r="555" spans="67:87" x14ac:dyDescent="0.25">
      <c r="BQ555" s="226"/>
      <c r="BV555" s="10"/>
      <c r="BW555" s="10"/>
      <c r="BX555" s="10"/>
      <c r="BY555" s="10"/>
      <c r="BZ555" s="49" t="s">
        <v>36</v>
      </c>
    </row>
    <row r="556" spans="67:87" x14ac:dyDescent="0.25">
      <c r="BV556" s="10"/>
      <c r="BW556" s="10"/>
      <c r="BX556" s="10"/>
      <c r="BY556" s="10"/>
      <c r="BZ556" s="45" t="s">
        <v>54</v>
      </c>
    </row>
    <row r="557" spans="67:87" x14ac:dyDescent="0.25">
      <c r="BV557" s="10"/>
      <c r="BW557" s="10"/>
      <c r="BX557" s="10"/>
      <c r="BY557" s="10"/>
      <c r="BZ557" s="121">
        <f>BZ558-BZ562</f>
        <v>4.9000806396568066</v>
      </c>
    </row>
    <row r="558" spans="67:87" x14ac:dyDescent="0.25">
      <c r="BV558" s="10"/>
      <c r="BW558" s="10"/>
      <c r="BX558" s="10"/>
      <c r="BY558" s="10"/>
      <c r="BZ558" s="113">
        <f>BW564</f>
        <v>102.90169343279281</v>
      </c>
    </row>
    <row r="559" spans="67:87" x14ac:dyDescent="0.25">
      <c r="BV559" s="437" t="s">
        <v>139</v>
      </c>
      <c r="BW559" s="438"/>
      <c r="BX559" s="10"/>
      <c r="BY559" s="10"/>
      <c r="BZ559" s="47" t="s">
        <v>34</v>
      </c>
    </row>
    <row r="560" spans="67:87" x14ac:dyDescent="0.25">
      <c r="BV560" s="439"/>
      <c r="BW560" s="440"/>
      <c r="BX560" s="10"/>
      <c r="BY560" s="10"/>
      <c r="BZ560" s="118" t="s">
        <v>138</v>
      </c>
      <c r="CH560" s="419" t="s">
        <v>51</v>
      </c>
      <c r="CI560" s="420"/>
    </row>
    <row r="561" spans="74:93" x14ac:dyDescent="0.25">
      <c r="BV561" s="120" t="s">
        <v>1</v>
      </c>
      <c r="BW561" s="120" t="s">
        <v>1</v>
      </c>
      <c r="BX561" s="116"/>
      <c r="BY561" s="10"/>
      <c r="BZ561" s="48" t="s">
        <v>35</v>
      </c>
      <c r="CH561" s="142" t="str">
        <f>CI568</f>
        <v>unidad resortada</v>
      </c>
      <c r="CI561" s="143">
        <f>CL560</f>
        <v>0</v>
      </c>
    </row>
    <row r="562" spans="74:93" x14ac:dyDescent="0.25">
      <c r="BV562" s="162">
        <f>BW562</f>
        <v>102.90169343279281</v>
      </c>
      <c r="BW562" s="67">
        <f>BW564</f>
        <v>102.90169343279281</v>
      </c>
      <c r="BX562" s="55"/>
      <c r="BY562" s="10"/>
      <c r="BZ562" s="10">
        <f>CI577</f>
        <v>98.001612793136005</v>
      </c>
      <c r="CH562" s="120">
        <f>CI571</f>
        <v>116</v>
      </c>
      <c r="CI562" s="141" t="str">
        <f>CI570</f>
        <v>en unidades</v>
      </c>
    </row>
    <row r="563" spans="74:93" x14ac:dyDescent="0.25">
      <c r="BV563" s="423" t="s">
        <v>206</v>
      </c>
      <c r="BW563" s="10"/>
      <c r="BX563" s="10"/>
      <c r="BY563" s="10"/>
      <c r="BZ563" s="50" t="s">
        <v>36</v>
      </c>
      <c r="CH563" s="120">
        <f>CJ571</f>
        <v>2152.0320000000002</v>
      </c>
      <c r="CI563" s="141" t="str">
        <f>CJ570</f>
        <v>en kg</v>
      </c>
    </row>
    <row r="564" spans="74:93" x14ac:dyDescent="0.25">
      <c r="BV564" s="423"/>
      <c r="BW564" s="10">
        <f>BZ562+BZ562*0.05</f>
        <v>102.90169343279281</v>
      </c>
      <c r="BX564" s="10"/>
      <c r="BY564" s="10"/>
      <c r="BZ564" s="117" t="s">
        <v>63</v>
      </c>
    </row>
    <row r="565" spans="74:93" x14ac:dyDescent="0.25">
      <c r="BV565" s="117"/>
      <c r="BW565" s="48"/>
      <c r="BX565" s="10"/>
      <c r="BY565" s="10"/>
      <c r="BZ565" s="28"/>
    </row>
    <row r="566" spans="74:93" x14ac:dyDescent="0.25">
      <c r="BV566" s="117"/>
      <c r="BW566" s="10"/>
      <c r="BX566" s="10"/>
      <c r="BY566" s="10"/>
      <c r="BZ566" s="16"/>
    </row>
    <row r="567" spans="74:93" x14ac:dyDescent="0.25">
      <c r="BV567" s="10"/>
      <c r="BW567" s="10"/>
      <c r="BX567" s="10"/>
      <c r="BY567" s="10"/>
      <c r="BZ567" s="10"/>
    </row>
    <row r="568" spans="74:93" x14ac:dyDescent="0.25">
      <c r="BV568" s="10"/>
      <c r="BW568" s="10"/>
      <c r="BX568" s="10"/>
      <c r="BY568" s="48"/>
      <c r="BZ568" s="52">
        <f>BW564-CI577</f>
        <v>4.9000806396568066</v>
      </c>
      <c r="CI568" s="424" t="s">
        <v>174</v>
      </c>
      <c r="CJ568" s="425"/>
    </row>
    <row r="569" spans="74:93" x14ac:dyDescent="0.25">
      <c r="CI569" s="426"/>
      <c r="CJ569" s="427"/>
      <c r="CO569" s="14" t="s">
        <v>247</v>
      </c>
    </row>
    <row r="570" spans="74:93" x14ac:dyDescent="0.25">
      <c r="CI570" s="101" t="s">
        <v>4</v>
      </c>
      <c r="CJ570" s="101" t="s">
        <v>1</v>
      </c>
      <c r="CO570" s="14">
        <f>CK563+CH563+CJ583+CJ587+CK591+BR547</f>
        <v>2272.5556846546815</v>
      </c>
    </row>
    <row r="571" spans="74:93" x14ac:dyDescent="0.25">
      <c r="CI571" s="101">
        <f>CN580*CC608</f>
        <v>116</v>
      </c>
      <c r="CJ571" s="4">
        <f>CN580*CJ608</f>
        <v>2152.0320000000002</v>
      </c>
    </row>
    <row r="574" spans="74:93" x14ac:dyDescent="0.25">
      <c r="CI574" s="424" t="s">
        <v>141</v>
      </c>
      <c r="CJ574" s="425"/>
    </row>
    <row r="575" spans="74:93" x14ac:dyDescent="0.25">
      <c r="CI575" s="426"/>
      <c r="CJ575" s="427"/>
    </row>
    <row r="576" spans="74:93" x14ac:dyDescent="0.25">
      <c r="CI576" s="101" t="s">
        <v>1</v>
      </c>
      <c r="CJ576" s="101" t="s">
        <v>1</v>
      </c>
    </row>
    <row r="577" spans="80:94" x14ac:dyDescent="0.25">
      <c r="CI577" s="101">
        <f>CJ577</f>
        <v>98.001612793136005</v>
      </c>
      <c r="CJ577" s="4">
        <f>CN580*(CJ602+CJ603+CJ605+CJ606+CJ607)</f>
        <v>98.001612793136005</v>
      </c>
    </row>
    <row r="578" spans="80:94" x14ac:dyDescent="0.25">
      <c r="CL578">
        <f>CJ577+CJ583+CJ587+CK591+CK595+CJ571</f>
        <v>2373.8052974478173</v>
      </c>
      <c r="CN578" s="430" t="s">
        <v>52</v>
      </c>
      <c r="CO578" s="431"/>
    </row>
    <row r="579" spans="80:94" x14ac:dyDescent="0.25">
      <c r="CL579" s="13" t="s">
        <v>34</v>
      </c>
      <c r="CN579" s="417" t="s">
        <v>202</v>
      </c>
      <c r="CO579" s="418"/>
      <c r="CP579" s="127" t="s">
        <v>200</v>
      </c>
    </row>
    <row r="580" spans="80:94" x14ac:dyDescent="0.25">
      <c r="CL580" s="109" t="s">
        <v>179</v>
      </c>
      <c r="CN580" s="223">
        <v>116</v>
      </c>
      <c r="CO580" s="4" t="s">
        <v>27</v>
      </c>
    </row>
    <row r="581" spans="80:94" x14ac:dyDescent="0.25">
      <c r="CC581" s="419" t="s">
        <v>51</v>
      </c>
      <c r="CD581" s="420"/>
      <c r="CI581" s="428" t="s">
        <v>134</v>
      </c>
      <c r="CJ581" s="429"/>
      <c r="CL581" s="14" t="s">
        <v>35</v>
      </c>
      <c r="CN581" s="4">
        <f>CN580*CK606</f>
        <v>2373.8052974478169</v>
      </c>
      <c r="CO581" s="4" t="s">
        <v>28</v>
      </c>
    </row>
    <row r="582" spans="80:94" x14ac:dyDescent="0.25">
      <c r="CB582" s="161" t="s">
        <v>185</v>
      </c>
      <c r="CC582" s="142" t="str">
        <f>CI581</f>
        <v xml:space="preserve">Lámina de espuma </v>
      </c>
      <c r="CD582" s="143">
        <f>CG581</f>
        <v>0</v>
      </c>
      <c r="CI582" s="101" t="s">
        <v>50</v>
      </c>
      <c r="CJ582" s="101" t="s">
        <v>1</v>
      </c>
      <c r="CL582">
        <f>CN581</f>
        <v>2373.8052974478169</v>
      </c>
    </row>
    <row r="583" spans="80:94" x14ac:dyDescent="0.25">
      <c r="CC583" s="120">
        <f>CI583</f>
        <v>6.6119999999999992</v>
      </c>
      <c r="CD583" s="141" t="str">
        <f>CI582</f>
        <v>en m^3</v>
      </c>
      <c r="CI583" s="101">
        <f>CN580*CF600</f>
        <v>6.6119999999999992</v>
      </c>
      <c r="CJ583" s="4">
        <f>CN580*(CJ600)</f>
        <v>119.01599999999998</v>
      </c>
      <c r="CL583" s="15" t="s">
        <v>36</v>
      </c>
    </row>
    <row r="584" spans="80:94" x14ac:dyDescent="0.25">
      <c r="CC584" s="120">
        <f>CJ583</f>
        <v>119.01599999999998</v>
      </c>
      <c r="CD584" s="141" t="str">
        <f>CJ582</f>
        <v>en kg</v>
      </c>
      <c r="CL584" s="1">
        <f>CL578-CL582</f>
        <v>0</v>
      </c>
    </row>
    <row r="585" spans="80:94" x14ac:dyDescent="0.25">
      <c r="CI585" s="428" t="s">
        <v>98</v>
      </c>
      <c r="CJ585" s="429"/>
      <c r="CL585" s="28" t="s">
        <v>45</v>
      </c>
    </row>
    <row r="586" spans="80:94" x14ac:dyDescent="0.25">
      <c r="CI586" s="101" t="s">
        <v>30</v>
      </c>
      <c r="CJ586" s="101" t="s">
        <v>1</v>
      </c>
    </row>
    <row r="587" spans="80:94" x14ac:dyDescent="0.25">
      <c r="CI587" s="101">
        <f>CN580*CF604</f>
        <v>116</v>
      </c>
      <c r="CJ587" s="4">
        <f>CN580*(CJ604)</f>
        <v>0.98723404255319147</v>
      </c>
    </row>
    <row r="589" spans="80:94" x14ac:dyDescent="0.25">
      <c r="CF589" s="419" t="s">
        <v>51</v>
      </c>
      <c r="CG589" s="420"/>
      <c r="CH589" s="144"/>
      <c r="CJ589" s="428" t="s">
        <v>137</v>
      </c>
      <c r="CK589" s="429"/>
    </row>
    <row r="590" spans="80:94" x14ac:dyDescent="0.25">
      <c r="CF590" s="142" t="s">
        <v>98</v>
      </c>
      <c r="CG590" s="143" t="str">
        <f>CJ589</f>
        <v>Hilo</v>
      </c>
      <c r="CH590" s="103"/>
      <c r="CJ590" s="101" t="s">
        <v>30</v>
      </c>
      <c r="CK590" s="101" t="s">
        <v>1</v>
      </c>
      <c r="CO590" t="s">
        <v>91</v>
      </c>
    </row>
    <row r="591" spans="80:94" x14ac:dyDescent="0.25">
      <c r="CF591" s="120">
        <f>CJ587</f>
        <v>0.98723404255319147</v>
      </c>
      <c r="CG591" s="141">
        <f>CK591</f>
        <v>0.52045061212800003</v>
      </c>
      <c r="CH591" s="4" t="s">
        <v>18</v>
      </c>
      <c r="CJ591" s="101">
        <f>CF601*CN580</f>
        <v>6708.0480000000007</v>
      </c>
      <c r="CK591" s="4">
        <f>CN580*(CJ601)</f>
        <v>0.52045061212800003</v>
      </c>
    </row>
    <row r="592" spans="80:94" x14ac:dyDescent="0.25">
      <c r="CF592" s="120">
        <f>CI587</f>
        <v>116</v>
      </c>
      <c r="CG592" s="141">
        <f>CJ591</f>
        <v>6708.0480000000007</v>
      </c>
      <c r="CH592" s="4" t="s">
        <v>16</v>
      </c>
    </row>
    <row r="593" spans="80:90" x14ac:dyDescent="0.25">
      <c r="CJ593" s="428" t="s">
        <v>161</v>
      </c>
      <c r="CK593" s="429"/>
    </row>
    <row r="594" spans="80:90" x14ac:dyDescent="0.25">
      <c r="CJ594" s="101" t="s">
        <v>4</v>
      </c>
      <c r="CK594" s="101" t="s">
        <v>1</v>
      </c>
    </row>
    <row r="595" spans="80:90" x14ac:dyDescent="0.25">
      <c r="CJ595" s="101">
        <f>CN580*4</f>
        <v>464</v>
      </c>
      <c r="CK595" s="4">
        <f>CJ609*CN580</f>
        <v>3.2480000000000002</v>
      </c>
    </row>
    <row r="598" spans="80:90" x14ac:dyDescent="0.25">
      <c r="CC598" s="432" t="s">
        <v>188</v>
      </c>
      <c r="CD598" s="433"/>
      <c r="CE598" s="4" t="s">
        <v>19</v>
      </c>
      <c r="CF598" s="101" t="s">
        <v>20</v>
      </c>
      <c r="CG598" s="101" t="s">
        <v>2</v>
      </c>
      <c r="CH598" s="101" t="s">
        <v>21</v>
      </c>
      <c r="CI598" s="101" t="s">
        <v>2</v>
      </c>
      <c r="CJ598" s="11" t="s">
        <v>24</v>
      </c>
    </row>
    <row r="599" spans="80:90" x14ac:dyDescent="0.25">
      <c r="CB599" s="153"/>
      <c r="CC599" s="104"/>
      <c r="CD599" s="104"/>
      <c r="CE599" s="23"/>
      <c r="CF599" s="23"/>
      <c r="CG599" s="23"/>
      <c r="CH599" s="23"/>
      <c r="CI599" s="23"/>
      <c r="CJ599" s="39"/>
    </row>
    <row r="600" spans="80:90" x14ac:dyDescent="0.25">
      <c r="CB600" s="149" t="s">
        <v>128</v>
      </c>
      <c r="CC600" s="158">
        <f>100*190*3</f>
        <v>57000</v>
      </c>
      <c r="CD600" s="104" t="s">
        <v>26</v>
      </c>
      <c r="CE600" s="23">
        <v>9.9999999999999995E-7</v>
      </c>
      <c r="CF600" s="23">
        <f t="shared" ref="CF600:CF607" si="27">CC600*CE600</f>
        <v>5.6999999999999995E-2</v>
      </c>
      <c r="CG600" s="23" t="s">
        <v>15</v>
      </c>
      <c r="CH600" s="23">
        <v>18</v>
      </c>
      <c r="CI600" s="23" t="s">
        <v>13</v>
      </c>
      <c r="CJ600" s="23">
        <f>CF600*CH600</f>
        <v>1.0259999999999998</v>
      </c>
    </row>
    <row r="601" spans="80:90" x14ac:dyDescent="0.25">
      <c r="CB601" s="149" t="s">
        <v>130</v>
      </c>
      <c r="CC601" s="158">
        <f>5782.8</f>
        <v>5782.8</v>
      </c>
      <c r="CD601" s="104" t="s">
        <v>10</v>
      </c>
      <c r="CE601" s="23">
        <f>1/100</f>
        <v>0.01</v>
      </c>
      <c r="CF601" s="23">
        <f t="shared" si="27"/>
        <v>57.828000000000003</v>
      </c>
      <c r="CG601" s="23" t="s">
        <v>16</v>
      </c>
      <c r="CH601" s="23">
        <v>7.7585999999999999E-5</v>
      </c>
      <c r="CI601" s="23" t="s">
        <v>22</v>
      </c>
      <c r="CJ601" s="23">
        <f t="shared" ref="CJ601:CJ603" si="28">CF601*CH601</f>
        <v>4.4866432080000003E-3</v>
      </c>
    </row>
    <row r="602" spans="80:90" x14ac:dyDescent="0.25">
      <c r="CB602" s="149" t="s">
        <v>164</v>
      </c>
      <c r="CC602" s="158">
        <f>230*230*0.3</f>
        <v>15870</v>
      </c>
      <c r="CD602" s="104" t="s">
        <v>26</v>
      </c>
      <c r="CE602" s="23">
        <v>9.9999999999999995E-7</v>
      </c>
      <c r="CF602" s="23">
        <f t="shared" si="27"/>
        <v>1.5869999999999999E-2</v>
      </c>
      <c r="CG602" s="23" t="s">
        <v>15</v>
      </c>
      <c r="CH602" s="23">
        <v>12</v>
      </c>
      <c r="CI602" s="23" t="s">
        <v>13</v>
      </c>
      <c r="CJ602" s="23">
        <f t="shared" si="28"/>
        <v>0.19044</v>
      </c>
    </row>
    <row r="603" spans="80:90" x14ac:dyDescent="0.25">
      <c r="CB603" s="149" t="s">
        <v>127</v>
      </c>
      <c r="CC603" s="158">
        <v>59400</v>
      </c>
      <c r="CD603" s="104" t="s">
        <v>9</v>
      </c>
      <c r="CE603" s="23">
        <f>0.0001</f>
        <v>1E-4</v>
      </c>
      <c r="CF603" s="23">
        <f t="shared" si="27"/>
        <v>5.94</v>
      </c>
      <c r="CG603" s="23" t="s">
        <v>17</v>
      </c>
      <c r="CH603" s="23">
        <f>20/1000</f>
        <v>0.02</v>
      </c>
      <c r="CI603" s="23" t="s">
        <v>23</v>
      </c>
      <c r="CJ603" s="23">
        <f t="shared" si="28"/>
        <v>0.11880000000000002</v>
      </c>
    </row>
    <row r="604" spans="80:90" x14ac:dyDescent="0.25">
      <c r="CB604" s="149" t="s">
        <v>93</v>
      </c>
      <c r="CC604" s="158">
        <v>100</v>
      </c>
      <c r="CD604" s="104" t="s">
        <v>10</v>
      </c>
      <c r="CE604" s="23">
        <f>1/100</f>
        <v>0.01</v>
      </c>
      <c r="CF604" s="23">
        <f t="shared" si="27"/>
        <v>1</v>
      </c>
      <c r="CG604" s="23" t="s">
        <v>16</v>
      </c>
      <c r="CH604" s="23">
        <f>1/117.5</f>
        <v>8.5106382978723406E-3</v>
      </c>
      <c r="CI604" s="23" t="s">
        <v>22</v>
      </c>
      <c r="CJ604" s="23">
        <f>CF604*CH604</f>
        <v>8.5106382978723406E-3</v>
      </c>
    </row>
    <row r="605" spans="80:90" x14ac:dyDescent="0.25">
      <c r="CB605" s="137" t="s">
        <v>130</v>
      </c>
      <c r="CC605" s="158">
        <f>26177.96</f>
        <v>26177.96</v>
      </c>
      <c r="CD605" s="104" t="s">
        <v>10</v>
      </c>
      <c r="CE605" s="23">
        <f>1/100</f>
        <v>0.01</v>
      </c>
      <c r="CF605" s="23">
        <f t="shared" si="27"/>
        <v>261.77960000000002</v>
      </c>
      <c r="CG605" s="23" t="s">
        <v>16</v>
      </c>
      <c r="CH605" s="23">
        <v>7.7585999999999999E-5</v>
      </c>
      <c r="CI605" s="23" t="s">
        <v>22</v>
      </c>
      <c r="CJ605" s="23">
        <f>CF605*CH605</f>
        <v>2.0310432045599999E-2</v>
      </c>
      <c r="CK605" s="434" t="s">
        <v>203</v>
      </c>
      <c r="CL605" s="435"/>
    </row>
    <row r="606" spans="80:90" x14ac:dyDescent="0.25">
      <c r="CB606" s="137" t="s">
        <v>132</v>
      </c>
      <c r="CC606" s="151">
        <f>227*227</f>
        <v>51529</v>
      </c>
      <c r="CD606" s="131" t="s">
        <v>9</v>
      </c>
      <c r="CE606" s="39">
        <f>0.0001</f>
        <v>1E-4</v>
      </c>
      <c r="CF606" s="39">
        <f t="shared" si="27"/>
        <v>5.1528999999999998</v>
      </c>
      <c r="CG606" s="39" t="s">
        <v>17</v>
      </c>
      <c r="CH606" s="39">
        <v>0.1</v>
      </c>
      <c r="CI606" s="39" t="s">
        <v>23</v>
      </c>
      <c r="CJ606" s="39">
        <f>CF606*CH606</f>
        <v>0.51529000000000003</v>
      </c>
      <c r="CK606" s="4">
        <f>CJ600+CJ601+CJ602+CJ603+CJ604+CJ605+CJ606+CJ607+CJ608+CJ609</f>
        <v>20.463838771101869</v>
      </c>
      <c r="CL606" s="4" t="s">
        <v>18</v>
      </c>
    </row>
    <row r="607" spans="80:90" x14ac:dyDescent="0.25">
      <c r="CB607" s="149" t="s">
        <v>165</v>
      </c>
      <c r="CC607" s="152">
        <f>0.542*0.542*0.3</f>
        <v>8.8129200000000005E-2</v>
      </c>
      <c r="CD607" s="127" t="s">
        <v>26</v>
      </c>
      <c r="CE607" s="71">
        <v>9.9999999999999995E-7</v>
      </c>
      <c r="CF607" s="71">
        <f t="shared" si="27"/>
        <v>8.8129200000000005E-8</v>
      </c>
      <c r="CG607" s="71" t="s">
        <v>15</v>
      </c>
      <c r="CH607" s="71">
        <v>12</v>
      </c>
      <c r="CI607" s="71" t="s">
        <v>13</v>
      </c>
      <c r="CJ607" s="71">
        <f>CF607*CH607</f>
        <v>1.0575504000000001E-6</v>
      </c>
    </row>
    <row r="608" spans="80:90" x14ac:dyDescent="0.25">
      <c r="CB608" s="137" t="s">
        <v>174</v>
      </c>
      <c r="CC608" s="155">
        <v>1</v>
      </c>
      <c r="CD608" s="156" t="s">
        <v>2</v>
      </c>
      <c r="CE608" s="67"/>
      <c r="CF608" s="67"/>
      <c r="CG608" s="139" t="s">
        <v>18</v>
      </c>
      <c r="CH608" s="67"/>
      <c r="CI608" s="139" t="s">
        <v>18</v>
      </c>
      <c r="CJ608" s="71">
        <f>18.552</f>
        <v>18.552</v>
      </c>
    </row>
    <row r="609" spans="80:88" x14ac:dyDescent="0.25">
      <c r="CB609" s="137" t="s">
        <v>175</v>
      </c>
      <c r="CC609" s="152">
        <f>7*4</f>
        <v>28</v>
      </c>
      <c r="CD609" s="138" t="s">
        <v>5</v>
      </c>
      <c r="CE609" s="71"/>
      <c r="CF609" s="71"/>
      <c r="CG609" s="71"/>
      <c r="CH609" s="71">
        <f>1/1000</f>
        <v>1E-3</v>
      </c>
      <c r="CI609" s="139" t="s">
        <v>18</v>
      </c>
      <c r="CJ609" s="139">
        <f>CC609*CH609</f>
        <v>2.8000000000000001E-2</v>
      </c>
    </row>
    <row r="657" spans="66:74" x14ac:dyDescent="0.25">
      <c r="BR657" s="140">
        <f>(BU666-BN670)</f>
        <v>4.056</v>
      </c>
    </row>
    <row r="661" spans="66:74" x14ac:dyDescent="0.25">
      <c r="BN661" s="18" t="s">
        <v>36</v>
      </c>
    </row>
    <row r="662" spans="66:74" x14ac:dyDescent="0.25">
      <c r="BN662" s="19">
        <v>1E-4</v>
      </c>
    </row>
    <row r="663" spans="66:74" x14ac:dyDescent="0.25">
      <c r="BN663" s="18">
        <f>BN664+BN664*BN662</f>
        <v>7.6979910248511061</v>
      </c>
    </row>
    <row r="664" spans="66:74" x14ac:dyDescent="0.25">
      <c r="BN664" s="130">
        <f>BN623+BY679</f>
        <v>7.697221302720834</v>
      </c>
      <c r="BU664" s="41" t="s">
        <v>58</v>
      </c>
      <c r="BV664" s="41"/>
    </row>
    <row r="665" spans="66:74" x14ac:dyDescent="0.25">
      <c r="BN665" s="13" t="s">
        <v>34</v>
      </c>
      <c r="BU665" s="25" t="s">
        <v>156</v>
      </c>
      <c r="BV665" s="4"/>
    </row>
    <row r="666" spans="66:74" x14ac:dyDescent="0.25">
      <c r="BN666" s="29" t="s">
        <v>238</v>
      </c>
      <c r="BU666" s="129">
        <f>BY679</f>
        <v>7.697221302720834</v>
      </c>
      <c r="BV666" s="4" t="s">
        <v>18</v>
      </c>
    </row>
    <row r="667" spans="66:74" x14ac:dyDescent="0.25">
      <c r="BN667" s="14" t="s">
        <v>35</v>
      </c>
      <c r="BQ667" s="404" t="s">
        <v>51</v>
      </c>
      <c r="BR667" s="405"/>
      <c r="BU667" s="12">
        <f>6/1000</f>
        <v>6.0000000000000001E-3</v>
      </c>
      <c r="BV667" s="4" t="s">
        <v>158</v>
      </c>
    </row>
    <row r="668" spans="66:74" x14ac:dyDescent="0.25">
      <c r="BN668" s="130">
        <f>BN664</f>
        <v>7.697221302720834</v>
      </c>
      <c r="BQ668" s="406" t="s">
        <v>159</v>
      </c>
      <c r="BR668" s="407"/>
    </row>
    <row r="669" spans="66:74" x14ac:dyDescent="0.25">
      <c r="BN669" s="15" t="s">
        <v>36</v>
      </c>
      <c r="BQ669" s="43">
        <f>IF(CJ717-BN664&lt;0,0,CJ717-BN664)</f>
        <v>0</v>
      </c>
      <c r="BR669" s="44" t="s">
        <v>18</v>
      </c>
    </row>
    <row r="670" spans="66:74" x14ac:dyDescent="0.25">
      <c r="BN670" s="210">
        <f>BN668-CJ717</f>
        <v>3.641221302720834</v>
      </c>
      <c r="BO670" s="209"/>
      <c r="BQ670" s="43">
        <f>BQ669</f>
        <v>0</v>
      </c>
      <c r="BR670" s="44" t="s">
        <v>18</v>
      </c>
    </row>
    <row r="671" spans="66:74" x14ac:dyDescent="0.25">
      <c r="BN671" s="209" t="s">
        <v>168</v>
      </c>
      <c r="BO671" s="209"/>
    </row>
    <row r="675" spans="73:89" x14ac:dyDescent="0.25">
      <c r="BU675" s="10"/>
      <c r="BV675" s="10"/>
      <c r="BW675" s="10"/>
      <c r="BX675" s="10"/>
      <c r="BY675" s="10"/>
    </row>
    <row r="676" spans="73:89" x14ac:dyDescent="0.25">
      <c r="BU676" s="10"/>
      <c r="BV676" s="10"/>
      <c r="BW676" s="10"/>
      <c r="BX676" s="10"/>
      <c r="BY676" s="48" t="s">
        <v>141</v>
      </c>
    </row>
    <row r="677" spans="73:89" x14ac:dyDescent="0.25">
      <c r="BU677" s="10"/>
      <c r="BV677" s="10"/>
      <c r="BW677" s="10"/>
      <c r="BX677" s="10"/>
      <c r="BY677" s="49" t="s">
        <v>36</v>
      </c>
    </row>
    <row r="678" spans="73:89" x14ac:dyDescent="0.25">
      <c r="BU678" s="10"/>
      <c r="BV678" s="10"/>
      <c r="BW678" s="10"/>
      <c r="BX678" s="10"/>
      <c r="BY678" s="45" t="s">
        <v>54</v>
      </c>
    </row>
    <row r="679" spans="73:89" x14ac:dyDescent="0.25">
      <c r="BU679" s="10"/>
      <c r="BV679" s="10"/>
      <c r="BW679" s="10"/>
      <c r="BX679" s="10"/>
      <c r="BY679" s="121">
        <f>BY680-BY684</f>
        <v>7.697221302720834</v>
      </c>
    </row>
    <row r="680" spans="73:89" x14ac:dyDescent="0.25">
      <c r="BU680" s="10"/>
      <c r="BV680" s="10"/>
      <c r="BW680" s="10"/>
      <c r="BX680" s="10"/>
      <c r="BY680" s="113">
        <f>BV686</f>
        <v>161.64164735713723</v>
      </c>
    </row>
    <row r="681" spans="73:89" x14ac:dyDescent="0.25">
      <c r="BU681" s="421" t="s">
        <v>139</v>
      </c>
      <c r="BV681" s="421"/>
      <c r="BW681" s="10"/>
      <c r="BX681" s="10"/>
      <c r="BY681" s="47" t="s">
        <v>34</v>
      </c>
      <c r="CJ681" s="419" t="s">
        <v>51</v>
      </c>
      <c r="CK681" s="420"/>
    </row>
    <row r="682" spans="73:89" x14ac:dyDescent="0.25">
      <c r="BU682" s="421"/>
      <c r="BV682" s="421"/>
      <c r="BW682" s="10"/>
      <c r="BX682" s="10"/>
      <c r="BY682" s="118" t="s">
        <v>138</v>
      </c>
      <c r="CJ682" s="142" t="str">
        <f>CK689</f>
        <v>cassata</v>
      </c>
      <c r="CK682" s="143">
        <f>CN681</f>
        <v>0</v>
      </c>
    </row>
    <row r="683" spans="73:89" x14ac:dyDescent="0.25">
      <c r="BU683" s="120" t="s">
        <v>1</v>
      </c>
      <c r="BV683" s="120" t="s">
        <v>1</v>
      </c>
      <c r="BW683" s="116"/>
      <c r="BX683" s="10"/>
      <c r="BY683" s="48" t="s">
        <v>35</v>
      </c>
      <c r="CJ683" s="120">
        <f>CK692</f>
        <v>25.687999999999999</v>
      </c>
      <c r="CK683" s="141" t="str">
        <f>CK691</f>
        <v>en m^3</v>
      </c>
    </row>
    <row r="684" spans="73:89" x14ac:dyDescent="0.25">
      <c r="BU684" s="120">
        <f>BV684</f>
        <v>161.64164735713723</v>
      </c>
      <c r="BV684" s="67">
        <f>BV686</f>
        <v>161.64164735713723</v>
      </c>
      <c r="BW684" s="55"/>
      <c r="BX684" s="10"/>
      <c r="BY684" s="10">
        <f>CH699</f>
        <v>153.9444260544164</v>
      </c>
      <c r="CJ684" s="120">
        <f>CL692</f>
        <v>4110.08</v>
      </c>
      <c r="CK684" s="141" t="str">
        <f>CL691</f>
        <v>en kg</v>
      </c>
    </row>
    <row r="685" spans="73:89" x14ac:dyDescent="0.25">
      <c r="BU685" s="422" t="s">
        <v>251</v>
      </c>
      <c r="BV685" s="10"/>
      <c r="BW685" s="10"/>
      <c r="BX685" s="10"/>
      <c r="BY685" s="50" t="s">
        <v>36</v>
      </c>
    </row>
    <row r="686" spans="73:89" x14ac:dyDescent="0.25">
      <c r="BU686" s="423"/>
      <c r="BV686" s="10">
        <f>BY684+BY684*0.05</f>
        <v>161.64164735713723</v>
      </c>
      <c r="BW686" s="10"/>
      <c r="BX686" s="10"/>
      <c r="BY686" s="117" t="s">
        <v>63</v>
      </c>
    </row>
    <row r="687" spans="73:89" x14ac:dyDescent="0.25">
      <c r="BU687" s="10"/>
      <c r="BV687" s="48"/>
      <c r="BW687" s="10"/>
      <c r="BX687" s="10"/>
      <c r="BY687" s="28"/>
    </row>
    <row r="688" spans="73:89" x14ac:dyDescent="0.25">
      <c r="BU688" s="10"/>
      <c r="BV688" s="10"/>
      <c r="BW688" s="10"/>
      <c r="BX688" s="10"/>
      <c r="BY688" s="16"/>
    </row>
    <row r="689" spans="73:93" x14ac:dyDescent="0.25">
      <c r="BU689" s="10"/>
      <c r="BV689" s="10"/>
      <c r="BW689" s="10"/>
      <c r="BX689" s="10"/>
      <c r="BY689" s="10"/>
      <c r="CK689" s="424" t="s">
        <v>182</v>
      </c>
      <c r="CL689" s="425"/>
    </row>
    <row r="690" spans="73:93" x14ac:dyDescent="0.25">
      <c r="BU690" s="10"/>
      <c r="BV690" s="10"/>
      <c r="BW690" s="10"/>
      <c r="BX690" s="48"/>
      <c r="BY690" s="52">
        <f>BV686-CB685</f>
        <v>161.64164735713723</v>
      </c>
      <c r="CK690" s="426"/>
      <c r="CL690" s="427"/>
    </row>
    <row r="691" spans="73:93" x14ac:dyDescent="0.25">
      <c r="CK691" s="101" t="s">
        <v>50</v>
      </c>
      <c r="CL691" s="101" t="s">
        <v>1</v>
      </c>
    </row>
    <row r="692" spans="73:93" x14ac:dyDescent="0.25">
      <c r="CK692" s="101">
        <f>CE731*CM702</f>
        <v>25.687999999999999</v>
      </c>
      <c r="CL692" s="4">
        <f>CM702*CI731</f>
        <v>4110.08</v>
      </c>
      <c r="CN692" s="14" t="s">
        <v>247</v>
      </c>
    </row>
    <row r="693" spans="73:93" x14ac:dyDescent="0.25">
      <c r="CN693" s="14">
        <f>CJ684+CI709+CJ713</f>
        <v>4112.2554249549394</v>
      </c>
    </row>
    <row r="696" spans="73:93" x14ac:dyDescent="0.25">
      <c r="CH696" s="410" t="s">
        <v>141</v>
      </c>
      <c r="CI696" s="410"/>
    </row>
    <row r="697" spans="73:93" x14ac:dyDescent="0.25">
      <c r="CH697" s="410"/>
      <c r="CI697" s="410"/>
    </row>
    <row r="698" spans="73:93" x14ac:dyDescent="0.25">
      <c r="CH698" s="101" t="s">
        <v>1</v>
      </c>
      <c r="CI698" s="101" t="s">
        <v>1</v>
      </c>
    </row>
    <row r="699" spans="73:93" x14ac:dyDescent="0.25">
      <c r="CH699" s="101">
        <f>CI699</f>
        <v>153.9444260544164</v>
      </c>
      <c r="CI699" s="4">
        <f>CM702*(CI724+CI725+CI727+CI728+CI729+CI730)</f>
        <v>153.9444260544164</v>
      </c>
    </row>
    <row r="700" spans="73:93" x14ac:dyDescent="0.25">
      <c r="CK700">
        <f>CI699+CI705+CI709+CJ713+CJ717</f>
        <v>506.96385100935515</v>
      </c>
      <c r="CM700" s="416" t="s">
        <v>52</v>
      </c>
      <c r="CN700" s="416"/>
    </row>
    <row r="701" spans="73:93" x14ac:dyDescent="0.25">
      <c r="CK701" s="13" t="s">
        <v>34</v>
      </c>
      <c r="CM701" s="417" t="s">
        <v>248</v>
      </c>
      <c r="CN701" s="418"/>
      <c r="CO701" s="127" t="s">
        <v>249</v>
      </c>
    </row>
    <row r="702" spans="73:93" x14ac:dyDescent="0.25">
      <c r="CK702" s="109" t="s">
        <v>160</v>
      </c>
      <c r="CM702" s="223">
        <v>169</v>
      </c>
      <c r="CN702" s="4" t="s">
        <v>27</v>
      </c>
    </row>
    <row r="703" spans="73:93" x14ac:dyDescent="0.25">
      <c r="CH703" s="410" t="s">
        <v>134</v>
      </c>
      <c r="CI703" s="410"/>
      <c r="CK703" s="14" t="s">
        <v>35</v>
      </c>
      <c r="CM703" s="4">
        <f>CM702*CJ728</f>
        <v>4617.0438510093554</v>
      </c>
      <c r="CN703" s="4" t="s">
        <v>28</v>
      </c>
    </row>
    <row r="704" spans="73:93" x14ac:dyDescent="0.25">
      <c r="CD704" s="1"/>
      <c r="CH704" s="101" t="s">
        <v>50</v>
      </c>
      <c r="CI704" s="101" t="s">
        <v>1</v>
      </c>
      <c r="CK704">
        <f>CM703</f>
        <v>4617.0438510093554</v>
      </c>
    </row>
    <row r="705" spans="76:92" x14ac:dyDescent="0.25">
      <c r="CD705" s="18" t="s">
        <v>36</v>
      </c>
      <c r="CH705" s="101">
        <f>CM702*CE722</f>
        <v>19.265999999999998</v>
      </c>
      <c r="CI705" s="4">
        <f>CM702*(CI722)</f>
        <v>346.78799999999995</v>
      </c>
      <c r="CK705" s="15" t="s">
        <v>36</v>
      </c>
    </row>
    <row r="706" spans="76:92" x14ac:dyDescent="0.25">
      <c r="CD706" s="19">
        <v>1.0000000000000001E-5</v>
      </c>
      <c r="CK706" s="1">
        <f>CK700-CK704</f>
        <v>-4110.08</v>
      </c>
    </row>
    <row r="707" spans="76:92" x14ac:dyDescent="0.25">
      <c r="BX707" s="473" t="s">
        <v>87</v>
      </c>
      <c r="BY707" s="473"/>
      <c r="CD707" s="18">
        <f>CD708-CD712</f>
        <v>0</v>
      </c>
      <c r="CH707" s="410" t="s">
        <v>98</v>
      </c>
      <c r="CI707" s="410"/>
      <c r="CK707" s="28" t="s">
        <v>45</v>
      </c>
    </row>
    <row r="708" spans="76:92" x14ac:dyDescent="0.25">
      <c r="BX708" s="447" t="str">
        <f>CA713</f>
        <v>Bloque de espuma</v>
      </c>
      <c r="BY708" s="448"/>
      <c r="CD708" s="1">
        <f>CB717</f>
        <v>346.78799999999995</v>
      </c>
      <c r="CH708" s="101" t="s">
        <v>30</v>
      </c>
      <c r="CI708" s="101" t="s">
        <v>1</v>
      </c>
    </row>
    <row r="709" spans="76:92" x14ac:dyDescent="0.25">
      <c r="BX709" s="12"/>
      <c r="BY709" s="4" t="s">
        <v>18</v>
      </c>
      <c r="CD709" s="13" t="s">
        <v>34</v>
      </c>
      <c r="CH709" s="101">
        <f>CM702*CE726</f>
        <v>169</v>
      </c>
      <c r="CI709" s="4">
        <f>CM702*(CI726)</f>
        <v>1.4382978723404256</v>
      </c>
    </row>
    <row r="710" spans="76:92" x14ac:dyDescent="0.25">
      <c r="BX710" s="12"/>
      <c r="BY710" s="4" t="s">
        <v>16</v>
      </c>
      <c r="CD710" s="109" t="s">
        <v>142</v>
      </c>
    </row>
    <row r="711" spans="76:92" x14ac:dyDescent="0.25">
      <c r="CD711" s="14" t="s">
        <v>35</v>
      </c>
      <c r="CE711" s="409" t="s">
        <v>51</v>
      </c>
      <c r="CF711" s="409"/>
      <c r="CG711" s="144"/>
      <c r="CI711" s="410" t="s">
        <v>137</v>
      </c>
      <c r="CJ711" s="410"/>
    </row>
    <row r="712" spans="76:92" x14ac:dyDescent="0.25">
      <c r="CD712">
        <f>CI705</f>
        <v>346.78799999999995</v>
      </c>
      <c r="CE712" s="142" t="s">
        <v>98</v>
      </c>
      <c r="CF712" s="143" t="str">
        <f>CI711</f>
        <v>Hilo</v>
      </c>
      <c r="CG712" s="103"/>
      <c r="CI712" s="101" t="s">
        <v>30</v>
      </c>
      <c r="CJ712" s="101" t="s">
        <v>1</v>
      </c>
      <c r="CM712" s="140"/>
      <c r="CN712" t="s">
        <v>91</v>
      </c>
    </row>
    <row r="713" spans="76:92" x14ac:dyDescent="0.25">
      <c r="CA713" s="474" t="s">
        <v>143</v>
      </c>
      <c r="CB713" s="474"/>
      <c r="CD713" s="15" t="s">
        <v>36</v>
      </c>
      <c r="CE713" s="120">
        <f>CI709</f>
        <v>1.4382978723404256</v>
      </c>
      <c r="CF713" s="141">
        <f>CJ713</f>
        <v>0.73712708259839999</v>
      </c>
      <c r="CG713" s="4" t="s">
        <v>18</v>
      </c>
      <c r="CI713" s="101">
        <f>CE723*CM702</f>
        <v>9500.7744000000002</v>
      </c>
      <c r="CJ713" s="4">
        <f>CM702*(CI723)</f>
        <v>0.73712708259839999</v>
      </c>
    </row>
    <row r="714" spans="76:92" x14ac:dyDescent="0.25">
      <c r="CA714" s="474"/>
      <c r="CB714" s="474"/>
      <c r="CD714" s="28" t="s">
        <v>45</v>
      </c>
      <c r="CE714" s="120">
        <f>CH709</f>
        <v>169</v>
      </c>
      <c r="CF714" s="141">
        <f>CI713</f>
        <v>9500.7744000000002</v>
      </c>
      <c r="CG714" s="4" t="s">
        <v>16</v>
      </c>
    </row>
    <row r="715" spans="76:92" x14ac:dyDescent="0.25">
      <c r="CA715" s="101" t="s">
        <v>50</v>
      </c>
      <c r="CB715" s="101" t="s">
        <v>1</v>
      </c>
      <c r="CC715" s="101" t="s">
        <v>42</v>
      </c>
      <c r="CD715" s="28"/>
      <c r="CI715" s="410" t="s">
        <v>161</v>
      </c>
      <c r="CJ715" s="410"/>
    </row>
    <row r="716" spans="76:92" x14ac:dyDescent="0.25">
      <c r="CA716" s="27"/>
      <c r="CB716" s="4"/>
      <c r="CC716" s="101"/>
      <c r="CD716" s="16"/>
      <c r="CI716" s="101" t="s">
        <v>4</v>
      </c>
      <c r="CJ716" s="101" t="s">
        <v>1</v>
      </c>
    </row>
    <row r="717" spans="76:92" x14ac:dyDescent="0.25">
      <c r="BZ717" s="14" t="s">
        <v>252</v>
      </c>
      <c r="CA717" s="14">
        <f>CH705</f>
        <v>19.265999999999998</v>
      </c>
      <c r="CB717" s="14">
        <f>CI705</f>
        <v>346.78799999999995</v>
      </c>
      <c r="CI717" s="101">
        <f>CM702*4</f>
        <v>676</v>
      </c>
      <c r="CJ717" s="4">
        <f>CI732*CM702</f>
        <v>4.056</v>
      </c>
    </row>
    <row r="718" spans="76:92" x14ac:dyDescent="0.25">
      <c r="CD718" s="22">
        <f>CB717-CI705</f>
        <v>0</v>
      </c>
    </row>
    <row r="720" spans="76:92" x14ac:dyDescent="0.25">
      <c r="CB720" s="415" t="str">
        <f>CM701</f>
        <v>C. Cassata 100 x190</v>
      </c>
      <c r="CC720" s="415"/>
      <c r="CD720" s="4" t="s">
        <v>19</v>
      </c>
      <c r="CE720" s="101" t="s">
        <v>20</v>
      </c>
      <c r="CF720" s="101" t="s">
        <v>2</v>
      </c>
      <c r="CG720" s="101" t="s">
        <v>21</v>
      </c>
      <c r="CH720" s="101" t="s">
        <v>2</v>
      </c>
      <c r="CI720" s="11" t="s">
        <v>24</v>
      </c>
    </row>
    <row r="721" spans="79:89" x14ac:dyDescent="0.25">
      <c r="CA721" s="101"/>
      <c r="CB721" s="104"/>
      <c r="CC721" s="104"/>
      <c r="CD721" s="23"/>
      <c r="CE721" s="23"/>
      <c r="CF721" s="23"/>
      <c r="CG721" s="23"/>
      <c r="CH721" s="23"/>
      <c r="CI721" s="39"/>
    </row>
    <row r="722" spans="79:89" x14ac:dyDescent="0.25">
      <c r="CA722" s="27" t="s">
        <v>128</v>
      </c>
      <c r="CB722" s="104">
        <f>(100*190*3)*2</f>
        <v>114000</v>
      </c>
      <c r="CC722" s="104" t="s">
        <v>26</v>
      </c>
      <c r="CD722" s="23">
        <v>9.9999999999999995E-7</v>
      </c>
      <c r="CE722" s="23">
        <f t="shared" ref="CE722:CE729" si="29">CB722*CD722</f>
        <v>0.11399999999999999</v>
      </c>
      <c r="CF722" s="23" t="s">
        <v>15</v>
      </c>
      <c r="CG722" s="23">
        <v>18</v>
      </c>
      <c r="CH722" s="23" t="s">
        <v>13</v>
      </c>
      <c r="CI722" s="23">
        <f>CE722*CG722</f>
        <v>2.0519999999999996</v>
      </c>
    </row>
    <row r="723" spans="79:89" x14ac:dyDescent="0.25">
      <c r="CA723" s="27" t="s">
        <v>130</v>
      </c>
      <c r="CB723" s="104">
        <f>5621.76</f>
        <v>5621.76</v>
      </c>
      <c r="CC723" s="104" t="s">
        <v>10</v>
      </c>
      <c r="CD723" s="23">
        <f>1/100</f>
        <v>0.01</v>
      </c>
      <c r="CE723" s="23">
        <f t="shared" si="29"/>
        <v>56.217600000000004</v>
      </c>
      <c r="CF723" s="23" t="s">
        <v>16</v>
      </c>
      <c r="CG723" s="23">
        <v>7.7585999999999999E-5</v>
      </c>
      <c r="CH723" s="23" t="s">
        <v>22</v>
      </c>
      <c r="CI723" s="23">
        <f t="shared" ref="CI723:CI725" si="30">CE723*CG723</f>
        <v>4.3616987136000001E-3</v>
      </c>
    </row>
    <row r="724" spans="79:89" x14ac:dyDescent="0.25">
      <c r="CA724" s="27" t="s">
        <v>164</v>
      </c>
      <c r="CB724" s="104">
        <f>210*210*0.3</f>
        <v>13230</v>
      </c>
      <c r="CC724" s="104" t="s">
        <v>26</v>
      </c>
      <c r="CD724" s="23">
        <v>9.9999999999999995E-7</v>
      </c>
      <c r="CE724" s="23">
        <f t="shared" si="29"/>
        <v>1.3229999999999999E-2</v>
      </c>
      <c r="CF724" s="23" t="s">
        <v>15</v>
      </c>
      <c r="CG724" s="23">
        <v>12</v>
      </c>
      <c r="CH724" s="23" t="s">
        <v>13</v>
      </c>
      <c r="CI724" s="23">
        <f t="shared" si="30"/>
        <v>0.15875999999999998</v>
      </c>
    </row>
    <row r="725" spans="79:89" x14ac:dyDescent="0.25">
      <c r="CA725" s="27" t="s">
        <v>127</v>
      </c>
      <c r="CB725" s="104">
        <f>56000</f>
        <v>56000</v>
      </c>
      <c r="CC725" s="104" t="s">
        <v>9</v>
      </c>
      <c r="CD725" s="23">
        <f>0.0001</f>
        <v>1E-4</v>
      </c>
      <c r="CE725" s="23">
        <f t="shared" si="29"/>
        <v>5.6000000000000005</v>
      </c>
      <c r="CF725" s="23" t="s">
        <v>17</v>
      </c>
      <c r="CG725" s="23">
        <f>20/1000</f>
        <v>0.02</v>
      </c>
      <c r="CH725" s="23" t="s">
        <v>23</v>
      </c>
      <c r="CI725" s="23">
        <f t="shared" si="30"/>
        <v>0.11200000000000002</v>
      </c>
    </row>
    <row r="726" spans="79:89" x14ac:dyDescent="0.25">
      <c r="CA726" s="27" t="s">
        <v>93</v>
      </c>
      <c r="CB726" s="104">
        <v>100</v>
      </c>
      <c r="CC726" s="104" t="s">
        <v>10</v>
      </c>
      <c r="CD726" s="23">
        <f>1/100</f>
        <v>0.01</v>
      </c>
      <c r="CE726" s="23">
        <f t="shared" si="29"/>
        <v>1</v>
      </c>
      <c r="CF726" s="23" t="s">
        <v>16</v>
      </c>
      <c r="CG726" s="23">
        <f>1/117.5</f>
        <v>8.5106382978723406E-3</v>
      </c>
      <c r="CH726" s="23" t="s">
        <v>22</v>
      </c>
      <c r="CI726" s="23">
        <f>CE726*CG726</f>
        <v>8.5106382978723406E-3</v>
      </c>
    </row>
    <row r="727" spans="79:89" x14ac:dyDescent="0.25">
      <c r="CA727" s="132" t="s">
        <v>130</v>
      </c>
      <c r="CB727" s="104">
        <f>2400.96</f>
        <v>2400.96</v>
      </c>
      <c r="CC727" s="104" t="s">
        <v>10</v>
      </c>
      <c r="CD727" s="23">
        <f>1/100</f>
        <v>0.01</v>
      </c>
      <c r="CE727" s="23">
        <f t="shared" si="29"/>
        <v>24.009600000000002</v>
      </c>
      <c r="CF727" s="23" t="s">
        <v>16</v>
      </c>
      <c r="CG727" s="23">
        <v>7.7585999999999999E-5</v>
      </c>
      <c r="CH727" s="23" t="s">
        <v>22</v>
      </c>
      <c r="CI727" s="23">
        <f>CE727*CG727</f>
        <v>1.8628088256000001E-3</v>
      </c>
      <c r="CJ727" s="408" t="s">
        <v>250</v>
      </c>
      <c r="CK727" s="408"/>
    </row>
    <row r="728" spans="79:89" x14ac:dyDescent="0.25">
      <c r="CA728" s="132" t="s">
        <v>132</v>
      </c>
      <c r="CB728" s="131">
        <f>227*227</f>
        <v>51529</v>
      </c>
      <c r="CC728" s="131" t="s">
        <v>9</v>
      </c>
      <c r="CD728" s="39">
        <f>0.0001</f>
        <v>1E-4</v>
      </c>
      <c r="CE728" s="39">
        <f t="shared" si="29"/>
        <v>5.1528999999999998</v>
      </c>
      <c r="CF728" s="39" t="s">
        <v>17</v>
      </c>
      <c r="CG728" s="39">
        <v>0.1</v>
      </c>
      <c r="CH728" s="39" t="s">
        <v>23</v>
      </c>
      <c r="CI728" s="39">
        <f>CE728*CG728</f>
        <v>0.51529000000000003</v>
      </c>
      <c r="CJ728" s="4">
        <f>CI722+CI723+CI724+CI725+CI726+CI727+CI728+CI729+CI730+CI731+CI732</f>
        <v>27.319786100647072</v>
      </c>
      <c r="CK728" s="4" t="s">
        <v>18</v>
      </c>
    </row>
    <row r="729" spans="79:89" x14ac:dyDescent="0.25">
      <c r="CA729" s="108" t="s">
        <v>165</v>
      </c>
      <c r="CB729" s="71">
        <f>0.515*0.515*0.3</f>
        <v>7.9567499999999999E-2</v>
      </c>
      <c r="CC729" s="127" t="s">
        <v>26</v>
      </c>
      <c r="CD729" s="71">
        <v>9.9999999999999995E-7</v>
      </c>
      <c r="CE729" s="71">
        <f t="shared" si="29"/>
        <v>7.9567500000000001E-8</v>
      </c>
      <c r="CF729" s="71" t="s">
        <v>15</v>
      </c>
      <c r="CG729" s="71">
        <v>12</v>
      </c>
      <c r="CH729" s="71" t="s">
        <v>13</v>
      </c>
      <c r="CI729" s="71">
        <f>CE729*CG729</f>
        <v>9.5481000000000001E-7</v>
      </c>
    </row>
    <row r="730" spans="79:89" x14ac:dyDescent="0.25">
      <c r="CA730" s="134" t="s">
        <v>166</v>
      </c>
      <c r="CB730" s="135"/>
      <c r="CC730" s="135"/>
      <c r="CD730" s="135"/>
      <c r="CE730" s="136">
        <v>1.23</v>
      </c>
      <c r="CF730" s="136" t="s">
        <v>17</v>
      </c>
      <c r="CG730" s="136">
        <v>0.1</v>
      </c>
      <c r="CH730" s="136" t="s">
        <v>22</v>
      </c>
      <c r="CI730" s="136">
        <f>CE730*CG730</f>
        <v>0.123</v>
      </c>
    </row>
    <row r="731" spans="79:89" x14ac:dyDescent="0.25">
      <c r="CA731" s="137" t="s">
        <v>182</v>
      </c>
      <c r="CB731" s="14">
        <f>190*100*8</f>
        <v>152000</v>
      </c>
      <c r="CC731" s="104" t="s">
        <v>26</v>
      </c>
      <c r="CD731" s="23">
        <v>9.9999999999999995E-7</v>
      </c>
      <c r="CE731" s="23">
        <f>CB731*CD731</f>
        <v>0.152</v>
      </c>
      <c r="CF731" s="23" t="s">
        <v>15</v>
      </c>
      <c r="CG731" s="23">
        <v>80</v>
      </c>
      <c r="CH731" s="133" t="s">
        <v>13</v>
      </c>
      <c r="CI731" s="133">
        <f>CG731*CE731*2</f>
        <v>24.32</v>
      </c>
    </row>
    <row r="732" spans="79:89" x14ac:dyDescent="0.25">
      <c r="CA732" s="137" t="s">
        <v>167</v>
      </c>
      <c r="CB732" s="71">
        <f>6*4</f>
        <v>24</v>
      </c>
      <c r="CC732" s="138" t="s">
        <v>5</v>
      </c>
      <c r="CD732" s="71"/>
      <c r="CE732" s="71"/>
      <c r="CF732" s="71"/>
      <c r="CG732" s="71">
        <f>1/1000</f>
        <v>1E-3</v>
      </c>
      <c r="CH732" s="139" t="s">
        <v>18</v>
      </c>
      <c r="CI732" s="139">
        <f>CB732*CG732</f>
        <v>2.4E-2</v>
      </c>
    </row>
    <row r="766" spans="75:96" x14ac:dyDescent="0.25">
      <c r="BW766" s="219"/>
      <c r="BX766" s="219"/>
      <c r="BY766" s="219"/>
      <c r="BZ766" s="219"/>
      <c r="CA766" s="219"/>
      <c r="CB766" s="219"/>
      <c r="CC766" s="219"/>
      <c r="CD766" s="219"/>
      <c r="CE766" s="219"/>
      <c r="CF766" s="219"/>
      <c r="CG766" s="219"/>
      <c r="CH766" s="219"/>
      <c r="CI766" s="219"/>
      <c r="CJ766" s="219"/>
      <c r="CK766" s="219"/>
      <c r="CL766" s="219"/>
      <c r="CM766" s="219"/>
      <c r="CN766" s="219"/>
      <c r="CO766" s="219"/>
      <c r="CP766" s="219"/>
      <c r="CQ766" s="219"/>
      <c r="CR766" s="219"/>
    </row>
    <row r="767" spans="75:96" x14ac:dyDescent="0.25">
      <c r="BW767" s="219"/>
      <c r="BX767" s="219"/>
      <c r="BY767" s="219"/>
      <c r="BZ767" s="219"/>
      <c r="CA767" s="219"/>
      <c r="CB767" s="219"/>
      <c r="CC767" s="219"/>
      <c r="CD767" s="219"/>
      <c r="CE767" s="219"/>
      <c r="CF767" s="219"/>
      <c r="CG767" s="219"/>
      <c r="CH767" s="219"/>
      <c r="CI767" s="219"/>
      <c r="CJ767" s="219"/>
      <c r="CK767" s="219"/>
      <c r="CL767" s="219"/>
      <c r="CM767" s="219"/>
      <c r="CN767" s="220" t="s">
        <v>247</v>
      </c>
      <c r="CO767" s="219"/>
      <c r="CP767" s="219"/>
      <c r="CQ767" s="219"/>
      <c r="CR767" s="219"/>
    </row>
    <row r="768" spans="75:96" x14ac:dyDescent="0.25">
      <c r="BW768" s="219"/>
      <c r="BX768" s="219"/>
      <c r="BY768" s="219"/>
      <c r="BZ768" s="219"/>
      <c r="CA768" s="219"/>
      <c r="CB768" s="219"/>
      <c r="CC768" s="219"/>
      <c r="CD768" s="219"/>
      <c r="CE768" s="219"/>
      <c r="CF768" s="219"/>
      <c r="CG768" s="219"/>
      <c r="CH768" s="219"/>
      <c r="CI768" s="219"/>
      <c r="CJ768" s="219"/>
      <c r="CK768" s="219"/>
      <c r="CL768" s="219"/>
      <c r="CM768" s="219"/>
      <c r="CN768" s="220">
        <f>CJ759+CI784+CJ788</f>
        <v>5.6792952000000001E-3</v>
      </c>
      <c r="CO768" s="219"/>
      <c r="CP768" s="219"/>
      <c r="CQ768" s="219"/>
      <c r="CR768" s="219"/>
    </row>
    <row r="769" spans="75:96" x14ac:dyDescent="0.25">
      <c r="BW769" s="219"/>
      <c r="BX769" s="219"/>
      <c r="BY769" s="219"/>
      <c r="BZ769" s="219"/>
      <c r="CA769" s="219"/>
      <c r="CB769" s="219"/>
      <c r="CC769" s="219"/>
      <c r="CD769" s="219"/>
      <c r="CE769" s="219"/>
      <c r="CF769" s="219"/>
      <c r="CG769" s="219"/>
      <c r="CH769" s="219"/>
      <c r="CI769" s="219"/>
      <c r="CJ769" s="219"/>
      <c r="CK769" s="219"/>
      <c r="CL769" s="219"/>
      <c r="CM769" s="219"/>
      <c r="CN769" s="219"/>
      <c r="CO769" s="219"/>
      <c r="CP769" s="219"/>
      <c r="CQ769" s="219"/>
      <c r="CR769" s="219"/>
    </row>
    <row r="770" spans="75:96" x14ac:dyDescent="0.25">
      <c r="BW770" s="219"/>
      <c r="BX770" s="219"/>
      <c r="BY770" s="219"/>
      <c r="BZ770" s="219"/>
      <c r="CA770" s="219"/>
      <c r="CB770" s="219"/>
      <c r="CC770" s="219"/>
      <c r="CD770" s="219"/>
      <c r="CE770" s="219"/>
      <c r="CF770" s="219"/>
      <c r="CG770" s="219"/>
      <c r="CH770" s="219"/>
      <c r="CI770" s="219"/>
      <c r="CJ770" s="219"/>
      <c r="CK770" s="219"/>
      <c r="CL770" s="219"/>
      <c r="CM770" s="219"/>
      <c r="CN770" s="219"/>
      <c r="CO770" s="219"/>
      <c r="CP770" s="219"/>
      <c r="CQ770" s="219"/>
      <c r="CR770" s="219"/>
    </row>
    <row r="771" spans="75:96" x14ac:dyDescent="0.25">
      <c r="BW771" s="219"/>
      <c r="BX771" s="219"/>
      <c r="BY771" s="219"/>
      <c r="BZ771" s="219"/>
      <c r="CA771" s="219"/>
      <c r="CB771" s="219"/>
      <c r="CC771" s="219"/>
      <c r="CD771" s="219"/>
      <c r="CE771" s="219"/>
      <c r="CF771" s="219"/>
      <c r="CG771" s="219"/>
      <c r="CH771" s="219"/>
      <c r="CI771" s="219"/>
      <c r="CJ771" s="219"/>
      <c r="CK771" s="219"/>
      <c r="CL771" s="219"/>
      <c r="CM771" s="219"/>
      <c r="CN771" s="219"/>
      <c r="CO771" s="219"/>
      <c r="CP771" s="219"/>
      <c r="CQ771" s="219"/>
      <c r="CR771" s="219"/>
    </row>
    <row r="772" spans="75:96" x14ac:dyDescent="0.25">
      <c r="BW772" s="219"/>
      <c r="BX772" s="219"/>
      <c r="BY772" s="219"/>
      <c r="BZ772" s="219"/>
      <c r="CA772" s="219"/>
      <c r="CB772" s="219"/>
      <c r="CC772" s="219"/>
      <c r="CD772" s="219"/>
      <c r="CE772" s="219"/>
      <c r="CF772" s="219"/>
      <c r="CG772" s="219"/>
      <c r="CH772" s="219"/>
      <c r="CI772" s="219"/>
      <c r="CJ772" s="219"/>
      <c r="CK772" s="219"/>
      <c r="CL772" s="219"/>
      <c r="CM772" s="219"/>
      <c r="CN772" s="219"/>
      <c r="CO772" s="219"/>
      <c r="CP772" s="219"/>
      <c r="CQ772" s="219"/>
      <c r="CR772" s="219"/>
    </row>
    <row r="773" spans="75:96" x14ac:dyDescent="0.25">
      <c r="BW773" s="219"/>
      <c r="BX773" s="219"/>
      <c r="BY773" s="219"/>
      <c r="BZ773" s="219"/>
      <c r="CA773" s="219"/>
      <c r="CB773" s="219"/>
      <c r="CC773" s="219"/>
      <c r="CD773" s="219"/>
      <c r="CE773" s="219"/>
      <c r="CF773" s="219"/>
      <c r="CG773" s="219"/>
      <c r="CH773" s="219"/>
      <c r="CI773" s="219"/>
      <c r="CJ773" s="219"/>
      <c r="CK773" s="219"/>
      <c r="CL773" s="219"/>
      <c r="CM773" s="219"/>
      <c r="CN773" s="219"/>
      <c r="CO773" s="219"/>
      <c r="CP773" s="219"/>
      <c r="CQ773" s="219"/>
      <c r="CR773" s="219"/>
    </row>
    <row r="774" spans="75:96" x14ac:dyDescent="0.25">
      <c r="BW774" s="219"/>
      <c r="BX774" s="219"/>
      <c r="BY774" s="219"/>
      <c r="BZ774" s="219"/>
      <c r="CA774" s="219"/>
      <c r="CB774" s="219"/>
      <c r="CC774" s="219"/>
      <c r="CD774" s="219"/>
      <c r="CE774" s="219"/>
      <c r="CF774" s="219"/>
      <c r="CG774" s="219"/>
      <c r="CH774" s="219"/>
      <c r="CI774" s="219"/>
      <c r="CJ774" s="219"/>
      <c r="CK774" s="219"/>
      <c r="CL774" s="219"/>
      <c r="CM774" s="219"/>
      <c r="CN774" s="219"/>
      <c r="CO774" s="219"/>
      <c r="CP774" s="219"/>
      <c r="CQ774" s="219"/>
      <c r="CR774" s="219"/>
    </row>
    <row r="775" spans="75:96" x14ac:dyDescent="0.25">
      <c r="BW775" s="219"/>
      <c r="BX775" s="219"/>
      <c r="BY775" s="219"/>
      <c r="BZ775" s="219"/>
      <c r="CA775" s="219"/>
      <c r="CB775" s="219"/>
      <c r="CC775" s="219"/>
      <c r="CD775" s="219"/>
      <c r="CE775" s="219"/>
      <c r="CF775" s="219"/>
      <c r="CG775" s="219"/>
      <c r="CH775" s="219"/>
      <c r="CI775" s="219"/>
      <c r="CJ775" s="219"/>
      <c r="CK775" s="219"/>
      <c r="CL775" s="219"/>
      <c r="CM775" s="486" t="s">
        <v>52</v>
      </c>
      <c r="CN775" s="487"/>
      <c r="CO775" s="219"/>
      <c r="CP775" s="219"/>
      <c r="CQ775" s="219"/>
      <c r="CR775" s="219"/>
    </row>
    <row r="776" spans="75:96" x14ac:dyDescent="0.25">
      <c r="BW776" s="219"/>
      <c r="BX776" s="219"/>
      <c r="BY776" s="219"/>
      <c r="BZ776" s="219"/>
      <c r="CA776" s="219"/>
      <c r="CB776" s="219"/>
      <c r="CC776" s="219"/>
      <c r="CD776" s="219"/>
      <c r="CE776" s="219"/>
      <c r="CF776" s="219"/>
      <c r="CG776" s="219"/>
      <c r="CH776" s="219"/>
      <c r="CI776" s="219"/>
      <c r="CJ776" s="219"/>
      <c r="CK776" s="227" t="s">
        <v>34</v>
      </c>
      <c r="CL776" s="219"/>
      <c r="CM776" s="494" t="s">
        <v>248</v>
      </c>
      <c r="CN776" s="495"/>
      <c r="CO776" s="228" t="s">
        <v>249</v>
      </c>
      <c r="CP776" s="219"/>
      <c r="CQ776" s="219"/>
      <c r="CR776" s="219"/>
    </row>
    <row r="777" spans="75:96" x14ac:dyDescent="0.25">
      <c r="BW777" s="219"/>
      <c r="BX777" s="219"/>
      <c r="BY777" s="219"/>
      <c r="BZ777" s="219"/>
      <c r="CA777" s="219"/>
      <c r="CB777" s="219"/>
      <c r="CC777" s="219"/>
      <c r="CD777" s="219"/>
      <c r="CE777" s="219"/>
      <c r="CF777" s="219"/>
      <c r="CG777" s="219"/>
      <c r="CH777" s="219"/>
      <c r="CI777" s="219"/>
      <c r="CJ777" s="219"/>
      <c r="CK777" s="29" t="s">
        <v>256</v>
      </c>
      <c r="CL777" s="219"/>
      <c r="CM777" s="229">
        <v>169</v>
      </c>
      <c r="CN777" s="230" t="s">
        <v>27</v>
      </c>
      <c r="CO777" s="219"/>
      <c r="CP777" s="219"/>
      <c r="CQ777" s="219"/>
      <c r="CR777" s="219"/>
    </row>
    <row r="778" spans="75:96" x14ac:dyDescent="0.25">
      <c r="BW778" s="219"/>
      <c r="BX778" s="219"/>
      <c r="BY778" s="219"/>
      <c r="BZ778" s="219"/>
      <c r="CA778" s="219"/>
      <c r="CB778" s="219"/>
      <c r="CC778" s="219"/>
      <c r="CD778" s="219"/>
      <c r="CE778" s="219"/>
      <c r="CF778" s="219"/>
      <c r="CG778" s="219"/>
      <c r="CH778" s="486" t="s">
        <v>257</v>
      </c>
      <c r="CI778" s="487"/>
      <c r="CJ778" s="219"/>
      <c r="CK778" s="220" t="s">
        <v>35</v>
      </c>
      <c r="CL778" s="219"/>
      <c r="CM778" s="230">
        <f>CM777*CJ803</f>
        <v>3293.3029999999999</v>
      </c>
      <c r="CN778" s="230" t="s">
        <v>28</v>
      </c>
      <c r="CO778" s="219"/>
      <c r="CP778" s="219"/>
      <c r="CQ778" s="219"/>
      <c r="CR778" s="219"/>
    </row>
    <row r="779" spans="75:96" x14ac:dyDescent="0.25">
      <c r="BW779" s="219"/>
      <c r="BX779" s="219"/>
      <c r="BY779" s="219"/>
      <c r="BZ779" s="219"/>
      <c r="CA779" s="219"/>
      <c r="CB779" s="219"/>
      <c r="CC779" s="219"/>
      <c r="CD779" s="231"/>
      <c r="CE779" s="219"/>
      <c r="CF779" s="219"/>
      <c r="CG779" s="219"/>
      <c r="CH779" s="100" t="str">
        <f>CF803</f>
        <v>m^2</v>
      </c>
      <c r="CI779" s="100" t="s">
        <v>1</v>
      </c>
      <c r="CJ779" s="219"/>
      <c r="CK779" s="219">
        <f>CM778</f>
        <v>3293.3029999999999</v>
      </c>
      <c r="CL779" s="219"/>
      <c r="CM779" s="219"/>
      <c r="CN779" s="219"/>
      <c r="CO779" s="219"/>
      <c r="CP779" s="219"/>
      <c r="CQ779" s="219"/>
      <c r="CR779" s="219"/>
    </row>
    <row r="780" spans="75:96" x14ac:dyDescent="0.25">
      <c r="BW780" s="219"/>
      <c r="BX780" s="219"/>
      <c r="BY780" s="219"/>
      <c r="BZ780" s="219"/>
      <c r="CA780" s="219"/>
      <c r="CB780" s="219"/>
      <c r="CC780" s="219"/>
      <c r="CD780" s="231" t="s">
        <v>36</v>
      </c>
      <c r="CE780" s="219"/>
      <c r="CF780" s="219"/>
      <c r="CG780" s="219"/>
      <c r="CH780" s="100">
        <f>CE803*CM777</f>
        <v>692.05500000000006</v>
      </c>
      <c r="CI780" s="230">
        <f>CI803*CM777</f>
        <v>240.0738795</v>
      </c>
      <c r="CJ780" s="219"/>
      <c r="CK780" s="232" t="s">
        <v>36</v>
      </c>
      <c r="CL780" s="219"/>
      <c r="CM780" s="219"/>
      <c r="CN780" s="219"/>
      <c r="CO780" s="219"/>
      <c r="CP780" s="219"/>
      <c r="CQ780" s="219"/>
      <c r="CR780" s="219"/>
    </row>
    <row r="781" spans="75:96" x14ac:dyDescent="0.25">
      <c r="BW781" s="219"/>
      <c r="BX781" s="219"/>
      <c r="BY781" s="219"/>
      <c r="BZ781" s="219"/>
      <c r="CA781" s="219"/>
      <c r="CB781" s="219"/>
      <c r="CC781" s="219"/>
      <c r="CD781" s="233">
        <v>1.0000000000000001E-5</v>
      </c>
      <c r="CE781" s="219"/>
      <c r="CF781" s="219"/>
      <c r="CG781" s="219"/>
      <c r="CH781" s="219"/>
      <c r="CI781" s="219"/>
      <c r="CJ781" s="219"/>
      <c r="CK781" s="231">
        <f>CK775-CK779</f>
        <v>-3293.3029999999999</v>
      </c>
      <c r="CL781" s="219"/>
      <c r="CM781" s="219"/>
      <c r="CN781" s="219"/>
      <c r="CO781" s="219"/>
      <c r="CP781" s="219"/>
      <c r="CQ781" s="219"/>
      <c r="CR781" s="219"/>
    </row>
    <row r="782" spans="75:96" x14ac:dyDescent="0.25">
      <c r="BW782" s="219"/>
      <c r="BX782" s="488" t="s">
        <v>51</v>
      </c>
      <c r="BY782" s="489"/>
      <c r="BZ782" s="234"/>
      <c r="CA782" s="219"/>
      <c r="CB782" s="219"/>
      <c r="CC782" s="219"/>
      <c r="CD782" s="231">
        <f>CD783-CD787</f>
        <v>0</v>
      </c>
      <c r="CE782" s="219"/>
      <c r="CF782" s="219"/>
      <c r="CG782" s="219"/>
      <c r="CH782" s="219"/>
      <c r="CI782" s="219"/>
      <c r="CJ782" s="219"/>
      <c r="CK782" s="235" t="s">
        <v>45</v>
      </c>
      <c r="CL782" s="219"/>
      <c r="CM782" s="219"/>
      <c r="CN782" s="219"/>
      <c r="CO782" s="219"/>
      <c r="CP782" s="219"/>
      <c r="CQ782" s="219"/>
      <c r="CR782" s="219"/>
    </row>
    <row r="783" spans="75:96" x14ac:dyDescent="0.25">
      <c r="BW783" s="219"/>
      <c r="BX783" s="236" t="str">
        <f>CA788</f>
        <v>rollo tela dacrón</v>
      </c>
      <c r="BY783" s="237"/>
      <c r="BZ783" s="238"/>
      <c r="CA783" s="219"/>
      <c r="CB783" s="219"/>
      <c r="CC783" s="219"/>
      <c r="CD783" s="231">
        <f>CI780</f>
        <v>240.0738795</v>
      </c>
      <c r="CE783" s="219"/>
      <c r="CF783" s="219"/>
      <c r="CG783" s="219"/>
      <c r="CH783" s="219"/>
      <c r="CI783" s="219"/>
      <c r="CJ783" s="219"/>
      <c r="CK783" s="219"/>
      <c r="CL783" s="219"/>
      <c r="CM783" s="219"/>
      <c r="CN783" s="219"/>
      <c r="CO783" s="219"/>
      <c r="CP783" s="219"/>
      <c r="CQ783" s="219"/>
      <c r="CR783" s="219"/>
    </row>
    <row r="784" spans="75:96" x14ac:dyDescent="0.25">
      <c r="BW784" s="219"/>
      <c r="BX784" s="114"/>
      <c r="BY784" s="239">
        <f>CB791</f>
        <v>240.0738795</v>
      </c>
      <c r="BZ784" s="230" t="s">
        <v>18</v>
      </c>
      <c r="CA784" s="219"/>
      <c r="CB784" s="219"/>
      <c r="CC784" s="219"/>
      <c r="CD784" s="227" t="s">
        <v>34</v>
      </c>
      <c r="CE784" s="219"/>
      <c r="CF784" s="219"/>
      <c r="CG784" s="219"/>
      <c r="CH784" s="219"/>
      <c r="CI784" s="219"/>
      <c r="CJ784" s="219"/>
      <c r="CK784" s="219"/>
      <c r="CL784" s="219"/>
      <c r="CM784" s="219"/>
      <c r="CN784" s="219"/>
      <c r="CO784" s="219"/>
      <c r="CP784" s="219"/>
      <c r="CQ784" s="219"/>
      <c r="CR784" s="219"/>
    </row>
    <row r="785" spans="75:96" x14ac:dyDescent="0.25">
      <c r="BW785" s="219"/>
      <c r="BX785" s="114"/>
      <c r="BY785" s="239">
        <f>CA791</f>
        <v>692.05500000000006</v>
      </c>
      <c r="BZ785" s="230" t="s">
        <v>17</v>
      </c>
      <c r="CA785" s="219"/>
      <c r="CB785" s="219"/>
      <c r="CC785" s="219"/>
      <c r="CD785" s="29" t="s">
        <v>142</v>
      </c>
      <c r="CE785" s="219"/>
      <c r="CF785" s="219"/>
      <c r="CG785" s="219"/>
      <c r="CH785" s="219"/>
      <c r="CI785" s="219"/>
      <c r="CJ785" s="219"/>
      <c r="CK785" s="219"/>
      <c r="CL785" s="219"/>
      <c r="CM785" s="219"/>
      <c r="CN785" s="219"/>
      <c r="CO785" s="219"/>
      <c r="CP785" s="219"/>
      <c r="CQ785" s="219"/>
      <c r="CR785" s="219"/>
    </row>
    <row r="786" spans="75:96" x14ac:dyDescent="0.25">
      <c r="BW786" s="219"/>
      <c r="BX786" s="219"/>
      <c r="BY786" s="219"/>
      <c r="BZ786" s="219"/>
      <c r="CA786" s="219"/>
      <c r="CB786" s="219"/>
      <c r="CC786" s="219"/>
      <c r="CD786" s="220" t="s">
        <v>35</v>
      </c>
      <c r="CE786" s="488" t="s">
        <v>51</v>
      </c>
      <c r="CF786" s="489"/>
      <c r="CG786" s="234"/>
      <c r="CH786" s="219"/>
      <c r="CI786" s="486" t="s">
        <v>137</v>
      </c>
      <c r="CJ786" s="487"/>
      <c r="CK786" s="219"/>
      <c r="CL786" s="219"/>
      <c r="CM786" s="219"/>
      <c r="CN786" s="219"/>
      <c r="CO786" s="219"/>
      <c r="CP786" s="219"/>
      <c r="CQ786" s="219"/>
      <c r="CR786" s="219"/>
    </row>
    <row r="787" spans="75:96" x14ac:dyDescent="0.25">
      <c r="BW787" s="219"/>
      <c r="BX787" s="219"/>
      <c r="BY787" s="219"/>
      <c r="BZ787" s="219"/>
      <c r="CA787" s="219"/>
      <c r="CB787" s="219"/>
      <c r="CC787" s="219"/>
      <c r="CD787" s="219">
        <f>CI780</f>
        <v>240.0738795</v>
      </c>
      <c r="CE787" s="236" t="str">
        <f>CI786</f>
        <v>Hilo</v>
      </c>
      <c r="CF787" s="237"/>
      <c r="CG787" s="238"/>
      <c r="CH787" s="219"/>
      <c r="CI787" s="100" t="s">
        <v>30</v>
      </c>
      <c r="CJ787" s="100" t="s">
        <v>1</v>
      </c>
      <c r="CK787" s="219"/>
      <c r="CL787" s="219"/>
      <c r="CM787" s="240"/>
      <c r="CN787" s="219" t="s">
        <v>91</v>
      </c>
      <c r="CO787" s="219"/>
      <c r="CP787" s="219"/>
      <c r="CQ787" s="219"/>
      <c r="CR787" s="219"/>
    </row>
    <row r="788" spans="75:96" x14ac:dyDescent="0.25">
      <c r="BW788" s="219"/>
      <c r="BX788" s="219"/>
      <c r="BY788" s="219"/>
      <c r="BZ788" s="219"/>
      <c r="CA788" s="470" t="s">
        <v>259</v>
      </c>
      <c r="CB788" s="460"/>
      <c r="CC788" s="219"/>
      <c r="CD788" s="232" t="s">
        <v>36</v>
      </c>
      <c r="CE788" s="114"/>
      <c r="CF788" s="239">
        <f>CJ788</f>
        <v>5.6792952000000001E-3</v>
      </c>
      <c r="CG788" s="230" t="s">
        <v>18</v>
      </c>
      <c r="CH788" s="219"/>
      <c r="CI788" s="100">
        <f>CE802</f>
        <v>73.2</v>
      </c>
      <c r="CJ788" s="230">
        <f>CI802</f>
        <v>5.6792952000000001E-3</v>
      </c>
      <c r="CK788" s="219"/>
      <c r="CL788" s="219"/>
      <c r="CM788" s="219"/>
      <c r="CN788" s="219"/>
      <c r="CO788" s="219"/>
      <c r="CP788" s="219"/>
      <c r="CQ788" s="219"/>
      <c r="CR788" s="219"/>
    </row>
    <row r="789" spans="75:96" x14ac:dyDescent="0.25">
      <c r="BW789" s="219"/>
      <c r="BX789" s="219"/>
      <c r="BY789" s="219"/>
      <c r="BZ789" s="219"/>
      <c r="CA789" s="471"/>
      <c r="CB789" s="462"/>
      <c r="CC789" s="219"/>
      <c r="CD789" s="235" t="s">
        <v>45</v>
      </c>
      <c r="CE789" s="114"/>
      <c r="CF789" s="239">
        <f>CI788</f>
        <v>73.2</v>
      </c>
      <c r="CG789" s="230" t="s">
        <v>16</v>
      </c>
      <c r="CH789" s="219"/>
      <c r="CI789" s="219"/>
      <c r="CJ789" s="219"/>
      <c r="CK789" s="219"/>
      <c r="CL789" s="219"/>
      <c r="CM789" s="219"/>
      <c r="CN789" s="219"/>
      <c r="CO789" s="219"/>
      <c r="CP789" s="219"/>
      <c r="CQ789" s="219"/>
      <c r="CR789" s="219"/>
    </row>
    <row r="790" spans="75:96" x14ac:dyDescent="0.25">
      <c r="BW790" s="219"/>
      <c r="BX790" s="219"/>
      <c r="BY790" s="219"/>
      <c r="BZ790" s="219"/>
      <c r="CA790" s="100" t="str">
        <f>CH779</f>
        <v>m^2</v>
      </c>
      <c r="CB790" s="100" t="s">
        <v>1</v>
      </c>
      <c r="CC790" s="100" t="s">
        <v>42</v>
      </c>
      <c r="CD790" s="235"/>
      <c r="CE790" s="219"/>
      <c r="CF790" s="219"/>
      <c r="CG790" s="219"/>
      <c r="CH790" s="219"/>
      <c r="CI790" s="486" t="s">
        <v>258</v>
      </c>
      <c r="CJ790" s="487"/>
      <c r="CK790" s="219"/>
      <c r="CL790" s="219"/>
      <c r="CM790" s="219"/>
      <c r="CN790" s="219"/>
      <c r="CO790" s="219"/>
      <c r="CP790" s="219"/>
      <c r="CQ790" s="219"/>
      <c r="CR790" s="219"/>
    </row>
    <row r="791" spans="75:96" x14ac:dyDescent="0.25">
      <c r="BW791" s="219"/>
      <c r="BX791" s="219"/>
      <c r="BY791" s="219"/>
      <c r="BZ791" s="219"/>
      <c r="CA791" s="100">
        <f>CH780</f>
        <v>692.05500000000006</v>
      </c>
      <c r="CB791" s="230">
        <f>CD783</f>
        <v>240.0738795</v>
      </c>
      <c r="CC791" s="100"/>
      <c r="CD791" s="241"/>
      <c r="CE791" s="488" t="s">
        <v>51</v>
      </c>
      <c r="CF791" s="489"/>
      <c r="CG791" s="234"/>
      <c r="CH791" s="219"/>
      <c r="CI791" s="100"/>
      <c r="CJ791" s="100" t="s">
        <v>1</v>
      </c>
      <c r="CK791" s="219"/>
      <c r="CL791" s="219"/>
      <c r="CM791" s="219"/>
      <c r="CN791" s="219"/>
      <c r="CO791" s="219"/>
      <c r="CP791" s="219"/>
      <c r="CQ791" s="219"/>
      <c r="CR791" s="219"/>
    </row>
    <row r="792" spans="75:96" x14ac:dyDescent="0.25">
      <c r="BW792" s="219"/>
      <c r="BX792" s="219"/>
      <c r="BY792" s="219"/>
      <c r="BZ792" s="220"/>
      <c r="CA792" s="220"/>
      <c r="CB792" s="220"/>
      <c r="CC792" s="219"/>
      <c r="CD792" s="219"/>
      <c r="CE792" s="236" t="str">
        <f>CI790</f>
        <v>Algodón industrial</v>
      </c>
      <c r="CF792" s="237"/>
      <c r="CG792" s="238"/>
      <c r="CH792" s="219"/>
      <c r="CI792" s="100"/>
      <c r="CJ792" s="230">
        <f>CI801</f>
        <v>18.060765204799999</v>
      </c>
      <c r="CK792" s="219"/>
      <c r="CL792" s="219"/>
      <c r="CM792" s="219"/>
      <c r="CN792" s="219"/>
      <c r="CO792" s="219"/>
      <c r="CP792" s="219"/>
      <c r="CQ792" s="219"/>
      <c r="CR792" s="219"/>
    </row>
    <row r="793" spans="75:96" x14ac:dyDescent="0.25">
      <c r="BW793" s="219"/>
      <c r="BX793" s="219"/>
      <c r="BY793" s="219"/>
      <c r="BZ793" s="219"/>
      <c r="CA793" s="219"/>
      <c r="CB793" s="219"/>
      <c r="CC793" s="219"/>
      <c r="CD793" s="242">
        <f>CB791-CI780</f>
        <v>0</v>
      </c>
      <c r="CE793" s="114"/>
      <c r="CF793" s="239">
        <f>CJ792</f>
        <v>18.060765204799999</v>
      </c>
      <c r="CG793" s="230" t="s">
        <v>18</v>
      </c>
      <c r="CH793" s="219"/>
      <c r="CI793" s="219"/>
      <c r="CJ793" s="219"/>
      <c r="CK793" s="219"/>
      <c r="CL793" s="219"/>
      <c r="CM793" s="219"/>
      <c r="CN793" s="219"/>
      <c r="CO793" s="219"/>
      <c r="CP793" s="219"/>
      <c r="CQ793" s="219"/>
      <c r="CR793" s="219"/>
    </row>
    <row r="794" spans="75:96" x14ac:dyDescent="0.25">
      <c r="BW794" s="219"/>
      <c r="BX794" s="219"/>
      <c r="BY794" s="219"/>
      <c r="BZ794" s="219"/>
      <c r="CA794" s="219"/>
      <c r="CB794" s="219"/>
      <c r="CC794" s="219"/>
      <c r="CD794" s="219"/>
      <c r="CE794" s="114"/>
      <c r="CF794" s="239">
        <f>CF793</f>
        <v>18.060765204799999</v>
      </c>
      <c r="CG794" s="230" t="s">
        <v>18</v>
      </c>
      <c r="CH794" s="219"/>
      <c r="CI794" s="219"/>
      <c r="CJ794" s="219"/>
      <c r="CK794" s="219"/>
      <c r="CL794" s="219"/>
      <c r="CM794" s="219"/>
      <c r="CN794" s="219"/>
      <c r="CO794" s="219"/>
      <c r="CP794" s="219"/>
      <c r="CQ794" s="219"/>
      <c r="CR794" s="219"/>
    </row>
    <row r="795" spans="75:96" x14ac:dyDescent="0.25">
      <c r="BW795" s="219"/>
      <c r="BX795" s="219"/>
      <c r="BY795" s="219"/>
      <c r="BZ795" s="219"/>
      <c r="CA795" s="219"/>
      <c r="CB795" s="490" t="str">
        <f>CM776</f>
        <v>C. Cassata 100 x190</v>
      </c>
      <c r="CC795" s="491"/>
      <c r="CD795" s="230" t="s">
        <v>19</v>
      </c>
      <c r="CE795" s="100" t="s">
        <v>20</v>
      </c>
      <c r="CF795" s="100" t="s">
        <v>2</v>
      </c>
      <c r="CG795" s="100" t="s">
        <v>21</v>
      </c>
      <c r="CH795" s="100" t="s">
        <v>2</v>
      </c>
      <c r="CI795" s="100" t="s">
        <v>24</v>
      </c>
      <c r="CJ795" s="219"/>
      <c r="CK795" s="219"/>
      <c r="CL795" s="219"/>
      <c r="CM795" s="219"/>
      <c r="CN795" s="219"/>
      <c r="CO795" s="219"/>
      <c r="CP795" s="219"/>
      <c r="CQ795" s="219"/>
      <c r="CR795" s="219"/>
    </row>
    <row r="796" spans="75:96" x14ac:dyDescent="0.25">
      <c r="BW796" s="219"/>
      <c r="BX796" s="219"/>
      <c r="BY796" s="219"/>
      <c r="BZ796" s="219"/>
      <c r="CA796" s="100"/>
      <c r="CB796" s="243"/>
      <c r="CC796" s="243"/>
      <c r="CD796" s="244"/>
      <c r="CE796" s="244"/>
      <c r="CF796" s="244"/>
      <c r="CG796" s="244"/>
      <c r="CH796" s="244"/>
      <c r="CI796" s="245"/>
      <c r="CJ796" s="219"/>
      <c r="CK796" s="219"/>
      <c r="CL796" s="219"/>
      <c r="CM796" s="219"/>
      <c r="CN796" s="219"/>
      <c r="CO796" s="219"/>
      <c r="CP796" s="219"/>
      <c r="CQ796" s="219"/>
      <c r="CR796" s="219"/>
    </row>
    <row r="797" spans="75:96" x14ac:dyDescent="0.25">
      <c r="BW797" s="219"/>
      <c r="BX797" s="219"/>
      <c r="BY797" s="219"/>
      <c r="BZ797" s="219"/>
      <c r="CA797" s="246"/>
      <c r="CB797" s="243"/>
      <c r="CC797" s="243"/>
      <c r="CD797" s="244"/>
      <c r="CE797" s="244"/>
      <c r="CF797" s="244"/>
      <c r="CG797" s="244"/>
      <c r="CH797" s="244"/>
      <c r="CI797" s="244"/>
      <c r="CJ797" s="219"/>
      <c r="CK797" s="219"/>
      <c r="CL797" s="219"/>
      <c r="CM797" s="219"/>
      <c r="CN797" s="219"/>
      <c r="CO797" s="219"/>
      <c r="CP797" s="219"/>
      <c r="CQ797" s="219"/>
      <c r="CR797" s="219"/>
    </row>
    <row r="798" spans="75:96" x14ac:dyDescent="0.25">
      <c r="BW798" s="219"/>
      <c r="BX798" s="219"/>
      <c r="BY798" s="219"/>
      <c r="BZ798" s="219"/>
      <c r="CA798" s="246"/>
      <c r="CB798" s="243"/>
      <c r="CC798" s="243"/>
      <c r="CD798" s="244"/>
      <c r="CE798" s="244"/>
      <c r="CF798" s="244"/>
      <c r="CG798" s="244"/>
      <c r="CH798" s="244"/>
      <c r="CI798" s="244"/>
      <c r="CJ798" s="219"/>
      <c r="CK798" s="219"/>
      <c r="CL798" s="219"/>
      <c r="CM798" s="219"/>
      <c r="CN798" s="219"/>
      <c r="CO798" s="219"/>
      <c r="CP798" s="219"/>
      <c r="CQ798" s="219"/>
      <c r="CR798" s="219"/>
    </row>
    <row r="799" spans="75:96" x14ac:dyDescent="0.25">
      <c r="BW799" s="219"/>
      <c r="BX799" s="219"/>
      <c r="BY799" s="219"/>
      <c r="BZ799" s="219"/>
      <c r="CA799" s="246"/>
      <c r="CB799" s="243"/>
      <c r="CC799" s="243"/>
      <c r="CD799" s="244"/>
      <c r="CE799" s="244"/>
      <c r="CF799" s="244"/>
      <c r="CG799" s="244"/>
      <c r="CH799" s="244"/>
      <c r="CI799" s="244"/>
      <c r="CJ799" s="219"/>
      <c r="CK799" s="219"/>
      <c r="CL799" s="219"/>
      <c r="CM799" s="219"/>
      <c r="CN799" s="219"/>
      <c r="CO799" s="219"/>
      <c r="CP799" s="219"/>
      <c r="CQ799" s="219"/>
      <c r="CR799" s="219"/>
    </row>
    <row r="800" spans="75:96" x14ac:dyDescent="0.25">
      <c r="BW800" s="219"/>
      <c r="BX800" s="219"/>
      <c r="BY800" s="219"/>
      <c r="BZ800" s="219"/>
      <c r="CA800" s="246"/>
      <c r="CB800" s="243"/>
      <c r="CC800" s="243"/>
      <c r="CD800" s="244"/>
      <c r="CE800" s="244"/>
      <c r="CF800" s="244"/>
      <c r="CG800" s="244"/>
      <c r="CH800" s="244"/>
      <c r="CI800" s="244"/>
      <c r="CJ800" s="219"/>
      <c r="CK800" s="219"/>
      <c r="CL800" s="219"/>
      <c r="CM800" s="219"/>
      <c r="CN800" s="219"/>
      <c r="CO800" s="219"/>
      <c r="CP800" s="219"/>
      <c r="CQ800" s="219"/>
      <c r="CR800" s="219"/>
    </row>
    <row r="801" spans="75:96" x14ac:dyDescent="0.25">
      <c r="BW801" s="219"/>
      <c r="BX801" s="219"/>
      <c r="BY801" s="219"/>
      <c r="BZ801" s="219"/>
      <c r="CA801" s="246" t="s">
        <v>255</v>
      </c>
      <c r="CB801" s="243"/>
      <c r="CC801" s="243"/>
      <c r="CD801" s="244"/>
      <c r="CE801" s="244"/>
      <c r="CF801" s="244"/>
      <c r="CG801" s="244"/>
      <c r="CH801" s="244"/>
      <c r="CI801" s="244">
        <f>19.487-(CI802+CI803)</f>
        <v>18.060765204799999</v>
      </c>
      <c r="CJ801" s="219"/>
      <c r="CK801" s="219"/>
      <c r="CL801" s="219"/>
      <c r="CM801" s="219"/>
      <c r="CN801" s="219"/>
      <c r="CO801" s="219"/>
      <c r="CP801" s="219"/>
      <c r="CQ801" s="219"/>
      <c r="CR801" s="219"/>
    </row>
    <row r="802" spans="75:96" x14ac:dyDescent="0.25">
      <c r="BW802" s="219"/>
      <c r="BX802" s="219"/>
      <c r="BY802" s="219"/>
      <c r="BZ802" s="219"/>
      <c r="CA802" s="246" t="s">
        <v>130</v>
      </c>
      <c r="CB802" s="243">
        <f>7320</f>
        <v>7320</v>
      </c>
      <c r="CC802" s="243" t="s">
        <v>10</v>
      </c>
      <c r="CD802" s="244">
        <f>1/100</f>
        <v>0.01</v>
      </c>
      <c r="CE802" s="244">
        <f t="shared" ref="CE802:CE803" si="31">CB802*CD802</f>
        <v>73.2</v>
      </c>
      <c r="CF802" s="244" t="s">
        <v>16</v>
      </c>
      <c r="CG802" s="244">
        <v>7.7585999999999999E-5</v>
      </c>
      <c r="CH802" s="244" t="s">
        <v>22</v>
      </c>
      <c r="CI802" s="244">
        <f>CE802*CG802</f>
        <v>5.6792952000000001E-3</v>
      </c>
      <c r="CJ802" s="492" t="s">
        <v>250</v>
      </c>
      <c r="CK802" s="493"/>
      <c r="CL802" s="219"/>
      <c r="CM802" s="219"/>
      <c r="CN802" s="219"/>
      <c r="CO802" s="219"/>
      <c r="CP802" s="219"/>
      <c r="CQ802" s="219"/>
      <c r="CR802" s="219"/>
    </row>
    <row r="803" spans="75:96" x14ac:dyDescent="0.25">
      <c r="BW803" s="219"/>
      <c r="BX803" s="219"/>
      <c r="BY803" s="219"/>
      <c r="BZ803" s="219"/>
      <c r="CA803" s="246" t="s">
        <v>257</v>
      </c>
      <c r="CB803" s="247">
        <f>105*195*2</f>
        <v>40950</v>
      </c>
      <c r="CC803" s="247" t="s">
        <v>9</v>
      </c>
      <c r="CD803" s="245">
        <f>0.0001</f>
        <v>1E-4</v>
      </c>
      <c r="CE803" s="245">
        <f t="shared" si="31"/>
        <v>4.0950000000000006</v>
      </c>
      <c r="CF803" s="245" t="s">
        <v>17</v>
      </c>
      <c r="CG803" s="245">
        <v>0.34689999999999999</v>
      </c>
      <c r="CH803" s="245" t="s">
        <v>23</v>
      </c>
      <c r="CI803" s="245">
        <f>CE803*CG803</f>
        <v>1.4205555000000001</v>
      </c>
      <c r="CJ803" s="230">
        <f>CI797+CI798+CI799+CI800+CI801+CI802+CI803+CI804+CI805+CI806+CI807</f>
        <v>19.486999999999998</v>
      </c>
      <c r="CK803" s="230" t="s">
        <v>18</v>
      </c>
      <c r="CL803" s="219"/>
      <c r="CM803" s="219"/>
      <c r="CN803" s="219"/>
      <c r="CO803" s="219"/>
      <c r="CP803" s="219"/>
      <c r="CQ803" s="219"/>
      <c r="CR803" s="219"/>
    </row>
    <row r="804" spans="75:96" x14ac:dyDescent="0.25">
      <c r="BW804" s="219"/>
      <c r="BX804" s="219"/>
      <c r="BY804" s="219"/>
      <c r="BZ804" s="219"/>
      <c r="CA804" s="248"/>
      <c r="CB804" s="249"/>
      <c r="CC804" s="228"/>
      <c r="CD804" s="249"/>
      <c r="CE804" s="249"/>
      <c r="CF804" s="249"/>
      <c r="CG804" s="249"/>
      <c r="CH804" s="249"/>
      <c r="CI804" s="249"/>
      <c r="CJ804" s="219"/>
      <c r="CK804" s="219"/>
      <c r="CL804" s="219"/>
      <c r="CM804" s="219"/>
      <c r="CN804" s="219"/>
      <c r="CO804" s="219"/>
      <c r="CP804" s="219"/>
      <c r="CQ804" s="219"/>
      <c r="CR804" s="219"/>
    </row>
    <row r="805" spans="75:96" x14ac:dyDescent="0.25">
      <c r="BW805" s="219"/>
      <c r="BX805" s="219"/>
      <c r="BY805" s="219"/>
      <c r="BZ805" s="219"/>
      <c r="CA805" s="250"/>
      <c r="CB805" s="251"/>
      <c r="CC805" s="251"/>
      <c r="CD805" s="251"/>
      <c r="CE805" s="252"/>
      <c r="CF805" s="252"/>
      <c r="CG805" s="252"/>
      <c r="CH805" s="252"/>
      <c r="CI805" s="252"/>
      <c r="CJ805" s="219"/>
      <c r="CK805" s="219"/>
      <c r="CL805" s="219"/>
      <c r="CM805" s="219"/>
      <c r="CN805" s="219"/>
      <c r="CO805" s="219"/>
      <c r="CP805" s="219"/>
      <c r="CQ805" s="219"/>
      <c r="CR805" s="219"/>
    </row>
    <row r="806" spans="75:96" x14ac:dyDescent="0.25">
      <c r="BW806" s="219"/>
      <c r="BX806" s="219"/>
      <c r="BY806" s="219"/>
      <c r="BZ806" s="219"/>
      <c r="CA806" s="253"/>
      <c r="CB806" s="220"/>
      <c r="CC806" s="243"/>
      <c r="CD806" s="244"/>
      <c r="CE806" s="244"/>
      <c r="CF806" s="244"/>
      <c r="CG806" s="244"/>
      <c r="CH806" s="254"/>
      <c r="CI806" s="254"/>
      <c r="CJ806" s="219"/>
      <c r="CK806" s="219"/>
      <c r="CL806" s="219">
        <v>4</v>
      </c>
      <c r="CM806" s="219"/>
      <c r="CN806" s="219"/>
      <c r="CO806" s="219"/>
      <c r="CP806" s="219"/>
      <c r="CQ806" s="219"/>
      <c r="CR806" s="219"/>
    </row>
    <row r="807" spans="75:96" x14ac:dyDescent="0.25">
      <c r="BW807" s="219"/>
      <c r="BX807" s="219"/>
      <c r="BY807" s="219"/>
      <c r="BZ807" s="219"/>
      <c r="CA807" s="253"/>
      <c r="CB807" s="249"/>
      <c r="CC807" s="228"/>
      <c r="CD807" s="249"/>
      <c r="CE807" s="249"/>
      <c r="CF807" s="249"/>
      <c r="CG807" s="249"/>
      <c r="CH807" s="249"/>
      <c r="CI807" s="249"/>
      <c r="CJ807" s="219"/>
      <c r="CK807" s="219"/>
      <c r="CL807" s="219"/>
      <c r="CM807" s="219"/>
      <c r="CN807" s="219"/>
      <c r="CO807" s="219"/>
      <c r="CP807" s="219"/>
      <c r="CQ807" s="219"/>
      <c r="CR807" s="219"/>
    </row>
    <row r="808" spans="75:96" x14ac:dyDescent="0.25">
      <c r="BW808" s="219"/>
      <c r="BX808" s="219"/>
      <c r="BY808" s="219"/>
      <c r="BZ808" s="219"/>
      <c r="CA808" s="219"/>
      <c r="CB808" s="219"/>
      <c r="CC808" s="219"/>
      <c r="CD808" s="219"/>
      <c r="CE808" s="219"/>
      <c r="CF808" s="219"/>
      <c r="CG808" s="219"/>
      <c r="CH808" s="219"/>
      <c r="CI808" s="219"/>
      <c r="CJ808" s="219"/>
      <c r="CK808" s="219"/>
      <c r="CL808" s="219"/>
      <c r="CM808" s="219"/>
      <c r="CN808" s="219"/>
      <c r="CO808" s="219"/>
      <c r="CP808" s="219"/>
      <c r="CQ808" s="219"/>
      <c r="CR808" s="219"/>
    </row>
    <row r="809" spans="75:96" x14ac:dyDescent="0.25">
      <c r="BW809" s="219"/>
      <c r="BX809" s="219"/>
      <c r="BY809" s="219"/>
      <c r="BZ809" s="219"/>
      <c r="CA809" s="219"/>
      <c r="CB809" s="219"/>
      <c r="CC809" s="219"/>
      <c r="CD809" s="219"/>
      <c r="CE809" s="219"/>
      <c r="CF809" s="219"/>
      <c r="CG809" s="219"/>
      <c r="CH809" s="219"/>
      <c r="CI809" s="219"/>
      <c r="CJ809" s="219"/>
      <c r="CK809" s="219"/>
      <c r="CL809" s="219"/>
      <c r="CM809" s="219"/>
      <c r="CN809" s="219"/>
      <c r="CO809" s="219"/>
      <c r="CP809" s="219"/>
      <c r="CQ809" s="219"/>
      <c r="CR809" s="219"/>
    </row>
  </sheetData>
  <mergeCells count="149">
    <mergeCell ref="BW9:BX14"/>
    <mergeCell ref="CB16:CC21"/>
    <mergeCell ref="BW20:BX20"/>
    <mergeCell ref="BW21:BX21"/>
    <mergeCell ref="CB27:CC27"/>
    <mergeCell ref="CB28:CC28"/>
    <mergeCell ref="CG49:CH50"/>
    <mergeCell ref="BF50:BG51"/>
    <mergeCell ref="BW50:BX50"/>
    <mergeCell ref="BN51:BO52"/>
    <mergeCell ref="BW51:BX51"/>
    <mergeCell ref="CL53:CM53"/>
    <mergeCell ref="BT34:BU35"/>
    <mergeCell ref="BZ35:CA36"/>
    <mergeCell ref="BT38:BT39"/>
    <mergeCell ref="BW45:BX45"/>
    <mergeCell ref="BZ45:CA46"/>
    <mergeCell ref="BW46:BX46"/>
    <mergeCell ref="BU66:BV67"/>
    <mergeCell ref="BZ66:CA67"/>
    <mergeCell ref="CA73:CB73"/>
    <mergeCell ref="BW78:BX78"/>
    <mergeCell ref="BW79:BX79"/>
    <mergeCell ref="CI80:CJ80"/>
    <mergeCell ref="BF54:BF55"/>
    <mergeCell ref="CL54:CM54"/>
    <mergeCell ref="BU56:BV57"/>
    <mergeCell ref="BZ56:CA57"/>
    <mergeCell ref="CG56:CH56"/>
    <mergeCell ref="BN61:BO62"/>
    <mergeCell ref="CL175:CM175"/>
    <mergeCell ref="CL176:CM176"/>
    <mergeCell ref="BN123:BO123"/>
    <mergeCell ref="BM124:BM131"/>
    <mergeCell ref="BU127:BV128"/>
    <mergeCell ref="BZ127:CA128"/>
    <mergeCell ref="CA134:CB134"/>
    <mergeCell ref="CI141:CJ141"/>
    <mergeCell ref="CL114:CM114"/>
    <mergeCell ref="CL115:CM115"/>
    <mergeCell ref="BZ116:CA121"/>
    <mergeCell ref="CG117:CH117"/>
    <mergeCell ref="CL232:CM232"/>
    <mergeCell ref="CG234:CH234"/>
    <mergeCell ref="BW238:BX238"/>
    <mergeCell ref="BW239:BX239"/>
    <mergeCell ref="CI202:CJ202"/>
    <mergeCell ref="CL231:CM231"/>
    <mergeCell ref="CG178:CH178"/>
    <mergeCell ref="BW182:BX182"/>
    <mergeCell ref="BW183:BX183"/>
    <mergeCell ref="BZ188:CA189"/>
    <mergeCell ref="CA195:CB195"/>
    <mergeCell ref="BI351:BJ356"/>
    <mergeCell ref="CN351:CO351"/>
    <mergeCell ref="BX352:BY352"/>
    <mergeCell ref="BX353:BY353"/>
    <mergeCell ref="CI353:CJ353"/>
    <mergeCell ref="CN350:CO350"/>
    <mergeCell ref="BZ244:CA245"/>
    <mergeCell ref="CA251:CB251"/>
    <mergeCell ref="CI258:CJ258"/>
    <mergeCell ref="CC370:CD370"/>
    <mergeCell ref="CK377:CL377"/>
    <mergeCell ref="BR391:BS391"/>
    <mergeCell ref="BR392:BS392"/>
    <mergeCell ref="BV405:BW406"/>
    <mergeCell ref="AW358:AX358"/>
    <mergeCell ref="CA358:CB359"/>
    <mergeCell ref="AV359:AV366"/>
    <mergeCell ref="BD362:BE363"/>
    <mergeCell ref="BI362:BJ363"/>
    <mergeCell ref="CI427:CJ427"/>
    <mergeCell ref="CA430:CB430"/>
    <mergeCell ref="CI431:CJ431"/>
    <mergeCell ref="CF435:CG435"/>
    <mergeCell ref="CJ435:CK435"/>
    <mergeCell ref="CJ439:CK439"/>
    <mergeCell ref="BV409:BV410"/>
    <mergeCell ref="CN424:CO424"/>
    <mergeCell ref="CN425:CO425"/>
    <mergeCell ref="CN500:CO500"/>
    <mergeCell ref="CN501:CO501"/>
    <mergeCell ref="CC444:CD444"/>
    <mergeCell ref="CK451:CL451"/>
    <mergeCell ref="BR467:BS467"/>
    <mergeCell ref="BR468:BS468"/>
    <mergeCell ref="BV481:BW482"/>
    <mergeCell ref="CH482:CI482"/>
    <mergeCell ref="CK482:CL482"/>
    <mergeCell ref="CI503:CJ503"/>
    <mergeCell ref="CA506:CB506"/>
    <mergeCell ref="CI507:CJ507"/>
    <mergeCell ref="CF511:CG511"/>
    <mergeCell ref="CJ511:CK511"/>
    <mergeCell ref="CJ515:CK515"/>
    <mergeCell ref="BV485:BV486"/>
    <mergeCell ref="CI490:CJ491"/>
    <mergeCell ref="CL490:CM491"/>
    <mergeCell ref="CI496:CJ497"/>
    <mergeCell ref="CN578:CO578"/>
    <mergeCell ref="CN579:CO579"/>
    <mergeCell ref="CC581:CD581"/>
    <mergeCell ref="CI581:CJ581"/>
    <mergeCell ref="CC520:CD520"/>
    <mergeCell ref="CK527:CL527"/>
    <mergeCell ref="BR545:BS545"/>
    <mergeCell ref="BR546:BS546"/>
    <mergeCell ref="BV559:BW560"/>
    <mergeCell ref="CH560:CI560"/>
    <mergeCell ref="CI585:CJ585"/>
    <mergeCell ref="CF589:CG589"/>
    <mergeCell ref="CJ589:CK589"/>
    <mergeCell ref="CJ593:CK593"/>
    <mergeCell ref="CC598:CD598"/>
    <mergeCell ref="CK605:CL605"/>
    <mergeCell ref="BV563:BV564"/>
    <mergeCell ref="CI568:CJ569"/>
    <mergeCell ref="CI574:CJ575"/>
    <mergeCell ref="CH696:CI697"/>
    <mergeCell ref="CM700:CN700"/>
    <mergeCell ref="CM701:CN701"/>
    <mergeCell ref="CH703:CI703"/>
    <mergeCell ref="BX707:BY707"/>
    <mergeCell ref="CH707:CI707"/>
    <mergeCell ref="BQ667:BR667"/>
    <mergeCell ref="BQ668:BR668"/>
    <mergeCell ref="BU681:BV682"/>
    <mergeCell ref="CJ681:CK681"/>
    <mergeCell ref="BU685:BU686"/>
    <mergeCell ref="CK689:CL690"/>
    <mergeCell ref="BX782:BY782"/>
    <mergeCell ref="CE786:CF786"/>
    <mergeCell ref="CI786:CJ786"/>
    <mergeCell ref="BX708:BY708"/>
    <mergeCell ref="CE711:CF711"/>
    <mergeCell ref="CI711:CJ711"/>
    <mergeCell ref="CA713:CB714"/>
    <mergeCell ref="CI715:CJ715"/>
    <mergeCell ref="CB720:CC720"/>
    <mergeCell ref="CA788:CB789"/>
    <mergeCell ref="CI790:CJ790"/>
    <mergeCell ref="CE791:CF791"/>
    <mergeCell ref="CB795:CC795"/>
    <mergeCell ref="CJ802:CK802"/>
    <mergeCell ref="CJ727:CK727"/>
    <mergeCell ref="CM775:CN775"/>
    <mergeCell ref="CM776:CN776"/>
    <mergeCell ref="CH778:CI778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Q18:CS502"/>
  <sheetViews>
    <sheetView zoomScale="10" zoomScaleNormal="10" workbookViewId="0">
      <selection activeCell="CQ289" sqref="CQ289"/>
    </sheetView>
  </sheetViews>
  <sheetFormatPr baseColWidth="10" defaultRowHeight="15" x14ac:dyDescent="0.25"/>
  <cols>
    <col min="47" max="47" width="18.140625" customWidth="1"/>
    <col min="54" max="54" width="20.28515625" customWidth="1"/>
    <col min="58" max="58" width="15.42578125" customWidth="1"/>
    <col min="59" max="59" width="18.7109375" customWidth="1"/>
    <col min="60" max="60" width="22.140625" customWidth="1"/>
    <col min="63" max="63" width="23.140625" customWidth="1"/>
    <col min="65" max="65" width="9.7109375" customWidth="1"/>
    <col min="67" max="67" width="12.85546875" customWidth="1"/>
    <col min="69" max="69" width="18.7109375" customWidth="1"/>
    <col min="72" max="72" width="18.7109375" customWidth="1"/>
    <col min="74" max="74" width="27" customWidth="1"/>
    <col min="75" max="75" width="20" customWidth="1"/>
    <col min="76" max="76" width="32.85546875" customWidth="1"/>
    <col min="77" max="77" width="20.5703125" customWidth="1"/>
    <col min="78" max="78" width="26" customWidth="1"/>
    <col min="79" max="79" width="15" customWidth="1"/>
    <col min="80" max="80" width="24.42578125" customWidth="1"/>
    <col min="81" max="81" width="30.5703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5.140625" customWidth="1"/>
    <col min="88" max="88" width="19.42578125" customWidth="1"/>
    <col min="92" max="92" width="16.42578125" customWidth="1"/>
  </cols>
  <sheetData>
    <row r="18" spans="57:91" x14ac:dyDescent="0.25">
      <c r="BE18" s="56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8"/>
    </row>
    <row r="19" spans="57:91" x14ac:dyDescent="0.25">
      <c r="BE19" s="59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60"/>
    </row>
    <row r="20" spans="57:91" x14ac:dyDescent="0.25">
      <c r="BE20" s="59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60"/>
    </row>
    <row r="21" spans="57:91" x14ac:dyDescent="0.25">
      <c r="BE21" s="59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60"/>
    </row>
    <row r="22" spans="57:91" x14ac:dyDescent="0.25">
      <c r="BE22" s="59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60"/>
    </row>
    <row r="23" spans="57:91" x14ac:dyDescent="0.25">
      <c r="BE23" s="59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60"/>
    </row>
    <row r="24" spans="57:91" x14ac:dyDescent="0.25">
      <c r="BE24" s="59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49" t="s">
        <v>36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60"/>
    </row>
    <row r="25" spans="57:91" x14ac:dyDescent="0.25">
      <c r="BE25" s="59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45" t="s">
        <v>54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60"/>
    </row>
    <row r="26" spans="57:91" x14ac:dyDescent="0.25">
      <c r="BE26" s="59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46">
        <f>(48*60)*CC71*CF71*CG46</f>
        <v>12.470400000000003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60"/>
    </row>
    <row r="27" spans="57:91" x14ac:dyDescent="0.25">
      <c r="BE27" s="59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9">
        <f>BU33</f>
        <v>43.6464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60"/>
    </row>
    <row r="28" spans="57:91" x14ac:dyDescent="0.25">
      <c r="BE28" s="59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30" t="s">
        <v>51</v>
      </c>
      <c r="BR28" s="31"/>
      <c r="BS28" s="10"/>
      <c r="BT28" s="470" t="s">
        <v>66</v>
      </c>
      <c r="BU28" s="460"/>
      <c r="BV28" s="10"/>
      <c r="BW28" s="10"/>
      <c r="BX28" s="47" t="s">
        <v>34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60"/>
    </row>
    <row r="29" spans="57:91" x14ac:dyDescent="0.25">
      <c r="BE29" s="59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32" t="str">
        <f>BT28</f>
        <v>Rollo de tela</v>
      </c>
      <c r="BR29" s="33"/>
      <c r="BS29" s="10"/>
      <c r="BT29" s="471"/>
      <c r="BU29" s="462"/>
      <c r="BV29" s="10"/>
      <c r="BW29" s="10"/>
      <c r="BX29" s="2" t="s">
        <v>65</v>
      </c>
      <c r="BY29" s="10"/>
      <c r="BZ29" s="424" t="s">
        <v>64</v>
      </c>
      <c r="CA29" s="425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60"/>
    </row>
    <row r="30" spans="57:91" x14ac:dyDescent="0.25">
      <c r="BE30" s="59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2" t="e">
        <f>BU31</f>
        <v>#VALUE!</v>
      </c>
      <c r="BR30" s="4" t="s">
        <v>18</v>
      </c>
      <c r="BS30" s="10"/>
      <c r="BT30" s="5" t="s">
        <v>30</v>
      </c>
      <c r="BU30" s="5" t="s">
        <v>1</v>
      </c>
      <c r="BV30" s="5" t="s">
        <v>42</v>
      </c>
      <c r="BW30" s="10"/>
      <c r="BX30" s="48" t="s">
        <v>35</v>
      </c>
      <c r="BY30" s="10"/>
      <c r="BZ30" s="426"/>
      <c r="CA30" s="427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60"/>
    </row>
    <row r="31" spans="57:91" x14ac:dyDescent="0.25">
      <c r="BE31" s="59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2">
        <f>BT31</f>
        <v>0</v>
      </c>
      <c r="BR31" s="4" t="s">
        <v>16</v>
      </c>
      <c r="BS31" s="10"/>
      <c r="BT31" s="5">
        <f>CA45*BU70*BW70</f>
        <v>0</v>
      </c>
      <c r="BU31" s="4" t="e">
        <f>CA45*BU70*BW70*BZ70</f>
        <v>#VALUE!</v>
      </c>
      <c r="BV31" s="36"/>
      <c r="BW31" s="10"/>
      <c r="BX31" s="10">
        <f>CA32</f>
        <v>31.176000000000002</v>
      </c>
      <c r="BY31" s="10"/>
      <c r="BZ31" s="5" t="s">
        <v>30</v>
      </c>
      <c r="CA31" s="5" t="s">
        <v>1</v>
      </c>
      <c r="CB31" s="5" t="s">
        <v>42</v>
      </c>
      <c r="CC31" s="49" t="s">
        <v>36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60"/>
    </row>
    <row r="32" spans="57:91" x14ac:dyDescent="0.25">
      <c r="BE32" s="59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465" t="s">
        <v>67</v>
      </c>
      <c r="BU32" s="48">
        <f>(48*210)*CC71*CG46</f>
        <v>436.464</v>
      </c>
      <c r="BV32" s="10" t="s">
        <v>69</v>
      </c>
      <c r="BW32" s="10"/>
      <c r="BX32" s="50" t="s">
        <v>36</v>
      </c>
      <c r="BY32" s="10"/>
      <c r="BZ32" s="5">
        <f>CG46*CA71*CC71</f>
        <v>311.76</v>
      </c>
      <c r="CA32" s="4">
        <f>CG46*CA71*CC71*CF71</f>
        <v>31.176000000000002</v>
      </c>
      <c r="CB32" s="36"/>
      <c r="CC32" s="45" t="s">
        <v>54</v>
      </c>
      <c r="CD32" s="10"/>
      <c r="CE32" s="10"/>
      <c r="CF32" s="10"/>
      <c r="CG32" s="10"/>
      <c r="CH32" s="10"/>
      <c r="CI32" s="10"/>
      <c r="CJ32" s="10"/>
      <c r="CK32" s="10"/>
      <c r="CL32" s="10"/>
      <c r="CM32" s="60"/>
    </row>
    <row r="33" spans="57:92" x14ac:dyDescent="0.25">
      <c r="BE33" s="59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518"/>
      <c r="BU33" s="48">
        <f>(48*210)*CC71*CF71*CG46</f>
        <v>43.6464</v>
      </c>
      <c r="BV33" s="10" t="s">
        <v>68</v>
      </c>
      <c r="BW33" s="10"/>
      <c r="BX33" s="51" t="s">
        <v>63</v>
      </c>
      <c r="BY33" s="10"/>
      <c r="BZ33" s="10"/>
      <c r="CA33" s="10"/>
      <c r="CB33" s="10"/>
      <c r="CC33" s="49">
        <f>(BZ43-CA72)*CC72*CF72*CG46</f>
        <v>2.9509617859200012E-2</v>
      </c>
      <c r="CD33" s="10"/>
      <c r="CE33" s="10"/>
      <c r="CF33" s="10"/>
      <c r="CG33" s="10"/>
      <c r="CH33" s="10"/>
      <c r="CI33" s="10"/>
      <c r="CJ33" s="10"/>
      <c r="CK33" s="10"/>
      <c r="CL33" s="10"/>
      <c r="CM33" s="60"/>
    </row>
    <row r="34" spans="57:92" x14ac:dyDescent="0.25">
      <c r="BE34" s="59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48"/>
      <c r="BV34" s="10"/>
      <c r="BW34" s="10"/>
      <c r="BX34" s="28"/>
      <c r="BY34" s="10"/>
      <c r="BZ34" s="10"/>
      <c r="CA34" s="10"/>
      <c r="CB34" s="10"/>
      <c r="CC34" s="9">
        <f>CA32+CA42</f>
        <v>31.402240403587204</v>
      </c>
      <c r="CD34" s="10"/>
      <c r="CE34" s="10"/>
      <c r="CF34" s="10"/>
      <c r="CG34" s="10"/>
      <c r="CH34" s="10"/>
      <c r="CI34" s="10"/>
      <c r="CJ34" s="10"/>
      <c r="CK34" s="10"/>
      <c r="CL34" s="10"/>
      <c r="CM34" s="60"/>
    </row>
    <row r="35" spans="57:92" x14ac:dyDescent="0.25">
      <c r="BE35" s="59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6"/>
      <c r="BY35" s="10"/>
      <c r="BZ35" s="10"/>
      <c r="CA35" s="10"/>
      <c r="CB35" s="10"/>
      <c r="CC35" s="47" t="s">
        <v>34</v>
      </c>
      <c r="CD35" s="10"/>
      <c r="CE35" s="10"/>
      <c r="CF35" s="10"/>
      <c r="CG35" s="10"/>
      <c r="CH35" s="10"/>
      <c r="CI35" s="10"/>
      <c r="CJ35" s="10"/>
      <c r="CK35" s="10"/>
      <c r="CL35" s="10"/>
      <c r="CM35" s="60"/>
    </row>
    <row r="36" spans="57:92" x14ac:dyDescent="0.25">
      <c r="BE36" s="59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2" t="s">
        <v>60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60"/>
    </row>
    <row r="37" spans="57:92" x14ac:dyDescent="0.25">
      <c r="BE37" s="59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52">
        <f>BU33-BX26-CA32</f>
        <v>0</v>
      </c>
      <c r="BY37" s="10"/>
      <c r="BZ37" s="10"/>
      <c r="CA37" s="10"/>
      <c r="CB37" s="10"/>
      <c r="CC37" s="48" t="s">
        <v>35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60"/>
    </row>
    <row r="38" spans="57:92" x14ac:dyDescent="0.25">
      <c r="BE38" s="59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>
        <f>CH46</f>
        <v>31.372730785728002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60"/>
    </row>
    <row r="39" spans="57:92" x14ac:dyDescent="0.25">
      <c r="BE39" s="59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404" t="s">
        <v>51</v>
      </c>
      <c r="BX39" s="405"/>
      <c r="BY39" s="10"/>
      <c r="BZ39" s="424" t="s">
        <v>73</v>
      </c>
      <c r="CA39" s="425"/>
      <c r="CB39" s="10"/>
      <c r="CC39" s="50" t="s">
        <v>36</v>
      </c>
      <c r="CD39" s="10"/>
      <c r="CE39" s="10"/>
      <c r="CF39" s="10"/>
      <c r="CG39" s="10"/>
      <c r="CH39" s="10"/>
      <c r="CI39" s="10"/>
      <c r="CJ39" s="10"/>
      <c r="CK39" s="10"/>
      <c r="CL39" s="10"/>
      <c r="CM39" s="60"/>
    </row>
    <row r="40" spans="57:92" x14ac:dyDescent="0.25">
      <c r="BE40" s="59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406" t="str">
        <f>BZ39</f>
        <v>Hilo funda de tela sin cremallera</v>
      </c>
      <c r="BX40" s="407"/>
      <c r="BY40" s="10"/>
      <c r="BZ40" s="426"/>
      <c r="CA40" s="427"/>
      <c r="CB40" s="10"/>
      <c r="CC40" s="51" t="s">
        <v>63</v>
      </c>
      <c r="CD40" s="10"/>
      <c r="CE40" s="10"/>
      <c r="CF40" s="10"/>
      <c r="CG40" s="10"/>
      <c r="CH40" s="10"/>
      <c r="CI40" s="10"/>
      <c r="CJ40" s="10"/>
      <c r="CK40" s="10"/>
      <c r="CL40" s="10"/>
      <c r="CM40" s="60"/>
    </row>
    <row r="41" spans="57:92" x14ac:dyDescent="0.25">
      <c r="BE41" s="59"/>
      <c r="BF41" s="10"/>
      <c r="BG41" s="10"/>
      <c r="BH41" s="10"/>
      <c r="BI41" s="10"/>
      <c r="BJ41" s="10"/>
      <c r="BK41" s="49" t="s">
        <v>36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2">
        <f>CA42</f>
        <v>0.22624040358720002</v>
      </c>
      <c r="BX41" s="4" t="s">
        <v>18</v>
      </c>
      <c r="BY41" s="10"/>
      <c r="BZ41" s="5" t="s">
        <v>30</v>
      </c>
      <c r="CA41" s="5" t="s">
        <v>1</v>
      </c>
      <c r="CB41" s="5" t="s">
        <v>42</v>
      </c>
      <c r="CC41" s="28"/>
      <c r="CD41" s="10"/>
      <c r="CE41" s="10"/>
      <c r="CF41" s="10"/>
      <c r="CG41" s="10"/>
      <c r="CH41" s="10"/>
      <c r="CI41" s="10"/>
      <c r="CJ41" s="10"/>
      <c r="CK41" s="10"/>
      <c r="CL41" s="10"/>
      <c r="CM41" s="60"/>
    </row>
    <row r="42" spans="57:92" x14ac:dyDescent="0.25">
      <c r="BE42" s="59"/>
      <c r="BF42" s="10"/>
      <c r="BG42" s="10"/>
      <c r="BH42" s="10"/>
      <c r="BI42" s="10"/>
      <c r="BJ42" s="10"/>
      <c r="BK42" s="45" t="s">
        <v>54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2">
        <f>BZ42</f>
        <v>2915.9952000000003</v>
      </c>
      <c r="BX42" s="4" t="s">
        <v>16</v>
      </c>
      <c r="BY42" s="10"/>
      <c r="BZ42" s="5">
        <f>CG46*BZ43*CC70</f>
        <v>2915.9952000000003</v>
      </c>
      <c r="CA42" s="4">
        <f>CG46*BZ43*CC70*CF70</f>
        <v>0.22624040358720002</v>
      </c>
      <c r="CB42" s="37"/>
      <c r="CC42" s="16"/>
      <c r="CD42" s="10"/>
      <c r="CE42" s="10"/>
      <c r="CF42" s="10"/>
      <c r="CG42" s="10"/>
      <c r="CH42" s="10"/>
      <c r="CI42" s="10"/>
      <c r="CJ42" s="10"/>
      <c r="CK42" s="10"/>
      <c r="CL42" s="10"/>
      <c r="CM42" s="60"/>
    </row>
    <row r="43" spans="57:92" x14ac:dyDescent="0.25">
      <c r="BE43" s="59"/>
      <c r="BF43" s="10"/>
      <c r="BG43" s="10"/>
      <c r="BH43" s="10"/>
      <c r="BI43" s="10"/>
      <c r="BJ43" s="10"/>
      <c r="BK43" s="46">
        <f>(47.5*85*0.3)*CC69*CF69*(BU53*2/2)</f>
        <v>6.2936549999999993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53">
        <v>673.44</v>
      </c>
      <c r="CA43" s="10"/>
      <c r="CB43" s="10"/>
      <c r="CC43" s="10"/>
      <c r="CD43" s="10"/>
      <c r="CE43" s="10"/>
      <c r="CF43" s="10"/>
      <c r="CG43" s="410" t="s">
        <v>61</v>
      </c>
      <c r="CH43" s="410"/>
      <c r="CI43" s="10"/>
      <c r="CJ43" s="10"/>
      <c r="CK43" s="10"/>
      <c r="CL43" s="10"/>
      <c r="CM43" s="60"/>
    </row>
    <row r="44" spans="57:92" x14ac:dyDescent="0.25">
      <c r="BE44" s="59"/>
      <c r="BF44" s="472" t="s">
        <v>53</v>
      </c>
      <c r="BG44" s="472"/>
      <c r="BH44" s="10"/>
      <c r="BI44" s="10"/>
      <c r="BJ44" s="10"/>
      <c r="BK44" s="9">
        <f>BI42+BI52</f>
        <v>0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404" t="s">
        <v>51</v>
      </c>
      <c r="BX44" s="405"/>
      <c r="BY44" s="10"/>
      <c r="BZ44" s="48" t="s">
        <v>62</v>
      </c>
      <c r="CA44" s="10"/>
      <c r="CB44" s="10"/>
      <c r="CC44" s="52">
        <f>CA42+CA32-CH46</f>
        <v>2.9509617859201143E-2</v>
      </c>
      <c r="CD44" s="10"/>
      <c r="CE44" s="10"/>
      <c r="CF44" s="10"/>
      <c r="CG44" s="410"/>
      <c r="CH44" s="410"/>
      <c r="CI44" s="10"/>
      <c r="CJ44" s="10"/>
      <c r="CK44" s="10"/>
      <c r="CL44" s="10"/>
      <c r="CM44" s="60"/>
    </row>
    <row r="45" spans="57:92" x14ac:dyDescent="0.25">
      <c r="BE45" s="59"/>
      <c r="BF45" s="472"/>
      <c r="BG45" s="472"/>
      <c r="BH45" s="10"/>
      <c r="BI45" s="10"/>
      <c r="BJ45" s="10"/>
      <c r="BK45" s="47" t="s">
        <v>34</v>
      </c>
      <c r="BL45" s="10"/>
      <c r="BM45" s="10"/>
      <c r="BN45" s="410" t="s">
        <v>48</v>
      </c>
      <c r="BO45" s="410"/>
      <c r="BP45" s="10"/>
      <c r="BQ45" s="10"/>
      <c r="BR45" s="10"/>
      <c r="BS45" s="10"/>
      <c r="BT45" s="10"/>
      <c r="BU45" s="10"/>
      <c r="BV45" s="10"/>
      <c r="BW45" s="406" t="str">
        <f>BZ50</f>
        <v>Hilo bolsa espuma</v>
      </c>
      <c r="BX45" s="407"/>
      <c r="BY45" s="10"/>
      <c r="BZ45" s="10"/>
      <c r="CA45" s="10"/>
      <c r="CB45" s="10"/>
      <c r="CC45" s="10"/>
      <c r="CD45" s="10"/>
      <c r="CE45" s="10"/>
      <c r="CF45" s="10"/>
      <c r="CG45" s="5" t="s">
        <v>4</v>
      </c>
      <c r="CH45" s="5" t="s">
        <v>1</v>
      </c>
      <c r="CI45" s="10"/>
      <c r="CJ45" s="10"/>
      <c r="CK45" s="10"/>
      <c r="CL45" s="10"/>
      <c r="CM45" s="60"/>
    </row>
    <row r="46" spans="57:92" x14ac:dyDescent="0.25">
      <c r="BE46" s="59"/>
      <c r="BF46" s="5" t="s">
        <v>50</v>
      </c>
      <c r="BG46" s="5" t="s">
        <v>1</v>
      </c>
      <c r="BH46" s="5" t="s">
        <v>42</v>
      </c>
      <c r="BI46" s="10"/>
      <c r="BJ46" s="10"/>
      <c r="BK46" s="2" t="s">
        <v>71</v>
      </c>
      <c r="BL46" s="10"/>
      <c r="BM46" s="10"/>
      <c r="BN46" s="410"/>
      <c r="BO46" s="410"/>
      <c r="BP46" s="10"/>
      <c r="BQ46" s="10"/>
      <c r="BR46" s="10"/>
      <c r="BS46" s="10"/>
      <c r="BT46" s="10"/>
      <c r="BU46" s="10"/>
      <c r="BV46" s="10"/>
      <c r="BW46" s="12">
        <f>CA53</f>
        <v>7.3774044648000012E-2</v>
      </c>
      <c r="BX46" s="4" t="s">
        <v>18</v>
      </c>
      <c r="BY46" s="10"/>
      <c r="BZ46" s="10"/>
      <c r="CA46" s="10"/>
      <c r="CB46" s="10"/>
      <c r="CC46" s="10"/>
      <c r="CD46" s="10"/>
      <c r="CE46" s="10"/>
      <c r="CF46" s="10"/>
      <c r="CG46" s="5">
        <f>CL49</f>
        <v>433</v>
      </c>
      <c r="CH46" s="4">
        <f>CG46*(CH72+CH71)</f>
        <v>31.372730785728002</v>
      </c>
      <c r="CI46" s="10"/>
      <c r="CJ46" s="10"/>
      <c r="CK46" s="10"/>
      <c r="CL46" s="10"/>
      <c r="CM46" s="60"/>
    </row>
    <row r="47" spans="57:92" x14ac:dyDescent="0.25">
      <c r="BE47" s="59"/>
      <c r="BF47" s="5">
        <f>BV68*2*BM52</f>
        <v>0</v>
      </c>
      <c r="BG47" s="4">
        <f>CA68*BM52</f>
        <v>0</v>
      </c>
      <c r="BH47" s="5"/>
      <c r="BI47" s="10"/>
      <c r="BJ47" s="10"/>
      <c r="BK47" s="48" t="s">
        <v>35</v>
      </c>
      <c r="BL47" s="10"/>
      <c r="BM47" s="10"/>
      <c r="BN47" s="5" t="s">
        <v>50</v>
      </c>
      <c r="BO47" s="5" t="s">
        <v>1</v>
      </c>
      <c r="BP47" s="5" t="s">
        <v>42</v>
      </c>
      <c r="BQ47" s="49" t="s">
        <v>36</v>
      </c>
      <c r="BR47" s="10"/>
      <c r="BS47" s="10"/>
      <c r="BT47" s="10"/>
      <c r="BU47" s="10"/>
      <c r="BV47" s="10"/>
      <c r="BW47" s="12">
        <f>BZ53</f>
        <v>950.86800000000005</v>
      </c>
      <c r="BX47" s="4" t="s">
        <v>16</v>
      </c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>
        <f>CH46+CH52</f>
        <v>130.68641567037602</v>
      </c>
      <c r="CK47" s="10"/>
      <c r="CL47" s="416" t="s">
        <v>52</v>
      </c>
      <c r="CM47" s="520"/>
    </row>
    <row r="48" spans="57:92" ht="18.75" customHeight="1" x14ac:dyDescent="0.25">
      <c r="BE48" s="59"/>
      <c r="BF48" s="465" t="s">
        <v>55</v>
      </c>
      <c r="BG48" s="48">
        <f>(47.5*210*0.3)*CC69*(BU53*2/2)</f>
        <v>1.2957524999999999</v>
      </c>
      <c r="BH48" s="10" t="s">
        <v>70</v>
      </c>
      <c r="BI48" s="10"/>
      <c r="BJ48" s="10"/>
      <c r="BK48" s="9">
        <f>BO48</f>
        <v>9.255374999999999</v>
      </c>
      <c r="BL48" s="10"/>
      <c r="BM48" s="10"/>
      <c r="BN48" s="5">
        <f>CD69*2*BU53</f>
        <v>0.77128124999999992</v>
      </c>
      <c r="BO48" s="4">
        <f>CI69*BU53</f>
        <v>9.255374999999999</v>
      </c>
      <c r="BP48" s="5"/>
      <c r="BQ48" s="45">
        <v>1E-4</v>
      </c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47" t="s">
        <v>34</v>
      </c>
      <c r="CK48" s="10"/>
      <c r="CL48" s="436" t="s">
        <v>6</v>
      </c>
      <c r="CM48" s="519"/>
      <c r="CN48" s="65" t="s">
        <v>88</v>
      </c>
    </row>
    <row r="49" spans="57:91" ht="22.5" customHeight="1" x14ac:dyDescent="0.25">
      <c r="BE49" s="59"/>
      <c r="BF49" s="518"/>
      <c r="BG49" s="48">
        <f>(47.5*210*0.3)*CC69*CF69*(BU53*2/2)</f>
        <v>15.549029999999998</v>
      </c>
      <c r="BH49" s="10" t="s">
        <v>68</v>
      </c>
      <c r="BI49" s="10"/>
      <c r="BJ49" s="10"/>
      <c r="BK49" s="50" t="s">
        <v>36</v>
      </c>
      <c r="BL49" s="10"/>
      <c r="BM49" s="10"/>
      <c r="BN49" s="10"/>
      <c r="BO49" s="10"/>
      <c r="BP49" s="10"/>
      <c r="BQ49" s="49">
        <f>BQ50+BQ50*BQ48</f>
        <v>12.641174831083999</v>
      </c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2" t="s">
        <v>3</v>
      </c>
      <c r="CK49" s="10"/>
      <c r="CL49" s="23">
        <f>'Flujos Planta Final'!CL55</f>
        <v>433</v>
      </c>
      <c r="CM49" s="61" t="s">
        <v>27</v>
      </c>
    </row>
    <row r="50" spans="57:91" x14ac:dyDescent="0.25">
      <c r="BE50" s="59"/>
      <c r="BF50" s="10"/>
      <c r="BG50" s="10"/>
      <c r="BH50" s="10"/>
      <c r="BI50" s="10"/>
      <c r="BJ50" s="10"/>
      <c r="BK50" s="20" t="s">
        <v>57</v>
      </c>
      <c r="BL50" s="10"/>
      <c r="BM50" s="10"/>
      <c r="BN50" s="10"/>
      <c r="BO50" s="10"/>
      <c r="BP50" s="10"/>
      <c r="BQ50" s="9">
        <f>BO48+BO58</f>
        <v>12.639910839999999</v>
      </c>
      <c r="BR50" s="10"/>
      <c r="BS50" s="10"/>
      <c r="BT50" s="10"/>
      <c r="BU50" s="410" t="s">
        <v>46</v>
      </c>
      <c r="BV50" s="410"/>
      <c r="BW50" s="10"/>
      <c r="BX50" s="10"/>
      <c r="BY50" s="10"/>
      <c r="BZ50" s="424" t="s">
        <v>31</v>
      </c>
      <c r="CA50" s="425"/>
      <c r="CB50" s="10"/>
      <c r="CC50" s="10"/>
      <c r="CD50" s="10"/>
      <c r="CE50" s="10"/>
      <c r="CF50" s="10"/>
      <c r="CG50" s="410" t="s">
        <v>0</v>
      </c>
      <c r="CH50" s="410"/>
      <c r="CI50" s="10"/>
      <c r="CJ50" s="48" t="s">
        <v>35</v>
      </c>
      <c r="CK50" s="10"/>
      <c r="CL50" s="4">
        <f>CL49*$CI$75</f>
        <v>130.68641567037602</v>
      </c>
      <c r="CM50" s="61" t="s">
        <v>28</v>
      </c>
    </row>
    <row r="51" spans="57:91" x14ac:dyDescent="0.25">
      <c r="BE51" s="59"/>
      <c r="BF51" s="10"/>
      <c r="BG51" s="10"/>
      <c r="BH51" s="10"/>
      <c r="BI51" s="10"/>
      <c r="BJ51" s="10"/>
      <c r="BK51" s="20"/>
      <c r="BL51" s="10"/>
      <c r="BM51" s="10"/>
      <c r="BN51" s="10"/>
      <c r="BO51" s="10"/>
      <c r="BP51" s="10"/>
      <c r="BQ51" s="47" t="s">
        <v>34</v>
      </c>
      <c r="BR51" s="10"/>
      <c r="BS51" s="10"/>
      <c r="BT51" s="10"/>
      <c r="BU51" s="410"/>
      <c r="BV51" s="410"/>
      <c r="BW51" s="10"/>
      <c r="BX51" s="10"/>
      <c r="BY51" s="10"/>
      <c r="BZ51" s="426"/>
      <c r="CA51" s="427"/>
      <c r="CB51" s="10"/>
      <c r="CC51" s="10"/>
      <c r="CD51" s="10"/>
      <c r="CE51" s="10"/>
      <c r="CF51" s="10"/>
      <c r="CG51" s="5" t="s">
        <v>4</v>
      </c>
      <c r="CH51" s="5" t="s">
        <v>1</v>
      </c>
      <c r="CI51" s="10"/>
      <c r="CJ51" s="10">
        <f>CL50</f>
        <v>130.68641567037602</v>
      </c>
      <c r="CK51" s="10"/>
      <c r="CL51" s="10"/>
      <c r="CM51" s="60"/>
    </row>
    <row r="52" spans="57:91" x14ac:dyDescent="0.25">
      <c r="BE52" s="59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2" t="s">
        <v>72</v>
      </c>
      <c r="BR52" s="10"/>
      <c r="BS52" s="10"/>
      <c r="BT52" s="10"/>
      <c r="BU52" s="5" t="s">
        <v>41</v>
      </c>
      <c r="BV52" s="5" t="s">
        <v>1</v>
      </c>
      <c r="BW52" s="5" t="s">
        <v>42</v>
      </c>
      <c r="BX52" s="49" t="s">
        <v>36</v>
      </c>
      <c r="BY52" s="10"/>
      <c r="BZ52" s="5" t="s">
        <v>30</v>
      </c>
      <c r="CA52" s="5" t="s">
        <v>1</v>
      </c>
      <c r="CB52" s="5" t="s">
        <v>42</v>
      </c>
      <c r="CC52" s="49" t="s">
        <v>36</v>
      </c>
      <c r="CD52" s="10"/>
      <c r="CE52" s="10"/>
      <c r="CF52" s="10"/>
      <c r="CG52" s="5">
        <f>CL49</f>
        <v>433</v>
      </c>
      <c r="CH52" s="4">
        <f>CG52*(CI69+CH73+CH70+CH68)</f>
        <v>99.313684884648012</v>
      </c>
      <c r="CI52" s="10"/>
      <c r="CJ52" s="50" t="s">
        <v>36</v>
      </c>
      <c r="CK52" s="10"/>
      <c r="CL52" s="10"/>
      <c r="CM52" s="60"/>
    </row>
    <row r="53" spans="57:91" x14ac:dyDescent="0.25">
      <c r="BE53" s="59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48" t="s">
        <v>35</v>
      </c>
      <c r="BR53" s="10"/>
      <c r="BS53" s="10"/>
      <c r="BT53" s="10"/>
      <c r="BU53" s="5">
        <f>BZ63</f>
        <v>433</v>
      </c>
      <c r="BV53" s="4">
        <f>(CI69+CH73)*BU53</f>
        <v>12.639910839999999</v>
      </c>
      <c r="BW53" s="5"/>
      <c r="BX53" s="45">
        <v>1E-4</v>
      </c>
      <c r="BY53" s="10"/>
      <c r="BZ53" s="5">
        <f>CD70*CG52</f>
        <v>950.86800000000005</v>
      </c>
      <c r="CA53" s="4">
        <f>CH70*CG52</f>
        <v>7.3774044648000012E-2</v>
      </c>
      <c r="CB53" s="5">
        <f>IF(CC61&gt;0,CA53+CC61/2,CA53)</f>
        <v>7.8739728892233171E-2</v>
      </c>
      <c r="CC53" s="45">
        <v>1E-4</v>
      </c>
      <c r="CD53" s="10"/>
      <c r="CE53" s="10"/>
      <c r="CF53" s="10"/>
      <c r="CG53" s="10"/>
      <c r="CH53" s="10"/>
      <c r="CI53" s="10"/>
      <c r="CJ53" s="9">
        <f>CJ47-CJ51</f>
        <v>0</v>
      </c>
      <c r="CK53" s="10"/>
      <c r="CL53" s="10"/>
      <c r="CM53" s="60"/>
    </row>
    <row r="54" spans="57:91" x14ac:dyDescent="0.25">
      <c r="BE54" s="59"/>
      <c r="BF54" s="10"/>
      <c r="BG54" s="41" t="s">
        <v>58</v>
      </c>
      <c r="BH54" s="41"/>
      <c r="BI54" s="10"/>
      <c r="BJ54" s="10"/>
      <c r="BK54" s="54">
        <f>BG49-BO48</f>
        <v>6.2936549999999993</v>
      </c>
      <c r="BL54" s="10"/>
      <c r="BM54" s="10"/>
      <c r="BN54" s="10"/>
      <c r="BO54" s="10"/>
      <c r="BP54" s="10"/>
      <c r="BQ54" s="9">
        <f>BV53</f>
        <v>12.639910839999999</v>
      </c>
      <c r="BR54" s="10"/>
      <c r="BS54" s="10"/>
      <c r="BT54" s="10"/>
      <c r="BU54" s="10"/>
      <c r="BV54" s="10"/>
      <c r="BW54" s="10"/>
      <c r="BX54" s="49">
        <f>BX55+BX55*BX53</f>
        <v>99.249834831084002</v>
      </c>
      <c r="BY54" s="10"/>
      <c r="BZ54" s="10"/>
      <c r="CA54" s="10"/>
      <c r="CB54" s="10"/>
      <c r="CC54" s="49">
        <f>CC55+CC55*CC53</f>
        <v>99.323616253136478</v>
      </c>
      <c r="CD54" s="10"/>
      <c r="CE54" s="10"/>
      <c r="CF54" s="10"/>
      <c r="CG54" s="10"/>
      <c r="CH54" s="10"/>
      <c r="CI54" s="10"/>
      <c r="CJ54" s="28" t="s">
        <v>45</v>
      </c>
      <c r="CK54" s="10"/>
      <c r="CL54" s="10"/>
      <c r="CM54" s="60"/>
    </row>
    <row r="55" spans="57:91" x14ac:dyDescent="0.25">
      <c r="BE55" s="59"/>
      <c r="BF55" s="10"/>
      <c r="BG55" s="25" t="s">
        <v>59</v>
      </c>
      <c r="BH55" s="4"/>
      <c r="BI55" s="10"/>
      <c r="BJ55" s="10"/>
      <c r="BK55" s="10"/>
      <c r="BL55" s="10"/>
      <c r="BM55" s="10"/>
      <c r="BN55" s="410" t="s">
        <v>49</v>
      </c>
      <c r="BO55" s="410"/>
      <c r="BP55" s="10"/>
      <c r="BQ55" s="50" t="s">
        <v>36</v>
      </c>
      <c r="BR55" s="10"/>
      <c r="BS55" s="10"/>
      <c r="BT55" s="10"/>
      <c r="BU55" s="10"/>
      <c r="BV55" s="10"/>
      <c r="BW55" s="10"/>
      <c r="BX55" s="9">
        <f>BV53+BV63</f>
        <v>99.239910840000007</v>
      </c>
      <c r="BY55" s="10"/>
      <c r="BZ55" s="10"/>
      <c r="CA55" s="10"/>
      <c r="CB55" s="10"/>
      <c r="CC55" s="9">
        <f>CA53+CA63</f>
        <v>99.313684884648012</v>
      </c>
      <c r="CD55" s="10"/>
      <c r="CE55" s="10"/>
      <c r="CF55" s="10"/>
      <c r="CG55" s="10"/>
      <c r="CH55" s="10"/>
      <c r="CI55" s="10"/>
      <c r="CJ55" s="10"/>
      <c r="CK55" s="10"/>
      <c r="CL55" s="10"/>
      <c r="CM55" s="60"/>
    </row>
    <row r="56" spans="57:91" x14ac:dyDescent="0.25">
      <c r="BE56" s="59"/>
      <c r="BF56" s="10"/>
      <c r="BG56" s="12">
        <f>BK43</f>
        <v>6.2936549999999993</v>
      </c>
      <c r="BH56" s="4" t="s">
        <v>18</v>
      </c>
      <c r="BI56" s="10"/>
      <c r="BJ56" s="10"/>
      <c r="BK56" s="10"/>
      <c r="BL56" s="10"/>
      <c r="BM56" s="10"/>
      <c r="BN56" s="410"/>
      <c r="BO56" s="410"/>
      <c r="BP56" s="10"/>
      <c r="BQ56" s="55">
        <f>IF(BQ49=BQ50,BQ50-BQ54,BQ49-BQ54)</f>
        <v>1.2639910840004376E-3</v>
      </c>
      <c r="BR56" s="10"/>
      <c r="BS56" s="10"/>
      <c r="BT56" s="10"/>
      <c r="BU56" s="10"/>
      <c r="BV56" s="10"/>
      <c r="BW56" s="10"/>
      <c r="BX56" s="47" t="s">
        <v>34</v>
      </c>
      <c r="BY56" s="10"/>
      <c r="BZ56" s="10"/>
      <c r="CA56" s="10"/>
      <c r="CB56" s="10"/>
      <c r="CC56" s="47" t="s">
        <v>34</v>
      </c>
      <c r="CD56" s="10"/>
      <c r="CE56" s="10"/>
      <c r="CF56" s="10"/>
      <c r="CG56" s="10"/>
      <c r="CH56" s="10"/>
      <c r="CI56" s="10"/>
      <c r="CJ56" s="10"/>
      <c r="CK56" s="10"/>
      <c r="CL56" s="10"/>
      <c r="CM56" s="60"/>
    </row>
    <row r="57" spans="57:91" x14ac:dyDescent="0.25">
      <c r="BE57" s="59"/>
      <c r="BF57" s="10"/>
      <c r="BG57" s="12">
        <f>BK43</f>
        <v>6.2936549999999993</v>
      </c>
      <c r="BH57" s="4" t="s">
        <v>18</v>
      </c>
      <c r="BI57" s="10"/>
      <c r="BJ57" s="10"/>
      <c r="BK57" s="10"/>
      <c r="BL57" s="10"/>
      <c r="BM57" s="10"/>
      <c r="BN57" s="5" t="s">
        <v>50</v>
      </c>
      <c r="BO57" s="5" t="s">
        <v>1</v>
      </c>
      <c r="BP57" s="5" t="s">
        <v>42</v>
      </c>
      <c r="BQ57" s="28" t="s">
        <v>45</v>
      </c>
      <c r="BR57" s="10"/>
      <c r="BS57" s="10"/>
      <c r="BT57" s="10"/>
      <c r="BU57" s="10"/>
      <c r="BV57" s="10"/>
      <c r="BW57" s="10"/>
      <c r="BX57" s="2" t="s">
        <v>44</v>
      </c>
      <c r="BY57" s="10"/>
      <c r="BZ57" s="10"/>
      <c r="CA57" s="10"/>
      <c r="CB57" s="10"/>
      <c r="CC57" s="2" t="s">
        <v>29</v>
      </c>
      <c r="CD57" s="10"/>
      <c r="CE57" s="10"/>
      <c r="CF57" s="10"/>
      <c r="CG57" s="10"/>
      <c r="CH57" s="10"/>
      <c r="CI57" s="10"/>
      <c r="CJ57" s="10"/>
      <c r="CK57" s="10"/>
      <c r="CL57" s="10"/>
      <c r="CM57" s="60"/>
    </row>
    <row r="58" spans="57:91" x14ac:dyDescent="0.25">
      <c r="BE58" s="59"/>
      <c r="BF58" s="10"/>
      <c r="BG58" s="10"/>
      <c r="BH58" s="10"/>
      <c r="BI58" s="10"/>
      <c r="BJ58" s="10"/>
      <c r="BK58" s="10"/>
      <c r="BL58" s="10"/>
      <c r="BM58" s="10"/>
      <c r="BN58" s="5">
        <f>BU53*CD73</f>
        <v>3.0309999999999998E-3</v>
      </c>
      <c r="BO58" s="4">
        <f>CH73*BU53</f>
        <v>3.3845358400000003</v>
      </c>
      <c r="BP58" s="5"/>
      <c r="BQ58" s="10"/>
      <c r="BR58" s="10"/>
      <c r="BS58" s="10"/>
      <c r="BT58" s="10"/>
      <c r="BU58" s="10"/>
      <c r="BV58" s="10"/>
      <c r="BW58" s="10"/>
      <c r="BX58" s="48" t="s">
        <v>35</v>
      </c>
      <c r="BY58" s="10"/>
      <c r="BZ58" s="10"/>
      <c r="CA58" s="10"/>
      <c r="CB58" s="10"/>
      <c r="CC58" s="48" t="s">
        <v>35</v>
      </c>
      <c r="CD58" s="10"/>
      <c r="CE58" s="10"/>
      <c r="CF58" s="10"/>
      <c r="CG58" s="10"/>
      <c r="CH58" s="10"/>
      <c r="CI58" s="10"/>
      <c r="CJ58" s="10"/>
      <c r="CK58" s="10"/>
      <c r="CL58" s="10"/>
      <c r="CM58" s="60"/>
    </row>
    <row r="59" spans="57:91" x14ac:dyDescent="0.25">
      <c r="BE59" s="59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9">
        <f>CA63</f>
        <v>99.239910840000007</v>
      </c>
      <c r="BY59" s="10"/>
      <c r="BZ59" s="10"/>
      <c r="CA59" s="10"/>
      <c r="CB59" s="10"/>
      <c r="CC59" s="10">
        <f>CH52</f>
        <v>99.313684884648012</v>
      </c>
      <c r="CD59" s="10"/>
      <c r="CE59" s="10"/>
      <c r="CF59" s="10"/>
      <c r="CG59" s="10"/>
      <c r="CH59" s="10"/>
      <c r="CI59" s="10"/>
      <c r="CJ59" s="10"/>
      <c r="CK59" s="10"/>
      <c r="CL59" s="10"/>
      <c r="CM59" s="60"/>
    </row>
    <row r="60" spans="57:91" x14ac:dyDescent="0.25">
      <c r="BE60" s="59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54">
        <f>BO58+BO48-BV53</f>
        <v>0</v>
      </c>
      <c r="BR60" s="10"/>
      <c r="BS60" s="10"/>
      <c r="BT60" s="10"/>
      <c r="BU60" s="410" t="s">
        <v>47</v>
      </c>
      <c r="BV60" s="410"/>
      <c r="BW60" s="10"/>
      <c r="BX60" s="50" t="s">
        <v>36</v>
      </c>
      <c r="BY60" s="10"/>
      <c r="BZ60" s="410" t="s">
        <v>40</v>
      </c>
      <c r="CA60" s="410"/>
      <c r="CB60" s="10"/>
      <c r="CC60" s="50" t="s">
        <v>36</v>
      </c>
      <c r="CD60" s="10"/>
      <c r="CE60" s="10"/>
      <c r="CF60" s="10"/>
      <c r="CG60" s="10"/>
      <c r="CH60" s="10"/>
      <c r="CI60" s="10"/>
      <c r="CJ60" s="10"/>
      <c r="CK60" s="10"/>
      <c r="CL60" s="10"/>
      <c r="CM60" s="60"/>
    </row>
    <row r="61" spans="57:91" x14ac:dyDescent="0.25">
      <c r="BE61" s="59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410"/>
      <c r="BV61" s="410"/>
      <c r="BW61" s="10"/>
      <c r="BX61" s="55">
        <f>IF(BX54=BX55,BX55-BX59,BX54-BX59)</f>
        <v>9.9239910839941103E-3</v>
      </c>
      <c r="BY61" s="10"/>
      <c r="BZ61" s="410"/>
      <c r="CA61" s="410"/>
      <c r="CB61" s="10"/>
      <c r="CC61" s="55">
        <f>IF(CC54=CC55,CC55-CC59,CC54-CC59)</f>
        <v>9.9313684884663189E-3</v>
      </c>
      <c r="CD61" s="10"/>
      <c r="CE61" s="10"/>
      <c r="CF61" s="10"/>
      <c r="CG61" s="10"/>
      <c r="CH61" s="10"/>
      <c r="CI61" s="10"/>
      <c r="CJ61" s="10"/>
      <c r="CK61" s="10"/>
      <c r="CL61" s="10"/>
      <c r="CM61" s="60"/>
    </row>
    <row r="62" spans="57:91" x14ac:dyDescent="0.25">
      <c r="BE62" s="59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5" t="s">
        <v>1</v>
      </c>
      <c r="BV62" s="5" t="s">
        <v>1</v>
      </c>
      <c r="BW62" s="5" t="s">
        <v>42</v>
      </c>
      <c r="BX62" s="28" t="s">
        <v>45</v>
      </c>
      <c r="BY62" s="10"/>
      <c r="BZ62" s="5" t="s">
        <v>41</v>
      </c>
      <c r="CA62" s="5" t="s">
        <v>1</v>
      </c>
      <c r="CB62" s="5" t="s">
        <v>42</v>
      </c>
      <c r="CC62" s="28" t="s">
        <v>45</v>
      </c>
      <c r="CD62" s="10"/>
      <c r="CE62" s="10"/>
      <c r="CF62" s="10"/>
      <c r="CG62" s="10"/>
      <c r="CH62" s="10"/>
      <c r="CI62" s="10"/>
      <c r="CJ62" s="10"/>
      <c r="CK62" s="10"/>
      <c r="CL62" s="10"/>
      <c r="CM62" s="60"/>
    </row>
    <row r="63" spans="57:91" x14ac:dyDescent="0.25">
      <c r="BE63" s="59"/>
      <c r="BF63" s="10"/>
      <c r="BG63" s="10"/>
      <c r="BH63" s="10"/>
      <c r="BI63" s="10"/>
      <c r="BJ63" s="10"/>
      <c r="BK63" s="24" t="s">
        <v>51</v>
      </c>
      <c r="BL63" s="24"/>
      <c r="BM63" s="10"/>
      <c r="BN63" s="10"/>
      <c r="BO63" s="10"/>
      <c r="BP63" s="10"/>
      <c r="BQ63" s="10"/>
      <c r="BR63" s="10"/>
      <c r="BS63" s="10"/>
      <c r="BT63" s="10"/>
      <c r="BU63" s="5">
        <f>CH68*BZ63</f>
        <v>86.600000000000009</v>
      </c>
      <c r="BV63" s="4">
        <f>CH68*BU53</f>
        <v>86.600000000000009</v>
      </c>
      <c r="BW63" s="5"/>
      <c r="BX63" s="10"/>
      <c r="BY63" s="10"/>
      <c r="BZ63" s="5">
        <f>CG52</f>
        <v>433</v>
      </c>
      <c r="CA63" s="4">
        <f>(CH68+CI69+CH73)*BZ63</f>
        <v>99.239910840000007</v>
      </c>
      <c r="CB63" s="5">
        <f>IF(CC61&gt;0,CA63+CC61/2,CA63)</f>
        <v>99.244876524244233</v>
      </c>
      <c r="CC63" s="16"/>
      <c r="CD63" s="10"/>
      <c r="CE63" s="10"/>
      <c r="CF63" s="10"/>
      <c r="CG63" s="10"/>
      <c r="CH63" s="10"/>
      <c r="CI63" s="10"/>
      <c r="CJ63" s="10"/>
      <c r="CK63" s="10"/>
      <c r="CL63" s="10"/>
      <c r="CM63" s="60"/>
    </row>
    <row r="64" spans="57:91" x14ac:dyDescent="0.25">
      <c r="BE64" s="59"/>
      <c r="BF64" s="10"/>
      <c r="BG64" s="10"/>
      <c r="BH64" s="10"/>
      <c r="BI64" s="10"/>
      <c r="BJ64" s="10"/>
      <c r="BK64" s="25" t="str">
        <f>BN55</f>
        <v>Pegamento poliuterano</v>
      </c>
      <c r="BL64" s="4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60"/>
    </row>
    <row r="65" spans="57:91" x14ac:dyDescent="0.25">
      <c r="BE65" s="59"/>
      <c r="BF65" s="10"/>
      <c r="BG65" s="10"/>
      <c r="BH65" s="10"/>
      <c r="BI65" s="10"/>
      <c r="BJ65" s="10"/>
      <c r="BK65" s="12">
        <f>BO58</f>
        <v>3.3845358400000003</v>
      </c>
      <c r="BL65" s="4" t="s">
        <v>18</v>
      </c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54">
        <f>BV63+BV53-CA63</f>
        <v>0</v>
      </c>
      <c r="BY65" s="10"/>
      <c r="BZ65" s="10"/>
      <c r="CA65" s="10"/>
      <c r="CB65" s="10"/>
      <c r="CC65" s="52">
        <f>CA63+CA53-CH52</f>
        <v>0</v>
      </c>
      <c r="CD65" s="10"/>
      <c r="CE65" s="10"/>
      <c r="CF65" s="10"/>
      <c r="CG65" s="10"/>
      <c r="CH65" s="10"/>
      <c r="CI65" s="10"/>
      <c r="CJ65" s="10"/>
      <c r="CK65" s="10"/>
      <c r="CL65" s="10"/>
      <c r="CM65" s="60"/>
    </row>
    <row r="66" spans="57:91" x14ac:dyDescent="0.25">
      <c r="BE66" s="59"/>
      <c r="BF66" s="10"/>
      <c r="BG66" s="10"/>
      <c r="BH66" s="10"/>
      <c r="BI66" s="10"/>
      <c r="BJ66" s="10"/>
      <c r="BK66" s="12">
        <f>BN58</f>
        <v>3.0309999999999998E-3</v>
      </c>
      <c r="BL66" s="4" t="s">
        <v>15</v>
      </c>
      <c r="BM66" s="10"/>
      <c r="BN66" s="10"/>
      <c r="BO66" s="10"/>
      <c r="BP66" s="10"/>
      <c r="BQ66" s="10"/>
      <c r="BR66" s="10"/>
      <c r="BS66" s="10"/>
      <c r="BT66" s="49" t="s">
        <v>36</v>
      </c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60"/>
    </row>
    <row r="67" spans="57:91" x14ac:dyDescent="0.25">
      <c r="BE67" s="59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45">
        <v>1E-4</v>
      </c>
      <c r="BU67" s="10"/>
      <c r="BV67" s="10"/>
      <c r="BW67" s="10"/>
      <c r="BX67" s="10"/>
      <c r="BY67" s="10"/>
      <c r="BZ67" s="10"/>
      <c r="CA67" s="436" t="s">
        <v>6</v>
      </c>
      <c r="CB67" s="436"/>
      <c r="CC67" s="4" t="s">
        <v>19</v>
      </c>
      <c r="CD67" s="5" t="s">
        <v>20</v>
      </c>
      <c r="CE67" s="5" t="s">
        <v>2</v>
      </c>
      <c r="CF67" s="5" t="s">
        <v>21</v>
      </c>
      <c r="CG67" s="5" t="s">
        <v>2</v>
      </c>
      <c r="CH67" s="11" t="s">
        <v>24</v>
      </c>
      <c r="CI67" s="10"/>
      <c r="CJ67" s="10"/>
      <c r="CK67" s="10"/>
      <c r="CL67" s="10"/>
      <c r="CM67" s="60"/>
    </row>
    <row r="68" spans="57:91" x14ac:dyDescent="0.25">
      <c r="BE68" s="59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49">
        <f>BT69+BT69*BT67</f>
        <v>6.2942843654999994</v>
      </c>
      <c r="BU68" s="10"/>
      <c r="BV68" s="10"/>
      <c r="BW68" s="10"/>
      <c r="BX68" s="10"/>
      <c r="BY68" s="10"/>
      <c r="BZ68" s="5" t="s">
        <v>8</v>
      </c>
      <c r="CA68" s="3">
        <v>200</v>
      </c>
      <c r="CB68" s="3" t="s">
        <v>5</v>
      </c>
      <c r="CC68" s="23">
        <f>1/1000</f>
        <v>1E-3</v>
      </c>
      <c r="CD68" s="23">
        <f t="shared" ref="CD68:CD73" si="0">CA68*CC68</f>
        <v>0.2</v>
      </c>
      <c r="CE68" s="23" t="s">
        <v>18</v>
      </c>
      <c r="CF68" s="23">
        <v>1</v>
      </c>
      <c r="CG68" s="23"/>
      <c r="CH68" s="39">
        <f>CF68*CD68</f>
        <v>0.2</v>
      </c>
      <c r="CI68" s="10"/>
      <c r="CJ68" s="10"/>
      <c r="CK68" s="10"/>
      <c r="CL68" s="10"/>
      <c r="CM68" s="60"/>
    </row>
    <row r="69" spans="57:91" x14ac:dyDescent="0.25">
      <c r="BE69" s="59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9">
        <f>BG56</f>
        <v>6.2936549999999993</v>
      </c>
      <c r="BU69" s="10"/>
      <c r="BV69" s="10"/>
      <c r="BW69" s="10"/>
      <c r="BX69" s="10"/>
      <c r="BY69" s="10"/>
      <c r="BZ69" s="5" t="s">
        <v>7</v>
      </c>
      <c r="CA69" s="3">
        <f>47.5*62.5*0.3</f>
        <v>890.625</v>
      </c>
      <c r="CB69" s="3" t="s">
        <v>26</v>
      </c>
      <c r="CC69" s="23">
        <f>1/1000000</f>
        <v>9.9999999999999995E-7</v>
      </c>
      <c r="CD69" s="23">
        <f t="shared" si="0"/>
        <v>8.9062499999999992E-4</v>
      </c>
      <c r="CE69" s="23" t="s">
        <v>15</v>
      </c>
      <c r="CF69" s="23">
        <v>12</v>
      </c>
      <c r="CG69" s="23" t="s">
        <v>13</v>
      </c>
      <c r="CH69" s="23">
        <f>CF69*CD69</f>
        <v>1.0687499999999999E-2</v>
      </c>
      <c r="CI69" s="4">
        <f>CH69*2</f>
        <v>2.1374999999999998E-2</v>
      </c>
      <c r="CJ69" s="10"/>
      <c r="CK69" s="10"/>
      <c r="CL69" s="10"/>
      <c r="CM69" s="60"/>
    </row>
    <row r="70" spans="57:91" x14ac:dyDescent="0.25">
      <c r="BE70" s="59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47" t="s">
        <v>34</v>
      </c>
      <c r="BU70" s="10"/>
      <c r="BV70" s="10"/>
      <c r="BW70" s="10"/>
      <c r="BX70" s="10"/>
      <c r="BY70" s="10"/>
      <c r="BZ70" s="5" t="s">
        <v>32</v>
      </c>
      <c r="CA70" s="3">
        <v>219.6</v>
      </c>
      <c r="CB70" s="3" t="s">
        <v>10</v>
      </c>
      <c r="CC70" s="23">
        <f>1/100</f>
        <v>0.01</v>
      </c>
      <c r="CD70" s="23">
        <f t="shared" si="0"/>
        <v>2.1960000000000002</v>
      </c>
      <c r="CE70" s="23" t="s">
        <v>16</v>
      </c>
      <c r="CF70" s="23">
        <v>7.7585999999999999E-5</v>
      </c>
      <c r="CG70" s="23" t="s">
        <v>22</v>
      </c>
      <c r="CH70" s="40">
        <f t="shared" ref="CH70:CH73" si="1">CF70*CD70</f>
        <v>1.7037885600000002E-4</v>
      </c>
      <c r="CI70" s="10"/>
      <c r="CJ70" s="10"/>
      <c r="CK70" s="10"/>
      <c r="CL70" s="10"/>
      <c r="CM70" s="60"/>
    </row>
    <row r="71" spans="57:91" x14ac:dyDescent="0.25">
      <c r="BE71" s="59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29" t="s">
        <v>56</v>
      </c>
      <c r="BU71" s="10"/>
      <c r="BV71" s="10"/>
      <c r="BW71" s="10"/>
      <c r="BX71" s="10"/>
      <c r="BY71" s="10"/>
      <c r="BZ71" s="5" t="s">
        <v>11</v>
      </c>
      <c r="CA71" s="3">
        <v>7200</v>
      </c>
      <c r="CB71" s="3" t="s">
        <v>9</v>
      </c>
      <c r="CC71" s="23">
        <f>0.0001</f>
        <v>1E-4</v>
      </c>
      <c r="CD71" s="23">
        <f t="shared" si="0"/>
        <v>0.72000000000000008</v>
      </c>
      <c r="CE71" s="23" t="s">
        <v>17</v>
      </c>
      <c r="CF71" s="23">
        <v>0.1</v>
      </c>
      <c r="CG71" s="23" t="s">
        <v>23</v>
      </c>
      <c r="CH71" s="23">
        <f t="shared" si="1"/>
        <v>7.2000000000000008E-2</v>
      </c>
      <c r="CI71" s="10"/>
      <c r="CJ71" s="10"/>
      <c r="CK71" s="10"/>
      <c r="CL71" s="10"/>
      <c r="CM71" s="60"/>
    </row>
    <row r="72" spans="57:91" x14ac:dyDescent="0.25">
      <c r="BE72" s="59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48" t="s">
        <v>35</v>
      </c>
      <c r="BU72" s="10"/>
      <c r="BV72" s="10"/>
      <c r="BW72" s="404" t="s">
        <v>51</v>
      </c>
      <c r="BX72" s="405"/>
      <c r="BY72" s="10"/>
      <c r="BZ72" s="5" t="s">
        <v>33</v>
      </c>
      <c r="CA72" s="3">
        <v>585.6</v>
      </c>
      <c r="CB72" s="3" t="s">
        <v>10</v>
      </c>
      <c r="CC72" s="23">
        <f>1/100</f>
        <v>0.01</v>
      </c>
      <c r="CD72" s="23">
        <f t="shared" si="0"/>
        <v>5.8560000000000008</v>
      </c>
      <c r="CE72" s="23" t="s">
        <v>16</v>
      </c>
      <c r="CF72" s="23">
        <v>7.7585999999999999E-5</v>
      </c>
      <c r="CG72" s="23" t="s">
        <v>22</v>
      </c>
      <c r="CH72" s="23">
        <f t="shared" si="1"/>
        <v>4.5434361600000004E-4</v>
      </c>
      <c r="CI72" s="10"/>
      <c r="CJ72" s="10"/>
      <c r="CK72" s="10"/>
      <c r="CL72" s="10"/>
      <c r="CM72" s="60"/>
    </row>
    <row r="73" spans="57:91" x14ac:dyDescent="0.25">
      <c r="BE73" s="59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406" t="str">
        <f>BU60</f>
        <v>Espuma triturada</v>
      </c>
      <c r="BX73" s="407"/>
      <c r="BY73" s="10"/>
      <c r="BZ73" s="5" t="s">
        <v>12</v>
      </c>
      <c r="CA73" s="3">
        <v>7</v>
      </c>
      <c r="CB73" s="3" t="s">
        <v>14</v>
      </c>
      <c r="CC73" s="23">
        <f>1/1000000</f>
        <v>9.9999999999999995E-7</v>
      </c>
      <c r="CD73" s="23">
        <f t="shared" si="0"/>
        <v>6.9999999999999999E-6</v>
      </c>
      <c r="CE73" s="23" t="s">
        <v>15</v>
      </c>
      <c r="CF73" s="23">
        <v>1116.6400000000001</v>
      </c>
      <c r="CG73" s="23" t="s">
        <v>13</v>
      </c>
      <c r="CH73" s="23">
        <f t="shared" si="1"/>
        <v>7.8164800000000006E-3</v>
      </c>
      <c r="CI73" s="10"/>
      <c r="CJ73" s="10"/>
      <c r="CK73" s="10"/>
      <c r="CL73" s="10"/>
      <c r="CM73" s="60"/>
    </row>
    <row r="74" spans="57:91" x14ac:dyDescent="0.25">
      <c r="BE74" s="59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50" t="s">
        <v>36</v>
      </c>
      <c r="BU74" s="10"/>
      <c r="BV74" s="10"/>
      <c r="BW74" s="43">
        <f>BV63-BT73</f>
        <v>86.600000000000009</v>
      </c>
      <c r="BX74" s="44" t="s">
        <v>18</v>
      </c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410" t="s">
        <v>25</v>
      </c>
      <c r="CJ74" s="410"/>
      <c r="CK74" s="10"/>
      <c r="CL74" s="10"/>
      <c r="CM74" s="60"/>
    </row>
    <row r="75" spans="57:91" x14ac:dyDescent="0.25">
      <c r="BE75" s="59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55">
        <f>IF(BT68=BT69,BT69-BT73,BT68-BT73)</f>
        <v>6.2942843654999994</v>
      </c>
      <c r="BU75" s="10"/>
      <c r="BV75" s="10"/>
      <c r="BW75" s="43">
        <f>BV63-BT73</f>
        <v>86.600000000000009</v>
      </c>
      <c r="BX75" s="44" t="s">
        <v>18</v>
      </c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4">
        <f>CH68+CI69+CH70+CH71+CH72+CH73</f>
        <v>0.30181620247200003</v>
      </c>
      <c r="CJ75" s="4" t="s">
        <v>18</v>
      </c>
      <c r="CK75" s="10"/>
      <c r="CL75" s="10"/>
      <c r="CM75" s="60"/>
    </row>
    <row r="76" spans="57:91" x14ac:dyDescent="0.25">
      <c r="BE76" s="59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28" t="s">
        <v>45</v>
      </c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60"/>
    </row>
    <row r="77" spans="57:91" x14ac:dyDescent="0.25">
      <c r="BE77" s="59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60"/>
    </row>
    <row r="78" spans="57:91" x14ac:dyDescent="0.25">
      <c r="BE78" s="59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60"/>
    </row>
    <row r="79" spans="57:91" x14ac:dyDescent="0.25">
      <c r="BE79" s="59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54">
        <f>BV63+BV53-CA63</f>
        <v>0</v>
      </c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60"/>
    </row>
    <row r="80" spans="57:91" x14ac:dyDescent="0.25">
      <c r="BE80" s="62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4"/>
    </row>
    <row r="83" spans="68:93" x14ac:dyDescent="0.25">
      <c r="BT83" s="18" t="s">
        <v>36</v>
      </c>
      <c r="BZ83" s="12">
        <f>CC89</f>
        <v>0</v>
      </c>
      <c r="CA83" s="4" t="s">
        <v>16</v>
      </c>
    </row>
    <row r="84" spans="68:93" ht="15.75" thickBot="1" x14ac:dyDescent="0.3">
      <c r="BT84" s="19">
        <v>1E-4</v>
      </c>
      <c r="CM84" s="13"/>
    </row>
    <row r="85" spans="68:93" x14ac:dyDescent="0.25">
      <c r="BT85" s="18"/>
      <c r="CC85" s="453" t="s">
        <v>105</v>
      </c>
      <c r="CD85" s="454"/>
      <c r="CM85" s="416" t="s">
        <v>52</v>
      </c>
      <c r="CN85" s="416"/>
    </row>
    <row r="86" spans="68:93" x14ac:dyDescent="0.25">
      <c r="BT86" s="1">
        <f>SUM(BR93:BR100)</f>
        <v>270.97674239999992</v>
      </c>
      <c r="CC86" s="455"/>
      <c r="CD86" s="456"/>
      <c r="CJ86" s="410" t="s">
        <v>95</v>
      </c>
      <c r="CK86" s="410"/>
      <c r="CM86" s="436" t="s">
        <v>122</v>
      </c>
      <c r="CN86" s="417"/>
      <c r="CO86" s="65" t="s">
        <v>37</v>
      </c>
    </row>
    <row r="87" spans="68:93" x14ac:dyDescent="0.25">
      <c r="BT87" s="13" t="s">
        <v>34</v>
      </c>
      <c r="CC87" s="455"/>
      <c r="CD87" s="456"/>
      <c r="CF87" s="1" t="s">
        <v>106</v>
      </c>
      <c r="CJ87" s="6" t="s">
        <v>4</v>
      </c>
      <c r="CK87" s="6" t="s">
        <v>1</v>
      </c>
      <c r="CM87" s="23">
        <f>'Flujos Planta Colchones'!CE115</f>
        <v>406</v>
      </c>
      <c r="CN87" s="4" t="s">
        <v>27</v>
      </c>
    </row>
    <row r="88" spans="68:93" x14ac:dyDescent="0.25">
      <c r="BT88" s="109" t="s">
        <v>119</v>
      </c>
      <c r="CA88" s="18" t="s">
        <v>36</v>
      </c>
      <c r="CC88" s="455"/>
      <c r="CD88" s="456"/>
      <c r="CF88" s="18" t="s">
        <v>36</v>
      </c>
      <c r="CJ88" s="6">
        <f>CM87</f>
        <v>406</v>
      </c>
      <c r="CK88" s="4">
        <f>CJ88*(CK105)</f>
        <v>253.34399999999999</v>
      </c>
      <c r="CM88" s="4">
        <f>CK88</f>
        <v>253.34399999999999</v>
      </c>
      <c r="CN88" s="4" t="s">
        <v>28</v>
      </c>
    </row>
    <row r="89" spans="68:93" x14ac:dyDescent="0.25">
      <c r="BT89" s="14" t="s">
        <v>35</v>
      </c>
      <c r="CA89" s="19">
        <v>1E-4</v>
      </c>
      <c r="CC89" s="455"/>
      <c r="CD89" s="456"/>
      <c r="CF89" s="19">
        <v>6.9599999999999995E-2</v>
      </c>
      <c r="CM89" s="1"/>
    </row>
    <row r="90" spans="68:93" ht="15.75" thickBot="1" x14ac:dyDescent="0.3">
      <c r="BT90" s="1">
        <f>SUM(BZ99:BZ106)</f>
        <v>270.97674239999992</v>
      </c>
      <c r="CA90" s="18"/>
      <c r="CC90" s="457"/>
      <c r="CD90" s="458"/>
      <c r="CF90" s="18">
        <f>CJ88*CK105*CF89</f>
        <v>17.632742399999998</v>
      </c>
      <c r="CM90" s="28"/>
    </row>
    <row r="91" spans="68:93" x14ac:dyDescent="0.25">
      <c r="BQ91" s="24" t="s">
        <v>51</v>
      </c>
      <c r="BR91" s="24"/>
      <c r="BT91" s="15" t="s">
        <v>36</v>
      </c>
      <c r="CA91" s="1">
        <f>SUM(BZ99:BZ106)</f>
        <v>270.97674239999992</v>
      </c>
      <c r="CF91" s="1">
        <f>CD99</f>
        <v>270.97674239999998</v>
      </c>
    </row>
    <row r="92" spans="68:93" x14ac:dyDescent="0.25">
      <c r="BQ92" s="475" t="s">
        <v>120</v>
      </c>
      <c r="BR92" s="476"/>
      <c r="BS92" s="6" t="s">
        <v>2</v>
      </c>
      <c r="BT92" s="17">
        <f>IF(BT85=BT86,BT86-BT90,BT85-BT90)</f>
        <v>-270.97674239999992</v>
      </c>
      <c r="CA92" s="13" t="s">
        <v>34</v>
      </c>
      <c r="CF92" s="13" t="s">
        <v>34</v>
      </c>
    </row>
    <row r="93" spans="68:93" x14ac:dyDescent="0.25">
      <c r="BP93" s="477" t="s">
        <v>121</v>
      </c>
      <c r="BQ93" s="12" t="str">
        <f>BX99</f>
        <v>Agua</v>
      </c>
      <c r="BR93" s="4">
        <f>BZ99</f>
        <v>8.1293022719999986</v>
      </c>
      <c r="BS93" s="7" t="s">
        <v>18</v>
      </c>
      <c r="BT93" s="28" t="s">
        <v>45</v>
      </c>
      <c r="CA93" s="109" t="s">
        <v>84</v>
      </c>
      <c r="CF93" s="109" t="s">
        <v>85</v>
      </c>
    </row>
    <row r="94" spans="68:93" x14ac:dyDescent="0.25">
      <c r="BP94" s="477"/>
      <c r="BQ94" s="12" t="str">
        <f t="shared" ref="BQ94:BQ99" si="2">BX100</f>
        <v>Poliol</v>
      </c>
      <c r="BR94" s="4">
        <f t="shared" ref="BR94:BR100" si="3">BZ100</f>
        <v>172.07023142399999</v>
      </c>
      <c r="BS94" s="7" t="s">
        <v>18</v>
      </c>
      <c r="CA94" s="14" t="s">
        <v>35</v>
      </c>
      <c r="CF94" s="14" t="s">
        <v>35</v>
      </c>
    </row>
    <row r="95" spans="68:93" x14ac:dyDescent="0.25">
      <c r="BP95" s="477"/>
      <c r="BQ95" s="12" t="str">
        <f t="shared" si="2"/>
        <v>TDI</v>
      </c>
      <c r="BR95" s="4">
        <f t="shared" si="3"/>
        <v>88.067441279999997</v>
      </c>
      <c r="BS95" s="7" t="s">
        <v>18</v>
      </c>
      <c r="CA95" s="1">
        <f>CD99</f>
        <v>270.97674239999998</v>
      </c>
      <c r="CF95">
        <f>CK88</f>
        <v>253.34399999999999</v>
      </c>
    </row>
    <row r="96" spans="68:93" x14ac:dyDescent="0.25">
      <c r="BP96" s="477"/>
      <c r="BQ96" s="12" t="str">
        <f t="shared" si="2"/>
        <v>Amina</v>
      </c>
      <c r="BR96" s="4">
        <f t="shared" si="3"/>
        <v>0.54195348479999994</v>
      </c>
      <c r="BS96" s="7" t="s">
        <v>18</v>
      </c>
      <c r="BT96" s="21">
        <f>SUM(BR93:BR100)-SUM(BZ99:BZ106)</f>
        <v>0</v>
      </c>
      <c r="BX96" s="410" t="s">
        <v>107</v>
      </c>
      <c r="BY96" s="410"/>
      <c r="CA96" s="15" t="s">
        <v>36</v>
      </c>
      <c r="CC96" s="410" t="s">
        <v>103</v>
      </c>
      <c r="CD96" s="410"/>
      <c r="CF96" s="15" t="s">
        <v>36</v>
      </c>
    </row>
    <row r="97" spans="68:91" x14ac:dyDescent="0.25">
      <c r="BP97" s="477"/>
      <c r="BQ97" s="12" t="str">
        <f t="shared" si="2"/>
        <v>Estaño</v>
      </c>
      <c r="BR97" s="4">
        <f t="shared" si="3"/>
        <v>0.54195348479999994</v>
      </c>
      <c r="BS97" s="7" t="s">
        <v>18</v>
      </c>
      <c r="BX97" s="410"/>
      <c r="BY97" s="410"/>
      <c r="CA97" s="17">
        <f>IF(CA90=CA91,CA91-CA95,CA90-CA95)</f>
        <v>-270.97674239999998</v>
      </c>
      <c r="CC97" s="410"/>
      <c r="CD97" s="410"/>
      <c r="CF97" s="17"/>
    </row>
    <row r="98" spans="68:91" x14ac:dyDescent="0.25">
      <c r="BP98" s="477"/>
      <c r="BQ98" s="12" t="str">
        <f t="shared" si="2"/>
        <v>Siliciona</v>
      </c>
      <c r="BR98" s="4">
        <f t="shared" si="3"/>
        <v>0.54195348479999994</v>
      </c>
      <c r="BS98" s="7" t="s">
        <v>18</v>
      </c>
      <c r="BX98" s="6" t="s">
        <v>108</v>
      </c>
      <c r="BY98" s="6" t="s">
        <v>118</v>
      </c>
      <c r="BZ98" s="6" t="s">
        <v>117</v>
      </c>
      <c r="CA98" s="28" t="s">
        <v>45</v>
      </c>
      <c r="CC98" s="6" t="s">
        <v>50</v>
      </c>
      <c r="CD98" s="6" t="s">
        <v>1</v>
      </c>
      <c r="CE98" s="6" t="s">
        <v>42</v>
      </c>
      <c r="CF98" s="28"/>
    </row>
    <row r="99" spans="68:91" x14ac:dyDescent="0.25">
      <c r="BP99" s="477"/>
      <c r="BQ99" s="12" t="str">
        <f t="shared" si="2"/>
        <v>Polimérico</v>
      </c>
      <c r="BR99" s="4">
        <f t="shared" si="3"/>
        <v>0.54195348479999994</v>
      </c>
      <c r="BS99" s="7" t="s">
        <v>18</v>
      </c>
      <c r="BX99" s="6" t="s">
        <v>109</v>
      </c>
      <c r="BY99" s="105">
        <v>0.03</v>
      </c>
      <c r="BZ99" s="6">
        <f>$CD$99*BY99</f>
        <v>8.1293022719999986</v>
      </c>
      <c r="CC99" s="27">
        <f>CD99*(1/1005)</f>
        <v>0.26962859940298506</v>
      </c>
      <c r="CD99" s="4">
        <f>CK105*CJ88+CF89*CK105*CJ88</f>
        <v>270.97674239999998</v>
      </c>
      <c r="CE99" s="6">
        <f>IF(CF97&gt;0,CD99+CF97/2,CD99)</f>
        <v>270.97674239999998</v>
      </c>
      <c r="CF99" s="16"/>
    </row>
    <row r="100" spans="68:91" x14ac:dyDescent="0.25">
      <c r="BP100" s="477"/>
      <c r="BQ100" s="12" t="str">
        <f>BX106</f>
        <v>Cloruro de Metilo</v>
      </c>
      <c r="BR100" s="4">
        <f t="shared" si="3"/>
        <v>0.54195348479999994</v>
      </c>
      <c r="BS100" s="7" t="s">
        <v>18</v>
      </c>
      <c r="BX100" s="4" t="s">
        <v>110</v>
      </c>
      <c r="BY100" s="105">
        <v>0.63500000000000001</v>
      </c>
      <c r="BZ100" s="6">
        <f t="shared" ref="BZ100:BZ106" si="4">$CD$99*BY100</f>
        <v>172.07023142399999</v>
      </c>
      <c r="CC100" s="14" t="s">
        <v>104</v>
      </c>
    </row>
    <row r="101" spans="68:91" x14ac:dyDescent="0.25">
      <c r="BX101" s="4" t="s">
        <v>111</v>
      </c>
      <c r="BY101" s="105">
        <v>0.32500000000000001</v>
      </c>
      <c r="BZ101" s="6">
        <f t="shared" si="4"/>
        <v>88.067441279999997</v>
      </c>
      <c r="CA101" s="21">
        <f>CA91-CA95</f>
        <v>0</v>
      </c>
      <c r="CF101" s="22">
        <f>CD99-CK88</f>
        <v>17.632742399999984</v>
      </c>
    </row>
    <row r="102" spans="68:91" x14ac:dyDescent="0.25">
      <c r="BX102" s="4" t="s">
        <v>112</v>
      </c>
      <c r="BY102" s="105">
        <v>2E-3</v>
      </c>
      <c r="BZ102" s="6">
        <f t="shared" si="4"/>
        <v>0.54195348479999994</v>
      </c>
    </row>
    <row r="103" spans="68:91" x14ac:dyDescent="0.25">
      <c r="BX103" s="4" t="s">
        <v>113</v>
      </c>
      <c r="BY103" s="105">
        <v>2E-3</v>
      </c>
      <c r="BZ103" s="6">
        <f t="shared" si="4"/>
        <v>0.54195348479999994</v>
      </c>
      <c r="CD103" s="415" t="s">
        <v>125</v>
      </c>
      <c r="CE103" s="415"/>
      <c r="CF103" s="4" t="s">
        <v>19</v>
      </c>
      <c r="CG103" s="6" t="s">
        <v>20</v>
      </c>
      <c r="CH103" s="6" t="s">
        <v>2</v>
      </c>
      <c r="CI103" s="6" t="s">
        <v>21</v>
      </c>
      <c r="CJ103" s="6" t="s">
        <v>2</v>
      </c>
      <c r="CK103" s="11" t="s">
        <v>24</v>
      </c>
    </row>
    <row r="104" spans="68:91" x14ac:dyDescent="0.25">
      <c r="BX104" s="4" t="s">
        <v>114</v>
      </c>
      <c r="BY104" s="105">
        <v>2E-3</v>
      </c>
      <c r="BZ104" s="6">
        <f t="shared" si="4"/>
        <v>0.54195348479999994</v>
      </c>
      <c r="CC104" s="6"/>
      <c r="CD104" s="68"/>
      <c r="CE104" s="68"/>
      <c r="CF104" s="23"/>
      <c r="CG104" s="23"/>
      <c r="CH104" s="23"/>
      <c r="CI104" s="23"/>
      <c r="CJ104" s="23"/>
      <c r="CK104" s="39"/>
    </row>
    <row r="105" spans="68:91" x14ac:dyDescent="0.25">
      <c r="BX105" s="4" t="s">
        <v>115</v>
      </c>
      <c r="BY105" s="105">
        <v>2E-3</v>
      </c>
      <c r="BZ105" s="6">
        <f t="shared" si="4"/>
        <v>0.54195348479999994</v>
      </c>
      <c r="CC105" s="6" t="s">
        <v>96</v>
      </c>
      <c r="CD105" s="68">
        <f>13*60*40</f>
        <v>31200</v>
      </c>
      <c r="CE105" s="68" t="s">
        <v>26</v>
      </c>
      <c r="CF105" s="23">
        <v>9.9999999999999995E-7</v>
      </c>
      <c r="CG105" s="23">
        <f>CD105*CF105</f>
        <v>3.1199999999999999E-2</v>
      </c>
      <c r="CH105" s="23" t="s">
        <v>15</v>
      </c>
      <c r="CI105" s="23">
        <v>20</v>
      </c>
      <c r="CJ105" s="23" t="s">
        <v>13</v>
      </c>
      <c r="CK105" s="23">
        <f>CG105*CI105</f>
        <v>0.624</v>
      </c>
    </row>
    <row r="106" spans="68:91" x14ac:dyDescent="0.25">
      <c r="BX106" s="4" t="s">
        <v>116</v>
      </c>
      <c r="BY106" s="105">
        <v>2E-3</v>
      </c>
      <c r="BZ106" s="6">
        <f t="shared" si="4"/>
        <v>0.54195348479999994</v>
      </c>
      <c r="CC106" s="6"/>
      <c r="CD106" s="68"/>
      <c r="CE106" s="68"/>
      <c r="CF106" s="23"/>
      <c r="CG106" s="23"/>
      <c r="CH106" s="23"/>
      <c r="CI106" s="23"/>
      <c r="CJ106" s="23"/>
      <c r="CK106" s="40"/>
    </row>
    <row r="107" spans="68:91" x14ac:dyDescent="0.25">
      <c r="CC107" s="6" t="s">
        <v>92</v>
      </c>
      <c r="CD107" s="68">
        <f>62.5*40</f>
        <v>2500</v>
      </c>
      <c r="CE107" s="68" t="s">
        <v>9</v>
      </c>
      <c r="CF107" s="23">
        <f>0.0001</f>
        <v>1E-4</v>
      </c>
      <c r="CG107" s="23">
        <f>CD107*CF107</f>
        <v>0.25</v>
      </c>
      <c r="CH107" s="23" t="s">
        <v>17</v>
      </c>
      <c r="CI107" s="23">
        <v>0.1</v>
      </c>
      <c r="CJ107" s="23" t="s">
        <v>23</v>
      </c>
      <c r="CK107" s="66">
        <f t="shared" ref="CK107:CK109" si="5">CI107*CG107</f>
        <v>2.5000000000000001E-2</v>
      </c>
      <c r="CL107" s="67">
        <f>CK107*2</f>
        <v>0.05</v>
      </c>
    </row>
    <row r="108" spans="68:91" x14ac:dyDescent="0.25">
      <c r="CC108" s="6" t="s">
        <v>33</v>
      </c>
      <c r="CD108" s="68">
        <v>1146.8</v>
      </c>
      <c r="CE108" s="68" t="s">
        <v>10</v>
      </c>
      <c r="CF108" s="23">
        <f>1/100</f>
        <v>0.01</v>
      </c>
      <c r="CG108" s="23">
        <f>CD108*CF108</f>
        <v>11.468</v>
      </c>
      <c r="CH108" s="23" t="s">
        <v>16</v>
      </c>
      <c r="CI108" s="23">
        <v>7.7585999999999999E-5</v>
      </c>
      <c r="CJ108" s="23" t="s">
        <v>22</v>
      </c>
      <c r="CK108" s="23">
        <f t="shared" si="5"/>
        <v>8.89756248E-4</v>
      </c>
    </row>
    <row r="109" spans="68:91" x14ac:dyDescent="0.25">
      <c r="CC109" s="6" t="s">
        <v>93</v>
      </c>
      <c r="CD109" s="68">
        <v>39</v>
      </c>
      <c r="CE109" s="68" t="s">
        <v>10</v>
      </c>
      <c r="CF109" s="23">
        <f>1/100</f>
        <v>0.01</v>
      </c>
      <c r="CG109" s="23">
        <f>CD109*CF109</f>
        <v>0.39</v>
      </c>
      <c r="CH109" s="23" t="s">
        <v>16</v>
      </c>
      <c r="CI109" s="23">
        <f>1/117.5</f>
        <v>8.5106382978723406E-3</v>
      </c>
      <c r="CJ109" s="23" t="s">
        <v>22</v>
      </c>
      <c r="CK109" s="23">
        <f t="shared" si="5"/>
        <v>3.319148936170213E-3</v>
      </c>
    </row>
    <row r="110" spans="68:91" x14ac:dyDescent="0.25">
      <c r="CL110" s="410" t="s">
        <v>25</v>
      </c>
      <c r="CM110" s="410"/>
    </row>
    <row r="111" spans="68:91" x14ac:dyDescent="0.25">
      <c r="CL111" s="4">
        <f>CK105+CL107+CK108+CK109</f>
        <v>0.67820890518417032</v>
      </c>
      <c r="CM111" s="4" t="s">
        <v>18</v>
      </c>
    </row>
    <row r="131" spans="81:92" x14ac:dyDescent="0.25">
      <c r="CL131" s="124"/>
    </row>
    <row r="139" spans="81:92" x14ac:dyDescent="0.25">
      <c r="CL139" s="416" t="s">
        <v>52</v>
      </c>
      <c r="CM139" s="416"/>
    </row>
    <row r="140" spans="81:92" x14ac:dyDescent="0.25">
      <c r="CL140" s="436" t="str">
        <f>CG142</f>
        <v xml:space="preserve">Lámina de espuma </v>
      </c>
      <c r="CM140" s="417"/>
      <c r="CN140" s="127" t="s">
        <v>123</v>
      </c>
    </row>
    <row r="141" spans="81:92" x14ac:dyDescent="0.25">
      <c r="CL141" s="23">
        <f>'Flujos Planta Final'!CL176</f>
        <v>585</v>
      </c>
      <c r="CM141" s="4" t="s">
        <v>27</v>
      </c>
    </row>
    <row r="142" spans="81:92" x14ac:dyDescent="0.25">
      <c r="CG142" s="410" t="s">
        <v>134</v>
      </c>
      <c r="CH142" s="410"/>
      <c r="CL142" s="4">
        <f>CL141*'Flujos Planta Final'!CH196</f>
        <v>2000.7</v>
      </c>
      <c r="CM142" s="4" t="s">
        <v>28</v>
      </c>
    </row>
    <row r="143" spans="81:92" x14ac:dyDescent="0.25">
      <c r="CC143" s="1"/>
      <c r="CG143" s="6" t="s">
        <v>4</v>
      </c>
      <c r="CH143" s="6" t="s">
        <v>1</v>
      </c>
    </row>
    <row r="144" spans="81:92" x14ac:dyDescent="0.25">
      <c r="CC144" s="18" t="s">
        <v>36</v>
      </c>
      <c r="CG144" s="6">
        <f>CL141</f>
        <v>585</v>
      </c>
      <c r="CH144" s="4">
        <f>CL142</f>
        <v>2000.7</v>
      </c>
    </row>
    <row r="145" spans="75:91" x14ac:dyDescent="0.25">
      <c r="CC145" s="19">
        <v>1.0000000000000001E-5</v>
      </c>
    </row>
    <row r="146" spans="75:91" x14ac:dyDescent="0.25">
      <c r="BW146" s="473" t="s">
        <v>87</v>
      </c>
      <c r="BX146" s="473"/>
      <c r="CC146" s="18">
        <f>CC147-CC151</f>
        <v>0</v>
      </c>
    </row>
    <row r="147" spans="75:91" x14ac:dyDescent="0.25">
      <c r="BW147" s="447" t="str">
        <f>BZ152</f>
        <v>Bloque de espuma</v>
      </c>
      <c r="BX147" s="448"/>
      <c r="CC147" s="1">
        <f>CA156</f>
        <v>2000.7</v>
      </c>
    </row>
    <row r="148" spans="75:91" x14ac:dyDescent="0.25">
      <c r="BW148" s="12"/>
      <c r="BX148" s="4" t="s">
        <v>18</v>
      </c>
      <c r="CC148" s="13" t="s">
        <v>34</v>
      </c>
    </row>
    <row r="149" spans="75:91" x14ac:dyDescent="0.25">
      <c r="BW149" s="12"/>
      <c r="BX149" s="4" t="s">
        <v>16</v>
      </c>
      <c r="CC149" s="109" t="s">
        <v>142</v>
      </c>
    </row>
    <row r="150" spans="75:91" x14ac:dyDescent="0.25">
      <c r="CC150" s="14" t="s">
        <v>35</v>
      </c>
    </row>
    <row r="151" spans="75:91" x14ac:dyDescent="0.25">
      <c r="CC151">
        <f>CH144</f>
        <v>2000.7</v>
      </c>
      <c r="CM151" t="s">
        <v>91</v>
      </c>
    </row>
    <row r="152" spans="75:91" x14ac:dyDescent="0.25">
      <c r="BZ152" s="474" t="s">
        <v>143</v>
      </c>
      <c r="CA152" s="474"/>
      <c r="CC152" s="15" t="s">
        <v>36</v>
      </c>
    </row>
    <row r="153" spans="75:91" x14ac:dyDescent="0.25">
      <c r="BZ153" s="474"/>
      <c r="CA153" s="474"/>
      <c r="CC153" s="28" t="s">
        <v>45</v>
      </c>
    </row>
    <row r="154" spans="75:91" x14ac:dyDescent="0.25">
      <c r="BZ154" s="6" t="s">
        <v>50</v>
      </c>
      <c r="CA154" s="6" t="s">
        <v>1</v>
      </c>
      <c r="CB154" s="6" t="s">
        <v>42</v>
      </c>
      <c r="CC154" s="28"/>
    </row>
    <row r="155" spans="75:91" x14ac:dyDescent="0.25">
      <c r="BZ155" s="27"/>
      <c r="CA155" s="4"/>
      <c r="CB155" s="6"/>
      <c r="CC155" s="16"/>
    </row>
    <row r="156" spans="75:91" x14ac:dyDescent="0.25">
      <c r="BY156" s="14" t="s">
        <v>144</v>
      </c>
      <c r="BZ156" s="14">
        <f>CD161*CG144</f>
        <v>111.15</v>
      </c>
      <c r="CA156" s="14">
        <f>CH161*CG144</f>
        <v>2000.7</v>
      </c>
    </row>
    <row r="157" spans="75:91" x14ac:dyDescent="0.25">
      <c r="CC157" s="22">
        <f>CA156-CH144</f>
        <v>0</v>
      </c>
    </row>
    <row r="159" spans="75:91" x14ac:dyDescent="0.25">
      <c r="CA159" s="415" t="s">
        <v>126</v>
      </c>
      <c r="CB159" s="415"/>
      <c r="CC159" s="4" t="s">
        <v>19</v>
      </c>
      <c r="CD159" s="6" t="s">
        <v>20</v>
      </c>
      <c r="CE159" s="6" t="s">
        <v>2</v>
      </c>
      <c r="CF159" s="6" t="s">
        <v>21</v>
      </c>
      <c r="CG159" s="6" t="s">
        <v>2</v>
      </c>
      <c r="CH159" s="11" t="s">
        <v>24</v>
      </c>
    </row>
    <row r="160" spans="75:91" x14ac:dyDescent="0.25">
      <c r="BZ160" s="6"/>
      <c r="CA160" s="68"/>
      <c r="CB160" s="68"/>
      <c r="CC160" s="23"/>
      <c r="CD160" s="23"/>
      <c r="CE160" s="23"/>
      <c r="CF160" s="23"/>
      <c r="CG160" s="23"/>
      <c r="CH160" s="39"/>
    </row>
    <row r="161" spans="76:88" x14ac:dyDescent="0.25">
      <c r="BZ161" s="6" t="s">
        <v>128</v>
      </c>
      <c r="CA161" s="68">
        <f>100*190*10</f>
        <v>190000</v>
      </c>
      <c r="CB161" s="68" t="s">
        <v>26</v>
      </c>
      <c r="CC161" s="23">
        <v>9.9999999999999995E-7</v>
      </c>
      <c r="CD161" s="23">
        <f t="shared" ref="CD161:CD167" si="6">CA161*CC161</f>
        <v>0.19</v>
      </c>
      <c r="CE161" s="23" t="s">
        <v>15</v>
      </c>
      <c r="CF161" s="23">
        <v>18</v>
      </c>
      <c r="CG161" s="23" t="s">
        <v>13</v>
      </c>
      <c r="CH161" s="23">
        <f>CD161*CF161</f>
        <v>3.42</v>
      </c>
    </row>
    <row r="162" spans="76:88" x14ac:dyDescent="0.25">
      <c r="BZ162" s="6" t="s">
        <v>129</v>
      </c>
      <c r="CA162" s="68">
        <f>3708.8</f>
        <v>3708.8</v>
      </c>
      <c r="CB162" s="68" t="s">
        <v>10</v>
      </c>
      <c r="CC162" s="23">
        <f>1/100</f>
        <v>0.01</v>
      </c>
      <c r="CD162" s="23">
        <f t="shared" si="6"/>
        <v>37.088000000000001</v>
      </c>
      <c r="CE162" s="23" t="s">
        <v>16</v>
      </c>
      <c r="CF162" s="23">
        <v>7.7585999999999999E-5</v>
      </c>
      <c r="CG162" s="23" t="s">
        <v>22</v>
      </c>
      <c r="CH162" s="23">
        <f t="shared" ref="CH162:CH164" si="7">CD162*CF162</f>
        <v>2.8775095680000002E-3</v>
      </c>
    </row>
    <row r="163" spans="76:88" x14ac:dyDescent="0.25">
      <c r="BZ163" s="6" t="s">
        <v>131</v>
      </c>
      <c r="CA163" s="68">
        <f>210*210*0.3</f>
        <v>13230</v>
      </c>
      <c r="CB163" s="68" t="s">
        <v>26</v>
      </c>
      <c r="CC163" s="23">
        <v>9.9999999999999995E-7</v>
      </c>
      <c r="CD163" s="23">
        <f t="shared" si="6"/>
        <v>1.3229999999999999E-2</v>
      </c>
      <c r="CE163" s="23" t="s">
        <v>15</v>
      </c>
      <c r="CF163" s="23">
        <v>12</v>
      </c>
      <c r="CG163" s="23" t="s">
        <v>13</v>
      </c>
      <c r="CH163" s="23">
        <f t="shared" si="7"/>
        <v>0.15875999999999998</v>
      </c>
    </row>
    <row r="164" spans="76:88" x14ac:dyDescent="0.25">
      <c r="BZ164" s="6" t="s">
        <v>127</v>
      </c>
      <c r="CA164" s="68">
        <f>560</f>
        <v>560</v>
      </c>
      <c r="CB164" s="68" t="s">
        <v>9</v>
      </c>
      <c r="CC164" s="23">
        <f>0.0001</f>
        <v>1E-4</v>
      </c>
      <c r="CD164" s="23">
        <f t="shared" si="6"/>
        <v>5.6000000000000001E-2</v>
      </c>
      <c r="CE164" s="23" t="s">
        <v>17</v>
      </c>
      <c r="CF164" s="23">
        <f>20/1000</f>
        <v>0.02</v>
      </c>
      <c r="CG164" s="23" t="s">
        <v>23</v>
      </c>
      <c r="CH164" s="23">
        <f t="shared" si="7"/>
        <v>1.1200000000000001E-3</v>
      </c>
    </row>
    <row r="165" spans="76:88" x14ac:dyDescent="0.25">
      <c r="BZ165" s="6" t="s">
        <v>93</v>
      </c>
      <c r="CA165" s="68">
        <v>100</v>
      </c>
      <c r="CB165" s="68" t="s">
        <v>10</v>
      </c>
      <c r="CC165" s="23">
        <f>1/100</f>
        <v>0.01</v>
      </c>
      <c r="CD165" s="23">
        <f t="shared" si="6"/>
        <v>1</v>
      </c>
      <c r="CE165" s="23" t="s">
        <v>16</v>
      </c>
      <c r="CF165" s="23">
        <f>1/117.5</f>
        <v>8.5106382978723406E-3</v>
      </c>
      <c r="CG165" s="23" t="s">
        <v>22</v>
      </c>
      <c r="CH165" s="23">
        <f>CD165*CF165</f>
        <v>8.5106382978723406E-3</v>
      </c>
    </row>
    <row r="166" spans="76:88" x14ac:dyDescent="0.25">
      <c r="BZ166" s="11" t="s">
        <v>130</v>
      </c>
      <c r="CA166" s="68">
        <f>2400.96</f>
        <v>2400.96</v>
      </c>
      <c r="CB166" s="68" t="s">
        <v>10</v>
      </c>
      <c r="CC166" s="23">
        <f>1/100</f>
        <v>0.01</v>
      </c>
      <c r="CD166" s="23">
        <f t="shared" si="6"/>
        <v>24.009600000000002</v>
      </c>
      <c r="CE166" s="23" t="s">
        <v>16</v>
      </c>
      <c r="CF166" s="23">
        <v>7.7585999999999999E-5</v>
      </c>
      <c r="CG166" s="23" t="s">
        <v>22</v>
      </c>
      <c r="CH166" s="23">
        <f>CD166*CF166</f>
        <v>1.8628088256000001E-3</v>
      </c>
      <c r="CI166" s="408" t="s">
        <v>133</v>
      </c>
      <c r="CJ166" s="408"/>
    </row>
    <row r="167" spans="76:88" x14ac:dyDescent="0.25">
      <c r="BZ167" s="11" t="s">
        <v>132</v>
      </c>
      <c r="CA167" s="68">
        <f>227*227</f>
        <v>51529</v>
      </c>
      <c r="CB167" s="68" t="s">
        <v>9</v>
      </c>
      <c r="CC167" s="23">
        <f>0.0001</f>
        <v>1E-4</v>
      </c>
      <c r="CD167" s="23">
        <f t="shared" si="6"/>
        <v>5.1528999999999998</v>
      </c>
      <c r="CE167" s="23" t="s">
        <v>17</v>
      </c>
      <c r="CF167" s="23">
        <v>0.1</v>
      </c>
      <c r="CG167" s="23" t="s">
        <v>23</v>
      </c>
      <c r="CH167" s="23">
        <f>CD167*CF167</f>
        <v>0.51529000000000003</v>
      </c>
      <c r="CI167" s="4">
        <f>CH161+CH162+CH163+CH164+CH165+CH166+CH167</f>
        <v>4.1084209566914716</v>
      </c>
      <c r="CJ167" s="4" t="s">
        <v>18</v>
      </c>
    </row>
    <row r="175" spans="76:88" x14ac:dyDescent="0.25">
      <c r="BX175" s="10"/>
      <c r="BY175" s="10"/>
      <c r="BZ175" s="10"/>
      <c r="CA175" s="10"/>
    </row>
    <row r="176" spans="76:88" x14ac:dyDescent="0.25">
      <c r="BX176" s="10"/>
      <c r="BY176" s="10"/>
    </row>
    <row r="245" spans="75:95" x14ac:dyDescent="0.25">
      <c r="BW245" s="10"/>
      <c r="BX245" s="10"/>
      <c r="BY245" s="10"/>
      <c r="BZ245" s="10"/>
      <c r="CA245" s="10"/>
    </row>
    <row r="246" spans="75:95" x14ac:dyDescent="0.25">
      <c r="BW246" s="10"/>
      <c r="BX246" s="10"/>
      <c r="BY246" s="10"/>
      <c r="BZ246" s="48"/>
      <c r="CA246" s="52"/>
    </row>
    <row r="256" spans="75:95" x14ac:dyDescent="0.25">
      <c r="CO256" s="416" t="s">
        <v>52</v>
      </c>
      <c r="CP256" s="416"/>
      <c r="CQ256" s="127" t="s">
        <v>150</v>
      </c>
    </row>
    <row r="257" spans="78:94" x14ac:dyDescent="0.25">
      <c r="CO257" s="410" t="s">
        <v>134</v>
      </c>
      <c r="CP257" s="410"/>
    </row>
    <row r="258" spans="78:94" x14ac:dyDescent="0.25">
      <c r="CO258" s="23">
        <f>'Flujos Planta Final'!CL232</f>
        <v>299</v>
      </c>
      <c r="CP258" s="4" t="s">
        <v>27</v>
      </c>
    </row>
    <row r="259" spans="78:94" x14ac:dyDescent="0.25">
      <c r="CJ259" s="410" t="s">
        <v>134</v>
      </c>
      <c r="CK259" s="410"/>
      <c r="CO259" s="4">
        <f>CO258*CK278</f>
        <v>1533.87</v>
      </c>
      <c r="CP259" s="4" t="s">
        <v>28</v>
      </c>
    </row>
    <row r="260" spans="78:94" x14ac:dyDescent="0.25">
      <c r="CF260" s="1"/>
      <c r="CJ260" s="6" t="s">
        <v>50</v>
      </c>
      <c r="CK260" s="6" t="s">
        <v>1</v>
      </c>
    </row>
    <row r="261" spans="78:94" x14ac:dyDescent="0.25">
      <c r="CF261" s="18" t="s">
        <v>36</v>
      </c>
      <c r="CJ261" s="6">
        <f>CO258*CG278</f>
        <v>85.214999999999989</v>
      </c>
      <c r="CK261" s="4">
        <f>CO258*(CK278)</f>
        <v>1533.87</v>
      </c>
    </row>
    <row r="262" spans="78:94" x14ac:dyDescent="0.25">
      <c r="CF262" s="19">
        <v>1.0000000000000001E-5</v>
      </c>
    </row>
    <row r="263" spans="78:94" x14ac:dyDescent="0.25">
      <c r="BZ263" s="473" t="s">
        <v>87</v>
      </c>
      <c r="CA263" s="473"/>
      <c r="CF263" s="18">
        <f>CF264-CF268</f>
        <v>0</v>
      </c>
    </row>
    <row r="264" spans="78:94" x14ac:dyDescent="0.25">
      <c r="BZ264" s="447" t="str">
        <f>CC269</f>
        <v>Bloque de espuma</v>
      </c>
      <c r="CA264" s="448"/>
      <c r="CF264" s="1">
        <f>CD273</f>
        <v>1533.87</v>
      </c>
    </row>
    <row r="265" spans="78:94" x14ac:dyDescent="0.25">
      <c r="BZ265" s="12"/>
      <c r="CA265" s="4" t="s">
        <v>18</v>
      </c>
      <c r="CF265" s="13" t="s">
        <v>34</v>
      </c>
    </row>
    <row r="266" spans="78:94" x14ac:dyDescent="0.25">
      <c r="BZ266" s="12"/>
      <c r="CA266" s="4" t="s">
        <v>16</v>
      </c>
      <c r="CF266" s="109" t="s">
        <v>142</v>
      </c>
    </row>
    <row r="267" spans="78:94" x14ac:dyDescent="0.25">
      <c r="CF267" s="14" t="s">
        <v>35</v>
      </c>
    </row>
    <row r="268" spans="78:94" x14ac:dyDescent="0.25">
      <c r="CF268">
        <f>CK261</f>
        <v>1533.87</v>
      </c>
      <c r="CP268" t="s">
        <v>91</v>
      </c>
    </row>
    <row r="269" spans="78:94" x14ac:dyDescent="0.25">
      <c r="CC269" s="474" t="s">
        <v>143</v>
      </c>
      <c r="CD269" s="474"/>
      <c r="CF269" s="15" t="s">
        <v>36</v>
      </c>
    </row>
    <row r="270" spans="78:94" x14ac:dyDescent="0.25">
      <c r="CC270" s="474"/>
      <c r="CD270" s="474"/>
      <c r="CF270" s="28" t="s">
        <v>45</v>
      </c>
    </row>
    <row r="271" spans="78:94" x14ac:dyDescent="0.25">
      <c r="CC271" s="6" t="s">
        <v>50</v>
      </c>
      <c r="CD271" s="6" t="s">
        <v>1</v>
      </c>
      <c r="CE271" s="6" t="s">
        <v>42</v>
      </c>
      <c r="CF271" s="28"/>
    </row>
    <row r="272" spans="78:94" x14ac:dyDescent="0.25">
      <c r="CC272" s="27"/>
      <c r="CD272" s="4"/>
      <c r="CE272" s="6"/>
      <c r="CF272" s="16"/>
    </row>
    <row r="273" spans="80:91" x14ac:dyDescent="0.25">
      <c r="CB273" s="14" t="s">
        <v>170</v>
      </c>
      <c r="CC273" s="14">
        <f>CJ261</f>
        <v>85.214999999999989</v>
      </c>
      <c r="CD273" s="14">
        <f>CK261</f>
        <v>1533.87</v>
      </c>
    </row>
    <row r="274" spans="80:91" x14ac:dyDescent="0.25">
      <c r="CF274" s="22">
        <f>CD273-CK261</f>
        <v>0</v>
      </c>
    </row>
    <row r="276" spans="80:91" x14ac:dyDescent="0.25">
      <c r="CD276" s="415" t="str">
        <f>CO257</f>
        <v xml:space="preserve">Lámina de espuma </v>
      </c>
      <c r="CE276" s="415"/>
      <c r="CF276" s="4" t="s">
        <v>19</v>
      </c>
      <c r="CG276" s="6" t="s">
        <v>20</v>
      </c>
      <c r="CH276" s="6" t="s">
        <v>2</v>
      </c>
      <c r="CI276" s="6" t="s">
        <v>21</v>
      </c>
      <c r="CJ276" s="6" t="s">
        <v>2</v>
      </c>
      <c r="CK276" s="11" t="s">
        <v>24</v>
      </c>
    </row>
    <row r="277" spans="80:91" x14ac:dyDescent="0.25">
      <c r="CC277" s="6"/>
      <c r="CD277" s="68"/>
      <c r="CE277" s="68"/>
      <c r="CF277" s="23"/>
      <c r="CG277" s="23"/>
      <c r="CH277" s="23"/>
      <c r="CI277" s="23"/>
      <c r="CJ277" s="23"/>
      <c r="CK277" s="39"/>
    </row>
    <row r="278" spans="80:91" x14ac:dyDescent="0.25">
      <c r="CC278" s="27" t="s">
        <v>128</v>
      </c>
      <c r="CD278" s="68">
        <f>100*190*15</f>
        <v>285000</v>
      </c>
      <c r="CE278" s="68" t="s">
        <v>26</v>
      </c>
      <c r="CF278" s="23">
        <v>9.9999999999999995E-7</v>
      </c>
      <c r="CG278" s="23">
        <f t="shared" ref="CG278:CG285" si="8">CD278*CF278</f>
        <v>0.28499999999999998</v>
      </c>
      <c r="CH278" s="23" t="s">
        <v>15</v>
      </c>
      <c r="CI278" s="23">
        <v>18</v>
      </c>
      <c r="CJ278" s="23" t="s">
        <v>13</v>
      </c>
      <c r="CK278" s="23">
        <f>CG278*CI278</f>
        <v>5.13</v>
      </c>
    </row>
    <row r="279" spans="80:91" x14ac:dyDescent="0.25">
      <c r="CC279" s="27" t="s">
        <v>130</v>
      </c>
      <c r="CD279" s="68">
        <f>5621.76</f>
        <v>5621.76</v>
      </c>
      <c r="CE279" s="68" t="s">
        <v>10</v>
      </c>
      <c r="CF279" s="23">
        <f>1/100</f>
        <v>0.01</v>
      </c>
      <c r="CG279" s="23">
        <f t="shared" si="8"/>
        <v>56.217600000000004</v>
      </c>
      <c r="CH279" s="23" t="s">
        <v>16</v>
      </c>
      <c r="CI279" s="23">
        <v>7.7585999999999999E-5</v>
      </c>
      <c r="CJ279" s="23" t="s">
        <v>22</v>
      </c>
      <c r="CK279" s="23">
        <f t="shared" ref="CK279:CK281" si="9">CG279*CI279</f>
        <v>4.3616987136000001E-3</v>
      </c>
    </row>
    <row r="280" spans="80:91" x14ac:dyDescent="0.25">
      <c r="CC280" s="27" t="s">
        <v>164</v>
      </c>
      <c r="CD280" s="68">
        <f>210*210*0.3</f>
        <v>13230</v>
      </c>
      <c r="CE280" s="68" t="s">
        <v>26</v>
      </c>
      <c r="CF280" s="23">
        <v>9.9999999999999995E-7</v>
      </c>
      <c r="CG280" s="23">
        <f t="shared" si="8"/>
        <v>1.3229999999999999E-2</v>
      </c>
      <c r="CH280" s="23" t="s">
        <v>15</v>
      </c>
      <c r="CI280" s="23">
        <v>12</v>
      </c>
      <c r="CJ280" s="23" t="s">
        <v>13</v>
      </c>
      <c r="CK280" s="23">
        <f t="shared" si="9"/>
        <v>0.15875999999999998</v>
      </c>
    </row>
    <row r="281" spans="80:91" x14ac:dyDescent="0.25">
      <c r="CC281" s="27" t="s">
        <v>127</v>
      </c>
      <c r="CD281" s="68">
        <f>560</f>
        <v>560</v>
      </c>
      <c r="CE281" s="68" t="s">
        <v>9</v>
      </c>
      <c r="CF281" s="23">
        <f>0.0001</f>
        <v>1E-4</v>
      </c>
      <c r="CG281" s="23">
        <f t="shared" si="8"/>
        <v>5.6000000000000001E-2</v>
      </c>
      <c r="CH281" s="23" t="s">
        <v>17</v>
      </c>
      <c r="CI281" s="23">
        <f>20/1000</f>
        <v>0.02</v>
      </c>
      <c r="CJ281" s="23" t="s">
        <v>23</v>
      </c>
      <c r="CK281" s="23">
        <f t="shared" si="9"/>
        <v>1.1200000000000001E-3</v>
      </c>
    </row>
    <row r="282" spans="80:91" x14ac:dyDescent="0.25">
      <c r="CC282" s="27" t="s">
        <v>93</v>
      </c>
      <c r="CD282" s="68">
        <v>100</v>
      </c>
      <c r="CE282" s="68" t="s">
        <v>10</v>
      </c>
      <c r="CF282" s="23">
        <f>1/100</f>
        <v>0.01</v>
      </c>
      <c r="CG282" s="23">
        <f t="shared" si="8"/>
        <v>1</v>
      </c>
      <c r="CH282" s="23" t="s">
        <v>16</v>
      </c>
      <c r="CI282" s="23">
        <f>1/117.5</f>
        <v>8.5106382978723406E-3</v>
      </c>
      <c r="CJ282" s="23" t="s">
        <v>22</v>
      </c>
      <c r="CK282" s="23">
        <f>CG282*CI282</f>
        <v>8.5106382978723406E-3</v>
      </c>
    </row>
    <row r="283" spans="80:91" x14ac:dyDescent="0.25">
      <c r="CC283" s="132" t="s">
        <v>130</v>
      </c>
      <c r="CD283" s="68">
        <f>2400.96</f>
        <v>2400.96</v>
      </c>
      <c r="CE283" s="68" t="s">
        <v>10</v>
      </c>
      <c r="CF283" s="23">
        <f>1/100</f>
        <v>0.01</v>
      </c>
      <c r="CG283" s="23">
        <f t="shared" si="8"/>
        <v>24.009600000000002</v>
      </c>
      <c r="CH283" s="23" t="s">
        <v>16</v>
      </c>
      <c r="CI283" s="23">
        <v>7.7585999999999999E-5</v>
      </c>
      <c r="CJ283" s="23" t="s">
        <v>22</v>
      </c>
      <c r="CK283" s="23">
        <f>CG283*CI283</f>
        <v>1.8628088256000001E-3</v>
      </c>
      <c r="CL283" s="408" t="s">
        <v>163</v>
      </c>
      <c r="CM283" s="408"/>
    </row>
    <row r="284" spans="80:91" x14ac:dyDescent="0.25">
      <c r="CC284" s="132" t="s">
        <v>132</v>
      </c>
      <c r="CD284" s="131">
        <f>227*227</f>
        <v>51529</v>
      </c>
      <c r="CE284" s="131" t="s">
        <v>9</v>
      </c>
      <c r="CF284" s="39">
        <f>0.0001</f>
        <v>1E-4</v>
      </c>
      <c r="CG284" s="39">
        <f t="shared" si="8"/>
        <v>5.1528999999999998</v>
      </c>
      <c r="CH284" s="39" t="s">
        <v>17</v>
      </c>
      <c r="CI284" s="39">
        <v>0.1</v>
      </c>
      <c r="CJ284" s="39" t="s">
        <v>23</v>
      </c>
      <c r="CK284" s="39">
        <f>CG284*CI284</f>
        <v>0.51529000000000003</v>
      </c>
      <c r="CL284" s="4">
        <f>CK278+CK279+CK280+CK281+CK282+CK283+CK284+CK285+CK286+CK287</f>
        <v>5.9669061006470736</v>
      </c>
      <c r="CM284" s="4" t="s">
        <v>18</v>
      </c>
    </row>
    <row r="285" spans="80:91" x14ac:dyDescent="0.25">
      <c r="CC285" s="108" t="s">
        <v>165</v>
      </c>
      <c r="CD285" s="71">
        <f>0.515*0.515*0.3</f>
        <v>7.9567499999999999E-2</v>
      </c>
      <c r="CE285" s="127" t="s">
        <v>26</v>
      </c>
      <c r="CF285" s="71">
        <v>9.9999999999999995E-7</v>
      </c>
      <c r="CG285" s="71">
        <f t="shared" si="8"/>
        <v>7.9567500000000001E-8</v>
      </c>
      <c r="CH285" s="71" t="s">
        <v>15</v>
      </c>
      <c r="CI285" s="71">
        <v>12</v>
      </c>
      <c r="CJ285" s="71" t="s">
        <v>13</v>
      </c>
      <c r="CK285" s="71">
        <f>CG285*CI285</f>
        <v>9.5481000000000001E-7</v>
      </c>
    </row>
    <row r="286" spans="80:91" x14ac:dyDescent="0.25">
      <c r="CC286" s="134" t="s">
        <v>166</v>
      </c>
      <c r="CD286" s="135"/>
      <c r="CE286" s="135"/>
      <c r="CF286" s="135"/>
      <c r="CG286" s="136">
        <v>1.23</v>
      </c>
      <c r="CH286" s="136" t="s">
        <v>17</v>
      </c>
      <c r="CI286" s="136">
        <v>0.1</v>
      </c>
      <c r="CJ286" s="136" t="s">
        <v>22</v>
      </c>
      <c r="CK286" s="136">
        <f>CG286*CI286</f>
        <v>0.123</v>
      </c>
    </row>
    <row r="287" spans="80:91" x14ac:dyDescent="0.25">
      <c r="CC287" s="137" t="s">
        <v>167</v>
      </c>
      <c r="CD287" s="71">
        <f>6*4</f>
        <v>24</v>
      </c>
      <c r="CE287" s="138" t="s">
        <v>5</v>
      </c>
      <c r="CF287" s="71"/>
      <c r="CG287" s="71"/>
      <c r="CH287" s="71"/>
      <c r="CI287" s="71">
        <f>1/1000</f>
        <v>1E-3</v>
      </c>
      <c r="CJ287" s="139" t="s">
        <v>18</v>
      </c>
      <c r="CK287" s="139">
        <f>CD287*CI287</f>
        <v>2.4E-2</v>
      </c>
    </row>
    <row r="289" spans="43:95" ht="15.75" thickBot="1" x14ac:dyDescent="0.3">
      <c r="AU289" s="19">
        <v>1E-4</v>
      </c>
      <c r="CO289" s="416" t="s">
        <v>52</v>
      </c>
      <c r="CP289" s="416"/>
      <c r="CQ289" s="127" t="s">
        <v>172</v>
      </c>
    </row>
    <row r="290" spans="43:95" x14ac:dyDescent="0.25">
      <c r="AU290" s="18"/>
      <c r="BD290" s="453" t="s">
        <v>208</v>
      </c>
      <c r="BE290" s="454"/>
      <c r="CO290" s="428" t="s">
        <v>134</v>
      </c>
      <c r="CP290" s="429"/>
    </row>
    <row r="291" spans="43:95" x14ac:dyDescent="0.25">
      <c r="AU291" s="34">
        <f>95.904+95.904*BG294</f>
        <v>102.57891839999999</v>
      </c>
      <c r="BD291" s="455"/>
      <c r="BE291" s="456"/>
      <c r="BS291" s="473" t="s">
        <v>87</v>
      </c>
      <c r="BT291" s="473"/>
      <c r="CO291" s="23">
        <f>'Flujos Planta Final'!CN351</f>
        <v>110</v>
      </c>
      <c r="CP291" s="4" t="s">
        <v>27</v>
      </c>
    </row>
    <row r="292" spans="43:95" x14ac:dyDescent="0.25">
      <c r="AU292" s="13" t="s">
        <v>34</v>
      </c>
      <c r="BD292" s="455"/>
      <c r="BE292" s="456"/>
      <c r="BG292" s="1" t="s">
        <v>106</v>
      </c>
      <c r="BS292" s="447"/>
      <c r="BT292" s="448"/>
      <c r="CJ292" s="428" t="s">
        <v>134</v>
      </c>
      <c r="CK292" s="429"/>
      <c r="CO292" s="4">
        <f>CO291*CK311</f>
        <v>112.85999999999999</v>
      </c>
      <c r="CP292" s="4" t="s">
        <v>28</v>
      </c>
    </row>
    <row r="293" spans="43:95" x14ac:dyDescent="0.25">
      <c r="AU293" s="109" t="s">
        <v>119</v>
      </c>
      <c r="BB293" s="18" t="s">
        <v>36</v>
      </c>
      <c r="BD293" s="455"/>
      <c r="BE293" s="456"/>
      <c r="BG293" s="18" t="s">
        <v>36</v>
      </c>
      <c r="BS293" s="42">
        <v>94.962228550963189</v>
      </c>
      <c r="BT293" s="4" t="s">
        <v>18</v>
      </c>
      <c r="CF293" s="1"/>
      <c r="CJ293" s="6" t="s">
        <v>50</v>
      </c>
      <c r="CK293" s="6" t="s">
        <v>1</v>
      </c>
    </row>
    <row r="294" spans="43:95" x14ac:dyDescent="0.25">
      <c r="AU294" s="14" t="s">
        <v>35</v>
      </c>
      <c r="BB294" s="19">
        <v>1E-4</v>
      </c>
      <c r="BD294" s="455"/>
      <c r="BE294" s="456"/>
      <c r="BG294" s="19">
        <v>6.9599999999999995E-2</v>
      </c>
      <c r="BS294" s="42">
        <v>5.2756793639423991</v>
      </c>
      <c r="BT294" s="4" t="s">
        <v>15</v>
      </c>
      <c r="CF294" s="18" t="s">
        <v>36</v>
      </c>
      <c r="CJ294" s="6">
        <f>CO291*CG311</f>
        <v>6.27</v>
      </c>
      <c r="CK294" s="4">
        <f>CO291*(CK311)</f>
        <v>112.85999999999999</v>
      </c>
    </row>
    <row r="295" spans="43:95" ht="18.75" customHeight="1" thickBot="1" x14ac:dyDescent="0.35">
      <c r="AU295" s="1">
        <f>AU291</f>
        <v>102.57891839999999</v>
      </c>
      <c r="BB295" s="18"/>
      <c r="BD295" s="457"/>
      <c r="BE295" s="458"/>
      <c r="BG295" s="18">
        <f>BG296-BG300</f>
        <v>257.76547317873428</v>
      </c>
      <c r="BS295" s="165">
        <f>ROUNDUP(CD305/BS293,0)</f>
        <v>39</v>
      </c>
      <c r="BT295" s="165" t="s">
        <v>209</v>
      </c>
      <c r="CF295" s="19">
        <v>1.0000000000000001E-5</v>
      </c>
    </row>
    <row r="296" spans="43:95" x14ac:dyDescent="0.25">
      <c r="AR296" s="24" t="s">
        <v>51</v>
      </c>
      <c r="AS296" s="24"/>
      <c r="AU296" s="15" t="s">
        <v>36</v>
      </c>
      <c r="BB296" s="1">
        <f>BE304</f>
        <v>3961.2923866662986</v>
      </c>
      <c r="BG296" s="1">
        <f>BG300+BG300*BG294</f>
        <v>3961.2923866662986</v>
      </c>
      <c r="CF296" s="18">
        <f>CF297-CF301</f>
        <v>0</v>
      </c>
    </row>
    <row r="297" spans="43:95" ht="18.75" customHeight="1" x14ac:dyDescent="0.3">
      <c r="AR297" s="475" t="s">
        <v>120</v>
      </c>
      <c r="AS297" s="476"/>
      <c r="AT297" s="6" t="s">
        <v>2</v>
      </c>
      <c r="AU297" s="17">
        <f>IF(AU290=AU291,AU291-AU295,AU290-AU295)</f>
        <v>-102.57891839999999</v>
      </c>
      <c r="BB297" s="13" t="s">
        <v>34</v>
      </c>
      <c r="BG297" s="13" t="s">
        <v>34</v>
      </c>
      <c r="BS297" s="165" t="s">
        <v>210</v>
      </c>
      <c r="BT297" s="166"/>
      <c r="CF297" s="1">
        <f>CD306</f>
        <v>112.85999999999999</v>
      </c>
    </row>
    <row r="298" spans="43:95" ht="18.75" customHeight="1" x14ac:dyDescent="0.3">
      <c r="AQ298" s="477" t="s">
        <v>121</v>
      </c>
      <c r="AR298" s="12" t="str">
        <f>AY304</f>
        <v>Agua</v>
      </c>
      <c r="AS298" s="4">
        <f>BA304</f>
        <v>118.83877159998896</v>
      </c>
      <c r="AT298" s="7" t="s">
        <v>18</v>
      </c>
      <c r="AU298" s="28" t="s">
        <v>45</v>
      </c>
      <c r="BB298" s="109" t="s">
        <v>84</v>
      </c>
      <c r="BG298" s="109" t="s">
        <v>85</v>
      </c>
      <c r="BS298" s="165">
        <f>BS295*BS293-CD305</f>
        <v>56.096913487564507</v>
      </c>
      <c r="BT298" s="165" t="s">
        <v>102</v>
      </c>
      <c r="CF298" s="13" t="s">
        <v>34</v>
      </c>
    </row>
    <row r="299" spans="43:95" ht="18.75" customHeight="1" x14ac:dyDescent="0.25">
      <c r="AQ299" s="477"/>
      <c r="AR299" s="12" t="str">
        <f t="shared" ref="AR299:AR304" si="10">AY305</f>
        <v>Poliol</v>
      </c>
      <c r="AS299" s="4">
        <f t="shared" ref="AS299:AS305" si="11">BA305</f>
        <v>2495.6142035997682</v>
      </c>
      <c r="AT299" s="7" t="s">
        <v>18</v>
      </c>
      <c r="BB299" s="14" t="s">
        <v>35</v>
      </c>
      <c r="BG299" s="14" t="s">
        <v>35</v>
      </c>
      <c r="CF299" s="109" t="s">
        <v>142</v>
      </c>
    </row>
    <row r="300" spans="43:95" x14ac:dyDescent="0.25">
      <c r="AQ300" s="477"/>
      <c r="AR300" s="12" t="str">
        <f t="shared" si="10"/>
        <v>TDI</v>
      </c>
      <c r="AS300" s="4">
        <f t="shared" si="11"/>
        <v>1287.4200256665472</v>
      </c>
      <c r="AT300" s="7" t="s">
        <v>18</v>
      </c>
      <c r="BB300" s="1">
        <f>BE304</f>
        <v>3961.2923866662986</v>
      </c>
      <c r="BG300">
        <f>BS293*BS295</f>
        <v>3703.5269134875643</v>
      </c>
      <c r="CF300" s="14" t="s">
        <v>35</v>
      </c>
    </row>
    <row r="301" spans="43:95" ht="18.75" customHeight="1" x14ac:dyDescent="0.25">
      <c r="AQ301" s="477"/>
      <c r="AR301" s="12" t="str">
        <f t="shared" si="10"/>
        <v>Amina</v>
      </c>
      <c r="AS301" s="4">
        <f t="shared" si="11"/>
        <v>7.9225847733325976</v>
      </c>
      <c r="AT301" s="7" t="s">
        <v>18</v>
      </c>
      <c r="AU301" s="21">
        <f>SUM(AS298:AS305)-SUM(BA304:BA311)</f>
        <v>0</v>
      </c>
      <c r="AY301" s="410" t="s">
        <v>107</v>
      </c>
      <c r="AZ301" s="410"/>
      <c r="BB301" s="15" t="s">
        <v>36</v>
      </c>
      <c r="BD301" s="410" t="s">
        <v>103</v>
      </c>
      <c r="BE301" s="410"/>
      <c r="BG301" s="15" t="s">
        <v>36</v>
      </c>
      <c r="BU301" s="14"/>
      <c r="CF301">
        <f>CK294</f>
        <v>112.85999999999999</v>
      </c>
      <c r="CP301" t="s">
        <v>91</v>
      </c>
    </row>
    <row r="302" spans="43:95" ht="18.75" customHeight="1" x14ac:dyDescent="0.25">
      <c r="AQ302" s="477"/>
      <c r="AR302" s="12" t="str">
        <f t="shared" si="10"/>
        <v>Estaño</v>
      </c>
      <c r="AS302" s="4">
        <f t="shared" si="11"/>
        <v>7.9225847733325976</v>
      </c>
      <c r="AT302" s="7" t="s">
        <v>18</v>
      </c>
      <c r="AY302" s="410"/>
      <c r="AZ302" s="410"/>
      <c r="BB302" s="17">
        <f>IF(BB295=BB296,BB296-BB300,BB295-BB300)</f>
        <v>-3961.2923866662986</v>
      </c>
      <c r="BD302" s="410"/>
      <c r="BE302" s="410"/>
      <c r="BG302" s="17"/>
      <c r="BU302" s="14"/>
      <c r="CC302" s="521" t="s">
        <v>143</v>
      </c>
      <c r="CD302" s="522"/>
      <c r="CF302" s="15" t="s">
        <v>36</v>
      </c>
    </row>
    <row r="303" spans="43:95" x14ac:dyDescent="0.25">
      <c r="AQ303" s="477"/>
      <c r="AR303" s="12" t="str">
        <f t="shared" si="10"/>
        <v>Siliciona</v>
      </c>
      <c r="AS303" s="4">
        <f t="shared" si="11"/>
        <v>7.9225847733325976</v>
      </c>
      <c r="AT303" s="7" t="s">
        <v>18</v>
      </c>
      <c r="AY303" s="6" t="s">
        <v>108</v>
      </c>
      <c r="AZ303" s="6" t="s">
        <v>118</v>
      </c>
      <c r="BA303" s="6" t="s">
        <v>117</v>
      </c>
      <c r="BB303" s="28" t="s">
        <v>45</v>
      </c>
      <c r="BD303" s="6" t="s">
        <v>50</v>
      </c>
      <c r="BE303" s="6" t="s">
        <v>1</v>
      </c>
      <c r="BF303" s="6" t="s">
        <v>42</v>
      </c>
      <c r="BG303" s="28"/>
      <c r="BU303" s="14"/>
      <c r="CC303" s="523"/>
      <c r="CD303" s="524"/>
      <c r="CF303" s="28" t="s">
        <v>45</v>
      </c>
    </row>
    <row r="304" spans="43:95" x14ac:dyDescent="0.25">
      <c r="AQ304" s="477"/>
      <c r="AR304" s="12" t="str">
        <f t="shared" si="10"/>
        <v>Polimérico</v>
      </c>
      <c r="AS304" s="4">
        <f t="shared" si="11"/>
        <v>7.9225847733325976</v>
      </c>
      <c r="AT304" s="7" t="s">
        <v>18</v>
      </c>
      <c r="AY304" s="6" t="s">
        <v>109</v>
      </c>
      <c r="AZ304" s="105">
        <v>0.03</v>
      </c>
      <c r="BA304" s="6">
        <f>AZ304*$BB$296</f>
        <v>118.83877159998896</v>
      </c>
      <c r="BD304" s="27">
        <f>BE304*(1/1005)</f>
        <v>3.9415844643445754</v>
      </c>
      <c r="BE304" s="4">
        <f>BG296</f>
        <v>3961.2923866662986</v>
      </c>
      <c r="BF304" s="6">
        <f>IF(BG302&gt;0,BE304+BG302/2,BE304)</f>
        <v>3961.2923866662986</v>
      </c>
      <c r="BG304" s="16"/>
      <c r="CC304" s="6" t="s">
        <v>50</v>
      </c>
      <c r="CD304" s="6" t="s">
        <v>1</v>
      </c>
      <c r="CE304" s="167" t="s">
        <v>211</v>
      </c>
      <c r="CF304" s="28"/>
    </row>
    <row r="305" spans="43:91" x14ac:dyDescent="0.25">
      <c r="AQ305" s="477"/>
      <c r="AR305" s="12" t="str">
        <f>AY311</f>
        <v>Cloruro de Metilo</v>
      </c>
      <c r="AS305" s="4">
        <f t="shared" si="11"/>
        <v>7.9225847733325976</v>
      </c>
      <c r="AT305" s="7" t="s">
        <v>18</v>
      </c>
      <c r="AY305" s="4" t="s">
        <v>110</v>
      </c>
      <c r="AZ305" s="105">
        <v>0.63</v>
      </c>
      <c r="BA305" s="6">
        <f t="shared" ref="BA305:BA311" si="12">AZ305*$BB$296</f>
        <v>2495.6142035997682</v>
      </c>
      <c r="BD305" s="14" t="s">
        <v>104</v>
      </c>
      <c r="CC305" s="4">
        <f>SUM(CC306:CC308)</f>
        <v>202.63499999999999</v>
      </c>
      <c r="CD305" s="4">
        <f>SUM(CD306:CD308)</f>
        <v>3647.43</v>
      </c>
      <c r="CE305" s="167">
        <f>CD305/SUM(CD306:CD308)*100</f>
        <v>100</v>
      </c>
      <c r="CF305" s="16"/>
    </row>
    <row r="306" spans="43:91" x14ac:dyDescent="0.25">
      <c r="AY306" s="4" t="s">
        <v>111</v>
      </c>
      <c r="AZ306" s="105">
        <v>0.32500000000000001</v>
      </c>
      <c r="BA306" s="6">
        <f t="shared" si="12"/>
        <v>1287.4200256665472</v>
      </c>
      <c r="BB306" s="21">
        <f>BB296-BB300</f>
        <v>0</v>
      </c>
      <c r="BG306" s="22">
        <f>BG296-BG300</f>
        <v>257.76547317873428</v>
      </c>
      <c r="CB306" s="14" t="s">
        <v>223</v>
      </c>
      <c r="CC306" s="14">
        <f>CJ294</f>
        <v>6.27</v>
      </c>
      <c r="CD306" s="14">
        <f>CK294</f>
        <v>112.85999999999999</v>
      </c>
      <c r="CE306" s="164">
        <f>CD306/$CD$305*100</f>
        <v>3.0942334739803092</v>
      </c>
    </row>
    <row r="307" spans="43:91" x14ac:dyDescent="0.25">
      <c r="AY307" s="4" t="s">
        <v>112</v>
      </c>
      <c r="AZ307" s="105">
        <v>2E-3</v>
      </c>
      <c r="BA307" s="6">
        <f t="shared" si="12"/>
        <v>7.9225847733325976</v>
      </c>
      <c r="CB307" s="14" t="str">
        <f>CB273</f>
        <v>Sensaflex</v>
      </c>
      <c r="CC307" s="14">
        <f t="shared" ref="CC307:CD307" si="13">CC273</f>
        <v>85.214999999999989</v>
      </c>
      <c r="CD307" s="14">
        <f t="shared" si="13"/>
        <v>1533.87</v>
      </c>
      <c r="CE307" s="164">
        <f t="shared" ref="CE307:CE308" si="14">CD307/$CD$305*100</f>
        <v>42.053445850914208</v>
      </c>
      <c r="CF307" s="22">
        <f>CD306-CK294</f>
        <v>0</v>
      </c>
    </row>
    <row r="308" spans="43:91" x14ac:dyDescent="0.25">
      <c r="AY308" s="4" t="s">
        <v>113</v>
      </c>
      <c r="AZ308" s="105">
        <v>2E-3</v>
      </c>
      <c r="BA308" s="6">
        <f t="shared" si="12"/>
        <v>7.9225847733325976</v>
      </c>
      <c r="CB308" s="14" t="str">
        <f>BY156</f>
        <v>Colchonetas</v>
      </c>
      <c r="CC308" s="14">
        <f t="shared" ref="CC308:CD308" si="15">BZ156</f>
        <v>111.15</v>
      </c>
      <c r="CD308" s="14">
        <f t="shared" si="15"/>
        <v>2000.7</v>
      </c>
      <c r="CE308" s="164">
        <f t="shared" si="14"/>
        <v>54.852320675105496</v>
      </c>
    </row>
    <row r="309" spans="43:91" x14ac:dyDescent="0.25">
      <c r="AY309" s="4" t="s">
        <v>114</v>
      </c>
      <c r="AZ309" s="105">
        <v>2E-3</v>
      </c>
      <c r="BA309" s="6">
        <f t="shared" si="12"/>
        <v>7.9225847733325976</v>
      </c>
      <c r="CD309" s="432" t="s">
        <v>177</v>
      </c>
      <c r="CE309" s="433"/>
      <c r="CF309" s="4" t="s">
        <v>19</v>
      </c>
      <c r="CG309" s="6" t="s">
        <v>20</v>
      </c>
      <c r="CH309" s="6" t="s">
        <v>2</v>
      </c>
      <c r="CI309" s="6" t="s">
        <v>21</v>
      </c>
      <c r="CJ309" s="6" t="s">
        <v>2</v>
      </c>
      <c r="CK309" s="11" t="s">
        <v>24</v>
      </c>
    </row>
    <row r="310" spans="43:91" x14ac:dyDescent="0.25">
      <c r="AY310" s="4" t="s">
        <v>115</v>
      </c>
      <c r="AZ310" s="105">
        <v>2E-3</v>
      </c>
      <c r="BA310" s="6">
        <f t="shared" si="12"/>
        <v>7.9225847733325976</v>
      </c>
      <c r="CC310" s="153"/>
      <c r="CD310" s="68"/>
      <c r="CE310" s="68"/>
      <c r="CF310" s="23"/>
      <c r="CG310" s="23"/>
      <c r="CH310" s="23"/>
      <c r="CI310" s="23"/>
      <c r="CJ310" s="23"/>
      <c r="CK310" s="39"/>
    </row>
    <row r="311" spans="43:91" x14ac:dyDescent="0.25">
      <c r="AY311" s="4" t="s">
        <v>116</v>
      </c>
      <c r="AZ311" s="105">
        <v>2E-3</v>
      </c>
      <c r="BA311" s="6">
        <f t="shared" si="12"/>
        <v>7.9225847733325976</v>
      </c>
      <c r="CC311" s="149" t="s">
        <v>128</v>
      </c>
      <c r="CD311" s="150">
        <f>100*190*3</f>
        <v>57000</v>
      </c>
      <c r="CE311" s="68" t="s">
        <v>26</v>
      </c>
      <c r="CF311" s="23">
        <v>9.9999999999999995E-7</v>
      </c>
      <c r="CG311" s="23">
        <f t="shared" ref="CG311:CG318" si="16">CD311*CF311</f>
        <v>5.6999999999999995E-2</v>
      </c>
      <c r="CH311" s="23" t="s">
        <v>15</v>
      </c>
      <c r="CI311" s="23">
        <v>18</v>
      </c>
      <c r="CJ311" s="23" t="s">
        <v>13</v>
      </c>
      <c r="CK311" s="23">
        <f>CG311*CI311</f>
        <v>1.0259999999999998</v>
      </c>
    </row>
    <row r="312" spans="43:91" x14ac:dyDescent="0.25">
      <c r="CC312" s="149" t="s">
        <v>130</v>
      </c>
      <c r="CD312" s="150">
        <f>5782.8</f>
        <v>5782.8</v>
      </c>
      <c r="CE312" s="68" t="s">
        <v>10</v>
      </c>
      <c r="CF312" s="23">
        <f>1/100</f>
        <v>0.01</v>
      </c>
      <c r="CG312" s="23">
        <f t="shared" si="16"/>
        <v>57.828000000000003</v>
      </c>
      <c r="CH312" s="23" t="s">
        <v>16</v>
      </c>
      <c r="CI312" s="23">
        <v>7.7585999999999999E-5</v>
      </c>
      <c r="CJ312" s="23" t="s">
        <v>22</v>
      </c>
      <c r="CK312" s="23">
        <f t="shared" ref="CK312:CK314" si="17">CG312*CI312</f>
        <v>4.4866432080000003E-3</v>
      </c>
    </row>
    <row r="313" spans="43:91" x14ac:dyDescent="0.25">
      <c r="CC313" s="149" t="s">
        <v>164</v>
      </c>
      <c r="CD313" s="150">
        <f>230*230*0.3</f>
        <v>15870</v>
      </c>
      <c r="CE313" s="68" t="s">
        <v>26</v>
      </c>
      <c r="CF313" s="23">
        <v>9.9999999999999995E-7</v>
      </c>
      <c r="CG313" s="23">
        <f t="shared" si="16"/>
        <v>1.5869999999999999E-2</v>
      </c>
      <c r="CH313" s="23" t="s">
        <v>15</v>
      </c>
      <c r="CI313" s="23">
        <v>12</v>
      </c>
      <c r="CJ313" s="23" t="s">
        <v>13</v>
      </c>
      <c r="CK313" s="23">
        <f t="shared" si="17"/>
        <v>0.19044</v>
      </c>
    </row>
    <row r="314" spans="43:91" x14ac:dyDescent="0.25">
      <c r="CC314" s="149" t="s">
        <v>127</v>
      </c>
      <c r="CD314" s="150">
        <v>59400</v>
      </c>
      <c r="CE314" s="68" t="s">
        <v>9</v>
      </c>
      <c r="CF314" s="23">
        <f>0.0001</f>
        <v>1E-4</v>
      </c>
      <c r="CG314" s="23">
        <f t="shared" si="16"/>
        <v>5.94</v>
      </c>
      <c r="CH314" s="23" t="s">
        <v>17</v>
      </c>
      <c r="CI314" s="23">
        <f>20/1000</f>
        <v>0.02</v>
      </c>
      <c r="CJ314" s="23" t="s">
        <v>23</v>
      </c>
      <c r="CK314" s="23">
        <f t="shared" si="17"/>
        <v>0.11880000000000002</v>
      </c>
    </row>
    <row r="315" spans="43:91" x14ac:dyDescent="0.25">
      <c r="CC315" s="149" t="s">
        <v>93</v>
      </c>
      <c r="CD315" s="150">
        <v>100</v>
      </c>
      <c r="CE315" s="68" t="s">
        <v>10</v>
      </c>
      <c r="CF315" s="23">
        <f>1/100</f>
        <v>0.01</v>
      </c>
      <c r="CG315" s="23">
        <f t="shared" si="16"/>
        <v>1</v>
      </c>
      <c r="CH315" s="23" t="s">
        <v>16</v>
      </c>
      <c r="CI315" s="23">
        <f>1/117.5</f>
        <v>8.5106382978723406E-3</v>
      </c>
      <c r="CJ315" s="23" t="s">
        <v>22</v>
      </c>
      <c r="CK315" s="23">
        <f>CG315*CI315</f>
        <v>8.5106382978723406E-3</v>
      </c>
    </row>
    <row r="316" spans="43:91" x14ac:dyDescent="0.25">
      <c r="CC316" s="137" t="s">
        <v>130</v>
      </c>
      <c r="CD316" s="150">
        <f>26177.96</f>
        <v>26177.96</v>
      </c>
      <c r="CE316" s="68" t="s">
        <v>10</v>
      </c>
      <c r="CF316" s="23">
        <f>1/100</f>
        <v>0.01</v>
      </c>
      <c r="CG316" s="23">
        <f t="shared" si="16"/>
        <v>261.77960000000002</v>
      </c>
      <c r="CH316" s="23" t="s">
        <v>16</v>
      </c>
      <c r="CI316" s="23">
        <v>7.7585999999999999E-5</v>
      </c>
      <c r="CJ316" s="23" t="s">
        <v>22</v>
      </c>
      <c r="CK316" s="23">
        <f>CG316*CI316</f>
        <v>2.0310432045599999E-2</v>
      </c>
      <c r="CL316" s="434" t="s">
        <v>198</v>
      </c>
      <c r="CM316" s="435"/>
    </row>
    <row r="317" spans="43:91" ht="18.75" customHeight="1" x14ac:dyDescent="0.25">
      <c r="CC317" s="137" t="s">
        <v>132</v>
      </c>
      <c r="CD317" s="151">
        <f>227*227</f>
        <v>51529</v>
      </c>
      <c r="CE317" s="131" t="s">
        <v>9</v>
      </c>
      <c r="CF317" s="39">
        <f>0.0001</f>
        <v>1E-4</v>
      </c>
      <c r="CG317" s="39">
        <f t="shared" si="16"/>
        <v>5.1528999999999998</v>
      </c>
      <c r="CH317" s="39" t="s">
        <v>17</v>
      </c>
      <c r="CI317" s="39">
        <v>0.1</v>
      </c>
      <c r="CJ317" s="39" t="s">
        <v>23</v>
      </c>
      <c r="CK317" s="39">
        <f>CG317*CI317</f>
        <v>0.51529000000000003</v>
      </c>
      <c r="CL317" s="4">
        <f>CK311+CK312+CK313+CK314+CK315+CK316+CK317+CK318+CK319+CK320</f>
        <v>21.351838932957872</v>
      </c>
      <c r="CM317" s="4" t="s">
        <v>18</v>
      </c>
    </row>
    <row r="318" spans="43:91" x14ac:dyDescent="0.25">
      <c r="CC318" s="149" t="s">
        <v>165</v>
      </c>
      <c r="CD318" s="152">
        <f>0.582*0.582*0.3</f>
        <v>0.10161719999999999</v>
      </c>
      <c r="CE318" s="127" t="s">
        <v>26</v>
      </c>
      <c r="CF318" s="71">
        <v>9.9999999999999995E-7</v>
      </c>
      <c r="CG318" s="71">
        <f t="shared" si="16"/>
        <v>1.0161719999999999E-7</v>
      </c>
      <c r="CH318" s="71" t="s">
        <v>15</v>
      </c>
      <c r="CI318" s="71">
        <v>12</v>
      </c>
      <c r="CJ318" s="71" t="s">
        <v>13</v>
      </c>
      <c r="CK318" s="71">
        <f>CG318*CI318</f>
        <v>1.2194063999999998E-6</v>
      </c>
    </row>
    <row r="319" spans="43:91" x14ac:dyDescent="0.25">
      <c r="CC319" s="137" t="s">
        <v>174</v>
      </c>
      <c r="CD319" s="155">
        <v>1</v>
      </c>
      <c r="CE319" s="156" t="s">
        <v>2</v>
      </c>
      <c r="CF319" s="67"/>
      <c r="CG319" s="67"/>
      <c r="CH319" s="139" t="s">
        <v>18</v>
      </c>
      <c r="CI319" s="67"/>
      <c r="CJ319" s="139" t="s">
        <v>18</v>
      </c>
      <c r="CK319" s="71">
        <f>19.44</f>
        <v>19.440000000000001</v>
      </c>
    </row>
    <row r="320" spans="43:91" x14ac:dyDescent="0.25">
      <c r="CC320" s="137" t="s">
        <v>175</v>
      </c>
      <c r="CD320" s="152">
        <f>7*4</f>
        <v>28</v>
      </c>
      <c r="CE320" s="138" t="s">
        <v>5</v>
      </c>
      <c r="CF320" s="71"/>
      <c r="CG320" s="71"/>
      <c r="CH320" s="71"/>
      <c r="CI320" s="71">
        <f>1/1000</f>
        <v>1E-3</v>
      </c>
      <c r="CJ320" s="139" t="s">
        <v>18</v>
      </c>
      <c r="CK320" s="139">
        <f>CD320*CI320</f>
        <v>2.8000000000000001E-2</v>
      </c>
    </row>
    <row r="352" spans="79:97" x14ac:dyDescent="0.25">
      <c r="CA352" s="56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8"/>
    </row>
    <row r="353" spans="79:97" x14ac:dyDescent="0.25">
      <c r="CA353" s="59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60"/>
    </row>
    <row r="354" spans="79:97" x14ac:dyDescent="0.25">
      <c r="CA354" s="59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60"/>
    </row>
    <row r="355" spans="79:97" x14ac:dyDescent="0.25">
      <c r="CA355" s="59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60"/>
    </row>
    <row r="356" spans="79:97" x14ac:dyDescent="0.25">
      <c r="CA356" s="59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60"/>
    </row>
    <row r="357" spans="79:97" x14ac:dyDescent="0.25">
      <c r="CA357" s="59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60"/>
    </row>
    <row r="358" spans="79:97" x14ac:dyDescent="0.25">
      <c r="CA358" s="59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60"/>
    </row>
    <row r="359" spans="79:97" x14ac:dyDescent="0.25">
      <c r="CA359" s="59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60"/>
    </row>
    <row r="360" spans="79:97" x14ac:dyDescent="0.25">
      <c r="CA360" s="59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60"/>
    </row>
    <row r="361" spans="79:97" x14ac:dyDescent="0.25">
      <c r="CA361" s="59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60"/>
    </row>
    <row r="362" spans="79:97" x14ac:dyDescent="0.25">
      <c r="CA362" s="59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60"/>
    </row>
    <row r="363" spans="79:97" x14ac:dyDescent="0.25">
      <c r="CA363" s="59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60"/>
    </row>
    <row r="364" spans="79:97" x14ac:dyDescent="0.25">
      <c r="CA364" s="59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>
        <f>CL363+CL369+CL373+CM377+CM381+CL357+CO357</f>
        <v>636.12</v>
      </c>
      <c r="CO364" s="10"/>
      <c r="CP364" s="416" t="s">
        <v>52</v>
      </c>
      <c r="CQ364" s="416"/>
      <c r="CR364" s="10"/>
      <c r="CS364" s="60"/>
    </row>
    <row r="365" spans="79:97" x14ac:dyDescent="0.25">
      <c r="CA365" s="59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47" t="s">
        <v>34</v>
      </c>
      <c r="CO365" s="10"/>
      <c r="CP365" s="436" t="str">
        <f>CK367</f>
        <v xml:space="preserve">Lámina de espuma </v>
      </c>
      <c r="CQ365" s="417"/>
      <c r="CR365" s="127" t="s">
        <v>181</v>
      </c>
      <c r="CS365" s="60"/>
    </row>
    <row r="366" spans="79:97" x14ac:dyDescent="0.25">
      <c r="CA366" s="59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9" t="s">
        <v>160</v>
      </c>
      <c r="CO366" s="10"/>
      <c r="CP366" s="23">
        <f>'Flujos Planta Final'!CN425</f>
        <v>124</v>
      </c>
      <c r="CQ366" s="4" t="s">
        <v>27</v>
      </c>
      <c r="CR366" s="10"/>
      <c r="CS366" s="60"/>
    </row>
    <row r="367" spans="79:97" x14ac:dyDescent="0.25">
      <c r="CA367" s="59"/>
      <c r="CB367" s="10"/>
      <c r="CC367" s="10"/>
      <c r="CD367" s="10"/>
      <c r="CE367" s="10"/>
      <c r="CF367" s="10"/>
      <c r="CG367" s="10"/>
      <c r="CH367" s="10"/>
      <c r="CI367" s="10"/>
      <c r="CJ367" s="10"/>
      <c r="CK367" s="410" t="s">
        <v>134</v>
      </c>
      <c r="CL367" s="410"/>
      <c r="CM367" s="10"/>
      <c r="CN367" s="48" t="s">
        <v>35</v>
      </c>
      <c r="CO367" s="10"/>
      <c r="CP367" s="4">
        <f>CP366*CL386</f>
        <v>636.12</v>
      </c>
      <c r="CQ367" s="4" t="s">
        <v>28</v>
      </c>
      <c r="CR367" s="10"/>
      <c r="CS367" s="60"/>
    </row>
    <row r="368" spans="79:97" x14ac:dyDescent="0.25">
      <c r="CA368" s="59"/>
      <c r="CB368" s="10"/>
      <c r="CC368" s="10"/>
      <c r="CD368" s="10"/>
      <c r="CE368" s="10"/>
      <c r="CF368" s="10"/>
      <c r="CG368" s="10"/>
      <c r="CH368" s="10"/>
      <c r="CI368" s="10"/>
      <c r="CJ368" s="10"/>
      <c r="CK368" s="6" t="s">
        <v>50</v>
      </c>
      <c r="CL368" s="6" t="s">
        <v>1</v>
      </c>
      <c r="CM368" s="10"/>
      <c r="CN368" s="10">
        <f>CP367</f>
        <v>636.12</v>
      </c>
      <c r="CO368" s="10"/>
      <c r="CP368" s="10"/>
      <c r="CQ368" s="10"/>
      <c r="CR368" s="10"/>
      <c r="CS368" s="60"/>
    </row>
    <row r="369" spans="79:97" x14ac:dyDescent="0.25">
      <c r="CA369" s="59"/>
      <c r="CB369" s="10"/>
      <c r="CC369" s="10"/>
      <c r="CD369" s="10"/>
      <c r="CE369" s="10"/>
      <c r="CF369" s="10"/>
      <c r="CG369" s="10"/>
      <c r="CH369" s="10"/>
      <c r="CI369" s="10"/>
      <c r="CJ369" s="10"/>
      <c r="CK369" s="6">
        <f>CP366*CH386</f>
        <v>35.339999999999996</v>
      </c>
      <c r="CL369" s="4">
        <f>CP366*(CL386)</f>
        <v>636.12</v>
      </c>
      <c r="CM369" s="10"/>
      <c r="CN369" s="50" t="s">
        <v>36</v>
      </c>
      <c r="CO369" s="10"/>
      <c r="CP369" s="10"/>
      <c r="CQ369" s="10"/>
      <c r="CR369" s="10"/>
      <c r="CS369" s="60"/>
    </row>
    <row r="370" spans="79:97" x14ac:dyDescent="0.25">
      <c r="CA370" s="59"/>
      <c r="CB370" s="10"/>
      <c r="CC370" s="419" t="s">
        <v>51</v>
      </c>
      <c r="CD370" s="420"/>
      <c r="CE370" s="10"/>
      <c r="CF370" s="10"/>
      <c r="CG370" s="10"/>
      <c r="CH370" s="10"/>
      <c r="CI370" s="10"/>
      <c r="CJ370" s="10"/>
      <c r="CK370" s="10"/>
      <c r="CL370" s="10"/>
      <c r="CM370" s="10"/>
      <c r="CN370" s="9">
        <f>CN364-CN368</f>
        <v>0</v>
      </c>
      <c r="CO370" s="10"/>
      <c r="CP370" s="10"/>
      <c r="CQ370" s="10"/>
      <c r="CR370" s="10"/>
      <c r="CS370" s="60"/>
    </row>
    <row r="371" spans="79:97" x14ac:dyDescent="0.25">
      <c r="CA371" s="59"/>
      <c r="CB371" s="163" t="s">
        <v>185</v>
      </c>
      <c r="CC371" s="142" t="str">
        <f>CK367</f>
        <v xml:space="preserve">Lámina de espuma </v>
      </c>
      <c r="CD371" s="143"/>
      <c r="CE371" s="10"/>
      <c r="CF371" s="10"/>
      <c r="CG371" s="10"/>
      <c r="CH371" s="10"/>
      <c r="CI371" s="10"/>
      <c r="CJ371" s="10"/>
      <c r="CK371" s="10"/>
      <c r="CL371" s="10"/>
      <c r="CM371" s="10"/>
      <c r="CN371" s="28" t="s">
        <v>45</v>
      </c>
      <c r="CO371" s="10"/>
      <c r="CP371" s="10"/>
      <c r="CQ371" s="10"/>
      <c r="CR371" s="10"/>
      <c r="CS371" s="60"/>
    </row>
    <row r="372" spans="79:97" x14ac:dyDescent="0.25">
      <c r="CA372" s="59"/>
      <c r="CB372" s="10"/>
      <c r="CC372" s="115">
        <f>CK369</f>
        <v>35.339999999999996</v>
      </c>
      <c r="CD372" s="141" t="str">
        <f>CK368</f>
        <v>en m^3</v>
      </c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60"/>
    </row>
    <row r="373" spans="79:97" x14ac:dyDescent="0.25">
      <c r="CA373" s="59"/>
      <c r="CB373" s="10"/>
      <c r="CC373" s="115">
        <f>CL369</f>
        <v>636.12</v>
      </c>
      <c r="CD373" s="141" t="str">
        <f>CL368</f>
        <v>en kg</v>
      </c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60"/>
    </row>
    <row r="374" spans="79:97" x14ac:dyDescent="0.25">
      <c r="CA374" s="59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60"/>
    </row>
    <row r="375" spans="79:97" x14ac:dyDescent="0.25">
      <c r="CA375" s="59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60"/>
    </row>
    <row r="376" spans="79:97" x14ac:dyDescent="0.25">
      <c r="CA376" s="59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 t="s">
        <v>91</v>
      </c>
      <c r="CR376" s="10"/>
      <c r="CS376" s="60"/>
    </row>
    <row r="377" spans="79:97" x14ac:dyDescent="0.25">
      <c r="CA377" s="59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60"/>
    </row>
    <row r="378" spans="79:97" x14ac:dyDescent="0.25">
      <c r="CA378" s="59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60"/>
    </row>
    <row r="379" spans="79:97" x14ac:dyDescent="0.25">
      <c r="CA379" s="59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60"/>
    </row>
    <row r="380" spans="79:97" x14ac:dyDescent="0.25">
      <c r="CA380" s="59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60"/>
    </row>
    <row r="381" spans="79:97" x14ac:dyDescent="0.25">
      <c r="CA381" s="59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60"/>
    </row>
    <row r="382" spans="79:97" x14ac:dyDescent="0.25">
      <c r="CA382" s="59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60"/>
    </row>
    <row r="383" spans="79:97" x14ac:dyDescent="0.25">
      <c r="CA383" s="59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60"/>
    </row>
    <row r="384" spans="79:97" x14ac:dyDescent="0.25">
      <c r="CA384" s="59"/>
      <c r="CB384" s="10"/>
      <c r="CC384" s="10"/>
      <c r="CD384" s="10"/>
      <c r="CE384" s="432" t="s">
        <v>187</v>
      </c>
      <c r="CF384" s="433"/>
      <c r="CG384" s="4" t="s">
        <v>19</v>
      </c>
      <c r="CH384" s="6" t="s">
        <v>20</v>
      </c>
      <c r="CI384" s="6" t="s">
        <v>2</v>
      </c>
      <c r="CJ384" s="6" t="s">
        <v>21</v>
      </c>
      <c r="CK384" s="6" t="s">
        <v>2</v>
      </c>
      <c r="CL384" s="11" t="s">
        <v>24</v>
      </c>
      <c r="CM384" s="10"/>
      <c r="CN384" s="10"/>
      <c r="CO384" s="10"/>
      <c r="CP384" s="10"/>
      <c r="CQ384" s="10"/>
      <c r="CR384" s="10"/>
      <c r="CS384" s="60"/>
    </row>
    <row r="385" spans="79:97" x14ac:dyDescent="0.25">
      <c r="CA385" s="59"/>
      <c r="CB385" s="10"/>
      <c r="CC385" s="10"/>
      <c r="CD385" s="6"/>
      <c r="CE385" s="68"/>
      <c r="CF385" s="68"/>
      <c r="CG385" s="23"/>
      <c r="CH385" s="23"/>
      <c r="CI385" s="23"/>
      <c r="CJ385" s="23"/>
      <c r="CK385" s="23"/>
      <c r="CL385" s="39"/>
      <c r="CM385" s="10"/>
      <c r="CN385" s="10"/>
      <c r="CO385" s="10"/>
      <c r="CP385" s="10"/>
      <c r="CQ385" s="10"/>
      <c r="CR385" s="10"/>
      <c r="CS385" s="60"/>
    </row>
    <row r="386" spans="79:97" x14ac:dyDescent="0.25">
      <c r="CA386" s="59"/>
      <c r="CB386" s="10"/>
      <c r="CC386" s="10"/>
      <c r="CD386" s="27" t="s">
        <v>128</v>
      </c>
      <c r="CE386" s="68">
        <f>100*190*15</f>
        <v>285000</v>
      </c>
      <c r="CF386" s="68" t="s">
        <v>26</v>
      </c>
      <c r="CG386" s="23">
        <v>9.9999999999999995E-7</v>
      </c>
      <c r="CH386" s="23">
        <f t="shared" ref="CH386:CH393" si="18">CE386*CG386</f>
        <v>0.28499999999999998</v>
      </c>
      <c r="CI386" s="23" t="s">
        <v>15</v>
      </c>
      <c r="CJ386" s="23">
        <v>18</v>
      </c>
      <c r="CK386" s="23" t="s">
        <v>13</v>
      </c>
      <c r="CL386" s="23">
        <f>CH386*CJ386</f>
        <v>5.13</v>
      </c>
      <c r="CM386" s="10"/>
      <c r="CN386" s="10"/>
      <c r="CO386" s="10"/>
      <c r="CP386" s="10"/>
      <c r="CQ386" s="10"/>
      <c r="CR386" s="10"/>
      <c r="CS386" s="60"/>
    </row>
    <row r="387" spans="79:97" x14ac:dyDescent="0.25">
      <c r="CA387" s="59"/>
      <c r="CB387" s="10"/>
      <c r="CC387" s="10"/>
      <c r="CD387" s="27" t="s">
        <v>130</v>
      </c>
      <c r="CE387" s="68">
        <f>5621.76</f>
        <v>5621.76</v>
      </c>
      <c r="CF387" s="68" t="s">
        <v>10</v>
      </c>
      <c r="CG387" s="23">
        <f>1/100</f>
        <v>0.01</v>
      </c>
      <c r="CH387" s="23">
        <f t="shared" si="18"/>
        <v>56.217600000000004</v>
      </c>
      <c r="CI387" s="23" t="s">
        <v>16</v>
      </c>
      <c r="CJ387" s="23">
        <v>7.7585999999999999E-5</v>
      </c>
      <c r="CK387" s="23" t="s">
        <v>22</v>
      </c>
      <c r="CL387" s="23">
        <f t="shared" ref="CL387:CL389" si="19">CH387*CJ387</f>
        <v>4.3616987136000001E-3</v>
      </c>
      <c r="CM387" s="10"/>
      <c r="CN387" s="10"/>
      <c r="CO387" s="10"/>
      <c r="CP387" s="10"/>
      <c r="CQ387" s="10"/>
      <c r="CR387" s="10"/>
      <c r="CS387" s="60"/>
    </row>
    <row r="388" spans="79:97" x14ac:dyDescent="0.25">
      <c r="CA388" s="59"/>
      <c r="CB388" s="10"/>
      <c r="CC388" s="10"/>
      <c r="CD388" s="27" t="s">
        <v>164</v>
      </c>
      <c r="CE388" s="68">
        <f>210*210*0.3</f>
        <v>13230</v>
      </c>
      <c r="CF388" s="68" t="s">
        <v>26</v>
      </c>
      <c r="CG388" s="23">
        <v>9.9999999999999995E-7</v>
      </c>
      <c r="CH388" s="23">
        <f t="shared" si="18"/>
        <v>1.3229999999999999E-2</v>
      </c>
      <c r="CI388" s="23" t="s">
        <v>15</v>
      </c>
      <c r="CJ388" s="23">
        <v>12</v>
      </c>
      <c r="CK388" s="23" t="s">
        <v>13</v>
      </c>
      <c r="CL388" s="23">
        <f t="shared" si="19"/>
        <v>0.15875999999999998</v>
      </c>
      <c r="CM388" s="10"/>
      <c r="CN388" s="10"/>
      <c r="CO388" s="10"/>
      <c r="CP388" s="10"/>
      <c r="CQ388" s="10"/>
      <c r="CR388" s="10"/>
      <c r="CS388" s="60"/>
    </row>
    <row r="389" spans="79:97" x14ac:dyDescent="0.25">
      <c r="CA389" s="59"/>
      <c r="CB389" s="10"/>
      <c r="CC389" s="10"/>
      <c r="CD389" s="27" t="s">
        <v>127</v>
      </c>
      <c r="CE389" s="68">
        <f>56000</f>
        <v>56000</v>
      </c>
      <c r="CF389" s="68" t="s">
        <v>9</v>
      </c>
      <c r="CG389" s="23">
        <f>0.0001</f>
        <v>1E-4</v>
      </c>
      <c r="CH389" s="23">
        <f t="shared" si="18"/>
        <v>5.6000000000000005</v>
      </c>
      <c r="CI389" s="23" t="s">
        <v>17</v>
      </c>
      <c r="CJ389" s="23">
        <f>20/1000</f>
        <v>0.02</v>
      </c>
      <c r="CK389" s="23" t="s">
        <v>23</v>
      </c>
      <c r="CL389" s="23">
        <f t="shared" si="19"/>
        <v>0.11200000000000002</v>
      </c>
      <c r="CM389" s="10"/>
      <c r="CN389" s="10"/>
      <c r="CO389" s="10"/>
      <c r="CP389" s="10"/>
      <c r="CQ389" s="10"/>
      <c r="CR389" s="10"/>
      <c r="CS389" s="60"/>
    </row>
    <row r="390" spans="79:97" x14ac:dyDescent="0.25">
      <c r="CA390" s="59"/>
      <c r="CB390" s="10"/>
      <c r="CC390" s="10"/>
      <c r="CD390" s="27" t="s">
        <v>93</v>
      </c>
      <c r="CE390" s="68">
        <v>100</v>
      </c>
      <c r="CF390" s="68" t="s">
        <v>10</v>
      </c>
      <c r="CG390" s="23">
        <f>1/100</f>
        <v>0.01</v>
      </c>
      <c r="CH390" s="23">
        <f t="shared" si="18"/>
        <v>1</v>
      </c>
      <c r="CI390" s="23" t="s">
        <v>16</v>
      </c>
      <c r="CJ390" s="23">
        <f>1/117.5</f>
        <v>8.5106382978723406E-3</v>
      </c>
      <c r="CK390" s="23" t="s">
        <v>22</v>
      </c>
      <c r="CL390" s="23">
        <f>CH390*CJ390</f>
        <v>8.5106382978723406E-3</v>
      </c>
      <c r="CM390" s="10"/>
      <c r="CN390" s="10"/>
      <c r="CO390" s="10"/>
      <c r="CP390" s="10"/>
      <c r="CQ390" s="10"/>
      <c r="CR390" s="10"/>
      <c r="CS390" s="60"/>
    </row>
    <row r="391" spans="79:97" x14ac:dyDescent="0.25">
      <c r="CA391" s="59"/>
      <c r="CB391" s="10"/>
      <c r="CC391" s="10"/>
      <c r="CD391" s="132" t="s">
        <v>130</v>
      </c>
      <c r="CE391" s="68">
        <f>2400.96</f>
        <v>2400.96</v>
      </c>
      <c r="CF391" s="68" t="s">
        <v>10</v>
      </c>
      <c r="CG391" s="23">
        <f>1/100</f>
        <v>0.01</v>
      </c>
      <c r="CH391" s="23">
        <f t="shared" si="18"/>
        <v>24.009600000000002</v>
      </c>
      <c r="CI391" s="23" t="s">
        <v>16</v>
      </c>
      <c r="CJ391" s="23">
        <v>7.7585999999999999E-5</v>
      </c>
      <c r="CK391" s="23" t="s">
        <v>22</v>
      </c>
      <c r="CL391" s="23">
        <f>CH391*CJ391</f>
        <v>1.8628088256000001E-3</v>
      </c>
      <c r="CM391" s="434" t="s">
        <v>197</v>
      </c>
      <c r="CN391" s="435"/>
      <c r="CO391" s="10"/>
      <c r="CP391" s="10"/>
      <c r="CQ391" s="10"/>
      <c r="CR391" s="10"/>
      <c r="CS391" s="60"/>
    </row>
    <row r="392" spans="79:97" x14ac:dyDescent="0.25">
      <c r="CA392" s="59"/>
      <c r="CB392" s="10"/>
      <c r="CC392" s="10"/>
      <c r="CD392" s="132" t="s">
        <v>132</v>
      </c>
      <c r="CE392" s="131">
        <f>227*227</f>
        <v>51529</v>
      </c>
      <c r="CF392" s="131" t="s">
        <v>9</v>
      </c>
      <c r="CG392" s="39">
        <f>0.0001</f>
        <v>1E-4</v>
      </c>
      <c r="CH392" s="39">
        <f t="shared" si="18"/>
        <v>5.1528999999999998</v>
      </c>
      <c r="CI392" s="39" t="s">
        <v>17</v>
      </c>
      <c r="CJ392" s="39">
        <v>0.1</v>
      </c>
      <c r="CK392" s="39" t="s">
        <v>23</v>
      </c>
      <c r="CL392" s="39">
        <f>CH392*CJ392</f>
        <v>0.51529000000000003</v>
      </c>
      <c r="CM392" s="4">
        <f>CL386+CL387+CL388+CL389+CL390+CL391+CL392+CL393+CL394+CL395+CL397+CL396</f>
        <v>11.285437300647073</v>
      </c>
      <c r="CN392" s="4" t="s">
        <v>18</v>
      </c>
      <c r="CO392" s="10"/>
      <c r="CP392" s="10"/>
      <c r="CQ392" s="10"/>
      <c r="CR392" s="10"/>
      <c r="CS392" s="60"/>
    </row>
    <row r="393" spans="79:97" x14ac:dyDescent="0.25">
      <c r="CA393" s="59"/>
      <c r="CB393" s="10"/>
      <c r="CC393" s="10"/>
      <c r="CD393" s="108" t="s">
        <v>165</v>
      </c>
      <c r="CE393" s="71">
        <f>0.515*0.515*0.3</f>
        <v>7.9567499999999999E-2</v>
      </c>
      <c r="CF393" s="127" t="s">
        <v>26</v>
      </c>
      <c r="CG393" s="71">
        <v>9.9999999999999995E-7</v>
      </c>
      <c r="CH393" s="71">
        <f t="shared" si="18"/>
        <v>7.9567500000000001E-8</v>
      </c>
      <c r="CI393" s="71" t="s">
        <v>15</v>
      </c>
      <c r="CJ393" s="71">
        <v>12</v>
      </c>
      <c r="CK393" s="71" t="s">
        <v>13</v>
      </c>
      <c r="CL393" s="71">
        <f>CH393*CJ393</f>
        <v>9.5481000000000001E-7</v>
      </c>
      <c r="CM393" s="10"/>
      <c r="CN393" s="10"/>
      <c r="CO393" s="10"/>
      <c r="CP393" s="10"/>
      <c r="CQ393" s="10"/>
      <c r="CR393" s="10"/>
      <c r="CS393" s="60"/>
    </row>
    <row r="394" spans="79:97" x14ac:dyDescent="0.25">
      <c r="CA394" s="59"/>
      <c r="CB394" s="10"/>
      <c r="CC394" s="10"/>
      <c r="CD394" s="134" t="s">
        <v>166</v>
      </c>
      <c r="CE394" s="135"/>
      <c r="CF394" s="135"/>
      <c r="CG394" s="135"/>
      <c r="CH394" s="136">
        <v>1.23</v>
      </c>
      <c r="CI394" s="136" t="s">
        <v>17</v>
      </c>
      <c r="CJ394" s="136">
        <v>0.1</v>
      </c>
      <c r="CK394" s="136" t="s">
        <v>22</v>
      </c>
      <c r="CL394" s="136">
        <f>CH394*CJ394</f>
        <v>0.123</v>
      </c>
      <c r="CM394" s="10"/>
      <c r="CN394" s="10"/>
      <c r="CO394" s="10"/>
      <c r="CP394" s="10"/>
      <c r="CQ394" s="10"/>
      <c r="CR394" s="10"/>
      <c r="CS394" s="60"/>
    </row>
    <row r="395" spans="79:97" x14ac:dyDescent="0.25">
      <c r="CA395" s="59"/>
      <c r="CB395" s="10"/>
      <c r="CC395" s="10"/>
      <c r="CD395" s="137" t="s">
        <v>167</v>
      </c>
      <c r="CE395" s="71">
        <f>6*4</f>
        <v>24</v>
      </c>
      <c r="CF395" s="138" t="s">
        <v>5</v>
      </c>
      <c r="CG395" s="71"/>
      <c r="CH395" s="71"/>
      <c r="CI395" s="71"/>
      <c r="CJ395" s="71">
        <f>1/1000</f>
        <v>1E-3</v>
      </c>
      <c r="CK395" s="139" t="s">
        <v>18</v>
      </c>
      <c r="CL395" s="139">
        <f>CE395*CJ395</f>
        <v>2.4E-2</v>
      </c>
      <c r="CM395" s="10"/>
      <c r="CN395" s="10"/>
      <c r="CO395" s="10"/>
      <c r="CP395" s="10"/>
      <c r="CQ395" s="10"/>
      <c r="CR395" s="10"/>
      <c r="CS395" s="60"/>
    </row>
    <row r="396" spans="79:97" x14ac:dyDescent="0.25">
      <c r="CA396" s="59"/>
      <c r="CB396" s="10"/>
      <c r="CC396" s="10"/>
      <c r="CD396" s="137" t="s">
        <v>182</v>
      </c>
      <c r="CE396" s="48">
        <f>190*100*3</f>
        <v>57000</v>
      </c>
      <c r="CF396" s="68" t="s">
        <v>26</v>
      </c>
      <c r="CG396" s="23">
        <v>9.9999999999999995E-7</v>
      </c>
      <c r="CH396" s="23">
        <f>CE396*CG396</f>
        <v>5.6999999999999995E-2</v>
      </c>
      <c r="CI396" s="23" t="s">
        <v>15</v>
      </c>
      <c r="CJ396" s="23">
        <v>80</v>
      </c>
      <c r="CK396" s="133" t="s">
        <v>13</v>
      </c>
      <c r="CL396" s="133">
        <f>CJ396*CH396</f>
        <v>4.5599999999999996</v>
      </c>
      <c r="CM396" s="10"/>
      <c r="CN396" s="10"/>
      <c r="CO396" s="10"/>
      <c r="CP396" s="10"/>
      <c r="CQ396" s="10"/>
      <c r="CR396" s="10"/>
      <c r="CS396" s="60"/>
    </row>
    <row r="397" spans="79:97" x14ac:dyDescent="0.25">
      <c r="CA397" s="59"/>
      <c r="CB397" s="10"/>
      <c r="CC397" s="10"/>
      <c r="CD397" s="160" t="s">
        <v>12</v>
      </c>
      <c r="CE397" s="68">
        <v>580</v>
      </c>
      <c r="CF397" s="68" t="s">
        <v>14</v>
      </c>
      <c r="CG397" s="23">
        <f>1/1000000</f>
        <v>9.9999999999999995E-7</v>
      </c>
      <c r="CH397" s="23">
        <f t="shared" ref="CH397" si="20">CE397*CG397</f>
        <v>5.8E-4</v>
      </c>
      <c r="CI397" s="23" t="s">
        <v>15</v>
      </c>
      <c r="CJ397" s="23">
        <v>1116.6400000000001</v>
      </c>
      <c r="CK397" s="23" t="s">
        <v>13</v>
      </c>
      <c r="CL397" s="23">
        <f t="shared" ref="CL397" si="21">CJ397*CH397</f>
        <v>0.64765120000000009</v>
      </c>
      <c r="CM397" s="10"/>
      <c r="CN397" s="10"/>
      <c r="CO397" s="10"/>
      <c r="CP397" s="10"/>
      <c r="CQ397" s="10"/>
      <c r="CR397" s="10"/>
      <c r="CS397" s="60"/>
    </row>
    <row r="398" spans="79:97" x14ac:dyDescent="0.25">
      <c r="CA398" s="59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60"/>
    </row>
    <row r="399" spans="79:97" x14ac:dyDescent="0.25">
      <c r="CA399" s="59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60"/>
    </row>
    <row r="400" spans="79:97" x14ac:dyDescent="0.25">
      <c r="CA400" s="59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60"/>
    </row>
    <row r="401" spans="79:97" x14ac:dyDescent="0.25">
      <c r="CA401" s="62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4"/>
    </row>
    <row r="404" spans="79:97" x14ac:dyDescent="0.25">
      <c r="CA404" s="59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60"/>
    </row>
    <row r="405" spans="79:97" x14ac:dyDescent="0.25">
      <c r="CA405" s="59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60"/>
    </row>
    <row r="406" spans="79:97" x14ac:dyDescent="0.25">
      <c r="CA406" s="59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60"/>
    </row>
    <row r="407" spans="79:97" x14ac:dyDescent="0.25">
      <c r="CA407" s="59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60"/>
    </row>
    <row r="408" spans="79:97" x14ac:dyDescent="0.25">
      <c r="CA408" s="59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60"/>
    </row>
    <row r="409" spans="79:97" x14ac:dyDescent="0.25">
      <c r="CA409" s="59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60"/>
    </row>
    <row r="410" spans="79:97" x14ac:dyDescent="0.25">
      <c r="CA410" s="59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60"/>
    </row>
    <row r="411" spans="79:97" x14ac:dyDescent="0.25">
      <c r="CA411" s="59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60"/>
    </row>
    <row r="412" spans="79:97" x14ac:dyDescent="0.25">
      <c r="CA412" s="59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60"/>
    </row>
    <row r="413" spans="79:97" x14ac:dyDescent="0.25">
      <c r="CA413" s="59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60"/>
    </row>
    <row r="414" spans="79:97" x14ac:dyDescent="0.25">
      <c r="CA414" s="59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60"/>
    </row>
    <row r="415" spans="79:97" x14ac:dyDescent="0.25">
      <c r="CA415" s="59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>
        <f>CL414+CL420+CL424+CM428+CM432+CL408+CO408</f>
        <v>579.68999999999994</v>
      </c>
      <c r="CO415" s="10"/>
      <c r="CP415" s="416" t="s">
        <v>52</v>
      </c>
      <c r="CQ415" s="416"/>
      <c r="CR415" s="10"/>
      <c r="CS415" s="60"/>
    </row>
    <row r="416" spans="79:97" x14ac:dyDescent="0.25">
      <c r="CA416" s="59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47" t="s">
        <v>34</v>
      </c>
      <c r="CO416" s="10"/>
      <c r="CP416" s="436" t="str">
        <f>CK418</f>
        <v xml:space="preserve">Lámina de espuma </v>
      </c>
      <c r="CQ416" s="417"/>
      <c r="CR416" s="127" t="s">
        <v>181</v>
      </c>
      <c r="CS416" s="60"/>
    </row>
    <row r="417" spans="79:97" x14ac:dyDescent="0.25">
      <c r="CA417" s="59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9" t="s">
        <v>160</v>
      </c>
      <c r="CO417" s="10"/>
      <c r="CP417" s="23">
        <f>'Flujos Planta Final'!CN501</f>
        <v>113</v>
      </c>
      <c r="CQ417" s="4" t="s">
        <v>27</v>
      </c>
      <c r="CR417" s="10"/>
      <c r="CS417" s="60"/>
    </row>
    <row r="418" spans="79:97" x14ac:dyDescent="0.25">
      <c r="CA418" s="59"/>
      <c r="CB418" s="10"/>
      <c r="CC418" s="10"/>
      <c r="CD418" s="10"/>
      <c r="CE418" s="10"/>
      <c r="CF418" s="10"/>
      <c r="CG418" s="10"/>
      <c r="CH418" s="10"/>
      <c r="CI418" s="10"/>
      <c r="CJ418" s="10"/>
      <c r="CK418" s="410" t="s">
        <v>134</v>
      </c>
      <c r="CL418" s="410"/>
      <c r="CM418" s="10"/>
      <c r="CN418" s="48" t="s">
        <v>35</v>
      </c>
      <c r="CO418" s="10"/>
      <c r="CP418" s="4">
        <f>CP417*CL437</f>
        <v>579.68999999999994</v>
      </c>
      <c r="CQ418" s="4" t="s">
        <v>28</v>
      </c>
      <c r="CR418" s="10"/>
      <c r="CS418" s="60"/>
    </row>
    <row r="419" spans="79:97" x14ac:dyDescent="0.25">
      <c r="CA419" s="59"/>
      <c r="CB419" s="10"/>
      <c r="CC419" s="10"/>
      <c r="CD419" s="10"/>
      <c r="CE419" s="10"/>
      <c r="CF419" s="10"/>
      <c r="CG419" s="10"/>
      <c r="CH419" s="10"/>
      <c r="CI419" s="10"/>
      <c r="CJ419" s="10"/>
      <c r="CK419" s="6" t="s">
        <v>50</v>
      </c>
      <c r="CL419" s="6" t="s">
        <v>1</v>
      </c>
      <c r="CM419" s="10"/>
      <c r="CN419" s="10">
        <f>CP418</f>
        <v>579.68999999999994</v>
      </c>
      <c r="CO419" s="10"/>
      <c r="CP419" s="10"/>
      <c r="CQ419" s="10"/>
      <c r="CR419" s="10"/>
      <c r="CS419" s="60"/>
    </row>
    <row r="420" spans="79:97" x14ac:dyDescent="0.25">
      <c r="CA420" s="59"/>
      <c r="CB420" s="10"/>
      <c r="CC420" s="10"/>
      <c r="CD420" s="10"/>
      <c r="CE420" s="10"/>
      <c r="CF420" s="10"/>
      <c r="CG420" s="10"/>
      <c r="CH420" s="10"/>
      <c r="CI420" s="10"/>
      <c r="CJ420" s="10"/>
      <c r="CK420" s="6">
        <f>CP417*CH437</f>
        <v>32.204999999999998</v>
      </c>
      <c r="CL420" s="4">
        <f>CP417*(CL437)</f>
        <v>579.68999999999994</v>
      </c>
      <c r="CM420" s="10"/>
      <c r="CN420" s="50" t="s">
        <v>36</v>
      </c>
      <c r="CO420" s="10"/>
      <c r="CP420" s="10"/>
      <c r="CQ420" s="10"/>
      <c r="CR420" s="10"/>
      <c r="CS420" s="60"/>
    </row>
    <row r="421" spans="79:97" x14ac:dyDescent="0.25">
      <c r="CA421" s="59"/>
      <c r="CB421" s="10"/>
      <c r="CC421" s="419" t="s">
        <v>51</v>
      </c>
      <c r="CD421" s="420"/>
      <c r="CE421" s="10"/>
      <c r="CF421" s="10"/>
      <c r="CG421" s="10"/>
      <c r="CH421" s="10"/>
      <c r="CI421" s="10"/>
      <c r="CJ421" s="10"/>
      <c r="CK421" s="10"/>
      <c r="CL421" s="10"/>
      <c r="CM421" s="10"/>
      <c r="CN421" s="9">
        <f>CN415-CN419</f>
        <v>0</v>
      </c>
      <c r="CO421" s="10"/>
      <c r="CP421" s="10"/>
      <c r="CQ421" s="10"/>
      <c r="CR421" s="10"/>
      <c r="CS421" s="60"/>
    </row>
    <row r="422" spans="79:97" x14ac:dyDescent="0.25">
      <c r="CA422" s="59"/>
      <c r="CB422" s="163" t="s">
        <v>185</v>
      </c>
      <c r="CC422" s="142" t="str">
        <f>CK418</f>
        <v xml:space="preserve">Lámina de espuma </v>
      </c>
      <c r="CD422" s="143"/>
      <c r="CE422" s="10"/>
      <c r="CF422" s="10"/>
      <c r="CG422" s="10"/>
      <c r="CH422" s="10"/>
      <c r="CI422" s="10"/>
      <c r="CJ422" s="10"/>
      <c r="CK422" s="10"/>
      <c r="CL422" s="10"/>
      <c r="CM422" s="10"/>
      <c r="CN422" s="28" t="s">
        <v>45</v>
      </c>
      <c r="CO422" s="10"/>
      <c r="CP422" s="10"/>
      <c r="CQ422" s="10"/>
      <c r="CR422" s="10"/>
      <c r="CS422" s="60"/>
    </row>
    <row r="423" spans="79:97" x14ac:dyDescent="0.25">
      <c r="CA423" s="59"/>
      <c r="CB423" s="10"/>
      <c r="CC423" s="115">
        <f>CK420</f>
        <v>32.204999999999998</v>
      </c>
      <c r="CD423" s="141" t="str">
        <f>CK419</f>
        <v>en m^3</v>
      </c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60"/>
    </row>
    <row r="424" spans="79:97" x14ac:dyDescent="0.25">
      <c r="CA424" s="59"/>
      <c r="CB424" s="10"/>
      <c r="CC424" s="115">
        <f>CL420</f>
        <v>579.68999999999994</v>
      </c>
      <c r="CD424" s="141" t="str">
        <f>CL419</f>
        <v>en kg</v>
      </c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60"/>
    </row>
    <row r="425" spans="79:97" x14ac:dyDescent="0.25">
      <c r="CA425" s="59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60"/>
    </row>
    <row r="426" spans="79:97" x14ac:dyDescent="0.25">
      <c r="CA426" s="59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60"/>
    </row>
    <row r="427" spans="79:97" x14ac:dyDescent="0.25">
      <c r="CA427" s="59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 t="s">
        <v>91</v>
      </c>
      <c r="CR427" s="10"/>
      <c r="CS427" s="60"/>
    </row>
    <row r="428" spans="79:97" x14ac:dyDescent="0.25">
      <c r="CA428" s="59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60"/>
    </row>
    <row r="429" spans="79:97" x14ac:dyDescent="0.25">
      <c r="CA429" s="59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60"/>
    </row>
    <row r="430" spans="79:97" x14ac:dyDescent="0.25">
      <c r="CA430" s="59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60"/>
    </row>
    <row r="431" spans="79:97" x14ac:dyDescent="0.25">
      <c r="CA431" s="59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60"/>
    </row>
    <row r="432" spans="79:97" x14ac:dyDescent="0.25">
      <c r="CA432" s="59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60"/>
    </row>
    <row r="433" spans="79:97" x14ac:dyDescent="0.25">
      <c r="CA433" s="59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60"/>
    </row>
    <row r="434" spans="79:97" x14ac:dyDescent="0.25">
      <c r="CA434" s="59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60"/>
    </row>
    <row r="435" spans="79:97" x14ac:dyDescent="0.25">
      <c r="CA435" s="59"/>
      <c r="CB435" s="10"/>
      <c r="CC435" s="10"/>
      <c r="CE435" s="432" t="s">
        <v>195</v>
      </c>
      <c r="CF435" s="433"/>
      <c r="CG435" s="4" t="s">
        <v>19</v>
      </c>
      <c r="CH435" s="6" t="s">
        <v>20</v>
      </c>
      <c r="CI435" s="6" t="s">
        <v>2</v>
      </c>
      <c r="CJ435" s="6" t="s">
        <v>21</v>
      </c>
      <c r="CK435" s="6" t="s">
        <v>2</v>
      </c>
      <c r="CL435" s="11" t="s">
        <v>24</v>
      </c>
      <c r="CO435" s="10"/>
      <c r="CP435" s="10"/>
      <c r="CQ435" s="10"/>
      <c r="CR435" s="10"/>
      <c r="CS435" s="60"/>
    </row>
    <row r="436" spans="79:97" x14ac:dyDescent="0.25">
      <c r="CA436" s="59"/>
      <c r="CB436" s="10"/>
      <c r="CC436" s="10"/>
      <c r="CD436" s="6"/>
      <c r="CE436" s="68"/>
      <c r="CF436" s="68"/>
      <c r="CG436" s="23"/>
      <c r="CH436" s="23"/>
      <c r="CI436" s="23"/>
      <c r="CJ436" s="23"/>
      <c r="CK436" s="23"/>
      <c r="CL436" s="39"/>
      <c r="CO436" s="10"/>
      <c r="CP436" s="10"/>
      <c r="CQ436" s="10"/>
      <c r="CR436" s="10"/>
      <c r="CS436" s="60"/>
    </row>
    <row r="437" spans="79:97" x14ac:dyDescent="0.25">
      <c r="CA437" s="59"/>
      <c r="CB437" s="10"/>
      <c r="CC437" s="10"/>
      <c r="CD437" s="27" t="s">
        <v>128</v>
      </c>
      <c r="CE437" s="68">
        <f>100*190*15</f>
        <v>285000</v>
      </c>
      <c r="CF437" s="68" t="s">
        <v>26</v>
      </c>
      <c r="CG437" s="23">
        <v>9.9999999999999995E-7</v>
      </c>
      <c r="CH437" s="23">
        <f t="shared" ref="CH437:CH444" si="22">CE437*CG437</f>
        <v>0.28499999999999998</v>
      </c>
      <c r="CI437" s="23" t="s">
        <v>15</v>
      </c>
      <c r="CJ437" s="23">
        <v>18</v>
      </c>
      <c r="CK437" s="23" t="s">
        <v>13</v>
      </c>
      <c r="CL437" s="23">
        <f>CH437*CJ437</f>
        <v>5.13</v>
      </c>
      <c r="CO437" s="10"/>
      <c r="CP437" s="10"/>
      <c r="CQ437" s="10"/>
      <c r="CR437" s="10"/>
      <c r="CS437" s="60"/>
    </row>
    <row r="438" spans="79:97" x14ac:dyDescent="0.25">
      <c r="CA438" s="59"/>
      <c r="CB438" s="10"/>
      <c r="CC438" s="10"/>
      <c r="CD438" s="27" t="s">
        <v>130</v>
      </c>
      <c r="CE438" s="68">
        <f>5621.76</f>
        <v>5621.76</v>
      </c>
      <c r="CF438" s="68" t="s">
        <v>10</v>
      </c>
      <c r="CG438" s="23">
        <f>1/100</f>
        <v>0.01</v>
      </c>
      <c r="CH438" s="23">
        <f t="shared" si="22"/>
        <v>56.217600000000004</v>
      </c>
      <c r="CI438" s="23" t="s">
        <v>16</v>
      </c>
      <c r="CJ438" s="23">
        <v>7.7585999999999999E-5</v>
      </c>
      <c r="CK438" s="23" t="s">
        <v>22</v>
      </c>
      <c r="CL438" s="23">
        <f t="shared" ref="CL438:CL440" si="23">CH438*CJ438</f>
        <v>4.3616987136000001E-3</v>
      </c>
      <c r="CO438" s="10"/>
      <c r="CP438" s="10"/>
      <c r="CQ438" s="10"/>
      <c r="CR438" s="10"/>
      <c r="CS438" s="60"/>
    </row>
    <row r="439" spans="79:97" x14ac:dyDescent="0.25">
      <c r="CA439" s="59"/>
      <c r="CB439" s="10"/>
      <c r="CC439" s="10"/>
      <c r="CD439" s="27" t="s">
        <v>164</v>
      </c>
      <c r="CE439" s="68">
        <f>210*210*0.3</f>
        <v>13230</v>
      </c>
      <c r="CF439" s="68" t="s">
        <v>26</v>
      </c>
      <c r="CG439" s="23">
        <v>9.9999999999999995E-7</v>
      </c>
      <c r="CH439" s="23">
        <f t="shared" si="22"/>
        <v>1.3229999999999999E-2</v>
      </c>
      <c r="CI439" s="23" t="s">
        <v>15</v>
      </c>
      <c r="CJ439" s="23">
        <v>12</v>
      </c>
      <c r="CK439" s="23" t="s">
        <v>13</v>
      </c>
      <c r="CL439" s="23">
        <f t="shared" si="23"/>
        <v>0.15875999999999998</v>
      </c>
      <c r="CO439" s="10"/>
      <c r="CP439" s="10"/>
      <c r="CQ439" s="10"/>
      <c r="CR439" s="10"/>
      <c r="CS439" s="60"/>
    </row>
    <row r="440" spans="79:97" x14ac:dyDescent="0.25">
      <c r="CA440" s="59"/>
      <c r="CB440" s="10"/>
      <c r="CC440" s="10"/>
      <c r="CD440" s="27" t="s">
        <v>127</v>
      </c>
      <c r="CE440" s="68">
        <f>56000</f>
        <v>56000</v>
      </c>
      <c r="CF440" s="68" t="s">
        <v>9</v>
      </c>
      <c r="CG440" s="23">
        <f>0.0001</f>
        <v>1E-4</v>
      </c>
      <c r="CH440" s="23">
        <f t="shared" si="22"/>
        <v>5.6000000000000005</v>
      </c>
      <c r="CI440" s="23" t="s">
        <v>17</v>
      </c>
      <c r="CJ440" s="23">
        <f>20/1000</f>
        <v>0.02</v>
      </c>
      <c r="CK440" s="23" t="s">
        <v>23</v>
      </c>
      <c r="CL440" s="23">
        <f t="shared" si="23"/>
        <v>0.11200000000000002</v>
      </c>
      <c r="CO440" s="10"/>
      <c r="CP440" s="10"/>
      <c r="CQ440" s="10"/>
      <c r="CR440" s="10"/>
      <c r="CS440" s="60"/>
    </row>
    <row r="441" spans="79:97" x14ac:dyDescent="0.25">
      <c r="CA441" s="59"/>
      <c r="CB441" s="10"/>
      <c r="CC441" s="10"/>
      <c r="CD441" s="27" t="s">
        <v>93</v>
      </c>
      <c r="CE441" s="68">
        <v>100</v>
      </c>
      <c r="CF441" s="68" t="s">
        <v>10</v>
      </c>
      <c r="CG441" s="23">
        <f>1/100</f>
        <v>0.01</v>
      </c>
      <c r="CH441" s="23">
        <f t="shared" si="22"/>
        <v>1</v>
      </c>
      <c r="CI441" s="23" t="s">
        <v>16</v>
      </c>
      <c r="CJ441" s="23">
        <f>1/117.5</f>
        <v>8.5106382978723406E-3</v>
      </c>
      <c r="CK441" s="23" t="s">
        <v>22</v>
      </c>
      <c r="CL441" s="23">
        <f>CH441*CJ441</f>
        <v>8.5106382978723406E-3</v>
      </c>
      <c r="CO441" s="10"/>
      <c r="CP441" s="10"/>
      <c r="CQ441" s="10"/>
      <c r="CR441" s="10"/>
      <c r="CS441" s="60"/>
    </row>
    <row r="442" spans="79:97" x14ac:dyDescent="0.25">
      <c r="CA442" s="59"/>
      <c r="CB442" s="10"/>
      <c r="CC442" s="10"/>
      <c r="CD442" s="132" t="s">
        <v>130</v>
      </c>
      <c r="CE442" s="68">
        <f>2400.96</f>
        <v>2400.96</v>
      </c>
      <c r="CF442" s="68" t="s">
        <v>10</v>
      </c>
      <c r="CG442" s="23">
        <f>1/100</f>
        <v>0.01</v>
      </c>
      <c r="CH442" s="23">
        <f t="shared" si="22"/>
        <v>24.009600000000002</v>
      </c>
      <c r="CI442" s="23" t="s">
        <v>16</v>
      </c>
      <c r="CJ442" s="23">
        <v>7.7585999999999999E-5</v>
      </c>
      <c r="CK442" s="23" t="s">
        <v>22</v>
      </c>
      <c r="CL442" s="23">
        <f>CH442*CJ442</f>
        <v>1.8628088256000001E-3</v>
      </c>
      <c r="CM442" s="434" t="s">
        <v>197</v>
      </c>
      <c r="CN442" s="435"/>
      <c r="CO442" s="10"/>
      <c r="CP442" s="10"/>
      <c r="CQ442" s="10"/>
      <c r="CR442" s="10"/>
      <c r="CS442" s="60"/>
    </row>
    <row r="443" spans="79:97" x14ac:dyDescent="0.25">
      <c r="CA443" s="59"/>
      <c r="CB443" s="10"/>
      <c r="CC443" s="10"/>
      <c r="CD443" s="132" t="s">
        <v>132</v>
      </c>
      <c r="CE443" s="131">
        <f>227*227</f>
        <v>51529</v>
      </c>
      <c r="CF443" s="131" t="s">
        <v>9</v>
      </c>
      <c r="CG443" s="39">
        <f>0.0001</f>
        <v>1E-4</v>
      </c>
      <c r="CH443" s="39">
        <f t="shared" si="22"/>
        <v>5.1528999999999998</v>
      </c>
      <c r="CI443" s="39" t="s">
        <v>17</v>
      </c>
      <c r="CJ443" s="39">
        <v>0.1</v>
      </c>
      <c r="CK443" s="39" t="s">
        <v>23</v>
      </c>
      <c r="CL443" s="39">
        <f>CH443*CJ443</f>
        <v>0.51529000000000003</v>
      </c>
      <c r="CM443" s="4">
        <f>CL437+CL438+CL439+CL440+CL441+CL442+CL443+CL444+CL445+CL446+CL448+CL447</f>
        <v>24.965437300647071</v>
      </c>
      <c r="CN443" s="4" t="s">
        <v>18</v>
      </c>
      <c r="CO443" s="10"/>
      <c r="CP443" s="10"/>
      <c r="CQ443" s="10"/>
      <c r="CR443" s="10"/>
      <c r="CS443" s="60"/>
    </row>
    <row r="444" spans="79:97" x14ac:dyDescent="0.25">
      <c r="CA444" s="59"/>
      <c r="CB444" s="10"/>
      <c r="CC444" s="10"/>
      <c r="CD444" s="108" t="s">
        <v>165</v>
      </c>
      <c r="CE444" s="71">
        <f>0.515*0.515*0.3</f>
        <v>7.9567499999999999E-2</v>
      </c>
      <c r="CF444" s="127" t="s">
        <v>26</v>
      </c>
      <c r="CG444" s="71">
        <v>9.9999999999999995E-7</v>
      </c>
      <c r="CH444" s="71">
        <f t="shared" si="22"/>
        <v>7.9567500000000001E-8</v>
      </c>
      <c r="CI444" s="71" t="s">
        <v>15</v>
      </c>
      <c r="CJ444" s="71">
        <v>12</v>
      </c>
      <c r="CK444" s="71" t="s">
        <v>13</v>
      </c>
      <c r="CL444" s="71">
        <f>CH444*CJ444</f>
        <v>9.5481000000000001E-7</v>
      </c>
      <c r="CO444" s="10"/>
      <c r="CP444" s="10"/>
      <c r="CQ444" s="10"/>
      <c r="CR444" s="10"/>
      <c r="CS444" s="60"/>
    </row>
    <row r="445" spans="79:97" x14ac:dyDescent="0.25">
      <c r="CA445" s="59"/>
      <c r="CB445" s="10"/>
      <c r="CC445" s="10"/>
      <c r="CD445" s="134" t="s">
        <v>166</v>
      </c>
      <c r="CE445" s="135"/>
      <c r="CF445" s="135"/>
      <c r="CG445" s="135"/>
      <c r="CH445" s="136">
        <v>1.23</v>
      </c>
      <c r="CI445" s="136" t="s">
        <v>17</v>
      </c>
      <c r="CJ445" s="136">
        <v>0.1</v>
      </c>
      <c r="CK445" s="136" t="s">
        <v>22</v>
      </c>
      <c r="CL445" s="136">
        <f>CH445*CJ445</f>
        <v>0.123</v>
      </c>
      <c r="CO445" s="10"/>
      <c r="CP445" s="10"/>
      <c r="CQ445" s="10"/>
      <c r="CR445" s="10"/>
      <c r="CS445" s="60"/>
    </row>
    <row r="446" spans="79:97" x14ac:dyDescent="0.25">
      <c r="CA446" s="59"/>
      <c r="CB446" s="10"/>
      <c r="CC446" s="10"/>
      <c r="CD446" s="137" t="s">
        <v>167</v>
      </c>
      <c r="CE446" s="71">
        <f>6*4</f>
        <v>24</v>
      </c>
      <c r="CF446" s="138" t="s">
        <v>5</v>
      </c>
      <c r="CG446" s="71"/>
      <c r="CH446" s="71"/>
      <c r="CI446" s="71"/>
      <c r="CJ446" s="71">
        <f>1/1000</f>
        <v>1E-3</v>
      </c>
      <c r="CK446" s="139" t="s">
        <v>18</v>
      </c>
      <c r="CL446" s="139">
        <f>CE446*CJ446</f>
        <v>2.4E-2</v>
      </c>
      <c r="CO446" s="10"/>
      <c r="CP446" s="10"/>
      <c r="CQ446" s="10"/>
      <c r="CR446" s="10"/>
      <c r="CS446" s="60"/>
    </row>
    <row r="447" spans="79:97" x14ac:dyDescent="0.25">
      <c r="CA447" s="59"/>
      <c r="CB447" s="10"/>
      <c r="CC447" s="10"/>
      <c r="CD447" s="137" t="s">
        <v>182</v>
      </c>
      <c r="CE447" s="14">
        <f>(190*100*3)*2</f>
        <v>114000</v>
      </c>
      <c r="CF447" s="68" t="s">
        <v>26</v>
      </c>
      <c r="CG447" s="23">
        <v>9.9999999999999995E-7</v>
      </c>
      <c r="CH447" s="23">
        <f>CE447*CG447</f>
        <v>0.11399999999999999</v>
      </c>
      <c r="CI447" s="23" t="s">
        <v>15</v>
      </c>
      <c r="CJ447" s="23">
        <v>80</v>
      </c>
      <c r="CK447" s="133" t="s">
        <v>13</v>
      </c>
      <c r="CL447" s="133">
        <f>CJ447*CH447*2</f>
        <v>18.239999999999998</v>
      </c>
      <c r="CO447" s="10"/>
      <c r="CP447" s="10"/>
      <c r="CQ447" s="10"/>
      <c r="CR447" s="10"/>
      <c r="CS447" s="60"/>
    </row>
    <row r="448" spans="79:97" x14ac:dyDescent="0.25">
      <c r="CA448" s="59"/>
      <c r="CB448" s="10"/>
      <c r="CC448" s="10"/>
      <c r="CD448" s="160" t="s">
        <v>12</v>
      </c>
      <c r="CE448" s="68">
        <v>580</v>
      </c>
      <c r="CF448" s="68" t="s">
        <v>14</v>
      </c>
      <c r="CG448" s="23">
        <f>1/1000000</f>
        <v>9.9999999999999995E-7</v>
      </c>
      <c r="CH448" s="23">
        <f t="shared" ref="CH448" si="24">CE448*CG448</f>
        <v>5.8E-4</v>
      </c>
      <c r="CI448" s="23" t="s">
        <v>15</v>
      </c>
      <c r="CJ448" s="23">
        <v>1116.6400000000001</v>
      </c>
      <c r="CK448" s="23" t="s">
        <v>13</v>
      </c>
      <c r="CL448" s="23">
        <f t="shared" ref="CL448" si="25">CJ448*CH448</f>
        <v>0.64765120000000009</v>
      </c>
      <c r="CO448" s="10"/>
      <c r="CP448" s="10"/>
      <c r="CQ448" s="10"/>
      <c r="CR448" s="10"/>
      <c r="CS448" s="60"/>
    </row>
    <row r="449" spans="79:97" x14ac:dyDescent="0.25">
      <c r="CA449" s="59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60"/>
    </row>
    <row r="450" spans="79:97" x14ac:dyDescent="0.25">
      <c r="CA450" s="59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60"/>
    </row>
    <row r="451" spans="79:97" x14ac:dyDescent="0.25">
      <c r="CA451" s="59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60"/>
    </row>
    <row r="452" spans="79:97" x14ac:dyDescent="0.25">
      <c r="CA452" s="62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4"/>
    </row>
    <row r="454" spans="79:97" x14ac:dyDescent="0.25">
      <c r="CA454" s="59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60"/>
    </row>
    <row r="455" spans="79:97" x14ac:dyDescent="0.25">
      <c r="CA455" s="59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60"/>
    </row>
    <row r="456" spans="79:97" x14ac:dyDescent="0.25">
      <c r="CA456" s="59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60"/>
    </row>
    <row r="457" spans="79:97" x14ac:dyDescent="0.25">
      <c r="CA457" s="59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60"/>
    </row>
    <row r="458" spans="79:97" x14ac:dyDescent="0.25">
      <c r="CA458" s="59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60"/>
    </row>
    <row r="459" spans="79:97" x14ac:dyDescent="0.25">
      <c r="CA459" s="59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60"/>
    </row>
    <row r="460" spans="79:97" x14ac:dyDescent="0.25">
      <c r="CA460" s="59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60"/>
    </row>
    <row r="461" spans="79:97" x14ac:dyDescent="0.25">
      <c r="CA461" s="59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60"/>
    </row>
    <row r="462" spans="79:97" x14ac:dyDescent="0.25">
      <c r="CA462" s="59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60"/>
    </row>
    <row r="463" spans="79:97" x14ac:dyDescent="0.25">
      <c r="CA463" s="59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60"/>
    </row>
    <row r="464" spans="79:97" x14ac:dyDescent="0.25">
      <c r="CA464" s="59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60"/>
    </row>
    <row r="465" spans="79:97" x14ac:dyDescent="0.25">
      <c r="CA465" s="59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>
        <f>CL464+CL470+CL474+CM478+CM482+CL458+CO458</f>
        <v>119.01599999999998</v>
      </c>
      <c r="CO465" s="10"/>
      <c r="CP465" s="416" t="s">
        <v>52</v>
      </c>
      <c r="CQ465" s="416"/>
      <c r="CR465" s="10"/>
      <c r="CS465" s="60"/>
    </row>
    <row r="466" spans="79:97" x14ac:dyDescent="0.25">
      <c r="CA466" s="59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47" t="s">
        <v>34</v>
      </c>
      <c r="CO466" s="10"/>
      <c r="CP466" s="417" t="str">
        <f>CK468</f>
        <v xml:space="preserve">Lámina de espuma </v>
      </c>
      <c r="CQ466" s="418"/>
      <c r="CR466" s="127" t="s">
        <v>200</v>
      </c>
      <c r="CS466" s="60"/>
    </row>
    <row r="467" spans="79:97" x14ac:dyDescent="0.25">
      <c r="CA467" s="59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9" t="s">
        <v>160</v>
      </c>
      <c r="CO467" s="10"/>
      <c r="CP467" s="23">
        <f>'Flujos Planta Final'!CN579</f>
        <v>116</v>
      </c>
      <c r="CQ467" s="4" t="s">
        <v>27</v>
      </c>
      <c r="CR467" s="10"/>
      <c r="CS467" s="60"/>
    </row>
    <row r="468" spans="79:97" x14ac:dyDescent="0.25">
      <c r="CA468" s="59"/>
      <c r="CB468" s="10"/>
      <c r="CC468" s="10"/>
      <c r="CD468" s="10"/>
      <c r="CE468" s="10"/>
      <c r="CF468" s="10"/>
      <c r="CG468" s="10"/>
      <c r="CH468" s="10"/>
      <c r="CI468" s="10"/>
      <c r="CJ468" s="10"/>
      <c r="CK468" s="410" t="s">
        <v>134</v>
      </c>
      <c r="CL468" s="410"/>
      <c r="CM468" s="10"/>
      <c r="CN468" s="48" t="s">
        <v>35</v>
      </c>
      <c r="CO468" s="10"/>
      <c r="CP468" s="4">
        <f>CP467*CL487</f>
        <v>119.01599999999998</v>
      </c>
      <c r="CQ468" s="4" t="s">
        <v>28</v>
      </c>
      <c r="CR468" s="10"/>
      <c r="CS468" s="60"/>
    </row>
    <row r="469" spans="79:97" x14ac:dyDescent="0.25">
      <c r="CA469" s="59"/>
      <c r="CB469" s="10"/>
      <c r="CC469" s="10"/>
      <c r="CD469" s="10"/>
      <c r="CE469" s="10"/>
      <c r="CF469" s="10"/>
      <c r="CG469" s="10"/>
      <c r="CH469" s="10"/>
      <c r="CI469" s="10"/>
      <c r="CJ469" s="10"/>
      <c r="CK469" s="6" t="s">
        <v>50</v>
      </c>
      <c r="CL469" s="6" t="s">
        <v>1</v>
      </c>
      <c r="CM469" s="10"/>
      <c r="CN469" s="10">
        <f>CP468</f>
        <v>119.01599999999998</v>
      </c>
      <c r="CO469" s="10"/>
      <c r="CP469" s="10"/>
      <c r="CQ469" s="10"/>
      <c r="CR469" s="10"/>
      <c r="CS469" s="60"/>
    </row>
    <row r="470" spans="79:97" x14ac:dyDescent="0.25">
      <c r="CA470" s="59"/>
      <c r="CB470" s="10"/>
      <c r="CC470" s="10"/>
      <c r="CD470" s="10"/>
      <c r="CE470" s="10"/>
      <c r="CF470" s="10"/>
      <c r="CG470" s="10"/>
      <c r="CH470" s="10"/>
      <c r="CI470" s="10"/>
      <c r="CJ470" s="10"/>
      <c r="CK470" s="6">
        <f>CP467*CH487</f>
        <v>6.6119999999999992</v>
      </c>
      <c r="CL470" s="4">
        <f>CP467*(CL487)</f>
        <v>119.01599999999998</v>
      </c>
      <c r="CM470" s="10"/>
      <c r="CN470" s="50" t="s">
        <v>36</v>
      </c>
      <c r="CO470" s="10"/>
      <c r="CP470" s="10"/>
      <c r="CQ470" s="10"/>
      <c r="CR470" s="10"/>
      <c r="CS470" s="60"/>
    </row>
    <row r="471" spans="79:97" x14ac:dyDescent="0.25">
      <c r="CA471" s="59"/>
      <c r="CB471" s="10"/>
      <c r="CC471" s="419" t="s">
        <v>51</v>
      </c>
      <c r="CD471" s="420"/>
      <c r="CE471" s="10"/>
      <c r="CF471" s="10"/>
      <c r="CG471" s="10"/>
      <c r="CH471" s="10"/>
      <c r="CI471" s="10"/>
      <c r="CJ471" s="10"/>
      <c r="CK471" s="10"/>
      <c r="CL471" s="10"/>
      <c r="CM471" s="10"/>
      <c r="CN471" s="9">
        <f>CN465-CN469</f>
        <v>0</v>
      </c>
      <c r="CO471" s="10"/>
      <c r="CP471" s="10"/>
      <c r="CQ471" s="10"/>
      <c r="CR471" s="10"/>
      <c r="CS471" s="60"/>
    </row>
    <row r="472" spans="79:97" x14ac:dyDescent="0.25">
      <c r="CA472" s="59"/>
      <c r="CB472" s="163" t="s">
        <v>185</v>
      </c>
      <c r="CC472" s="142" t="str">
        <f>CK468</f>
        <v xml:space="preserve">Lámina de espuma </v>
      </c>
      <c r="CD472" s="143"/>
      <c r="CE472" s="10"/>
      <c r="CF472" s="10"/>
      <c r="CG472" s="10"/>
      <c r="CH472" s="10"/>
      <c r="CI472" s="10"/>
      <c r="CJ472" s="10"/>
      <c r="CK472" s="10"/>
      <c r="CL472" s="10"/>
      <c r="CM472" s="10"/>
      <c r="CN472" s="28" t="s">
        <v>45</v>
      </c>
      <c r="CO472" s="10"/>
      <c r="CP472" s="10"/>
      <c r="CQ472" s="10"/>
      <c r="CR472" s="10"/>
      <c r="CS472" s="60"/>
    </row>
    <row r="473" spans="79:97" x14ac:dyDescent="0.25">
      <c r="CA473" s="59"/>
      <c r="CB473" s="10"/>
      <c r="CC473" s="115">
        <f>CK470</f>
        <v>6.6119999999999992</v>
      </c>
      <c r="CD473" s="141" t="str">
        <f>CK469</f>
        <v>en m^3</v>
      </c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60"/>
    </row>
    <row r="474" spans="79:97" x14ac:dyDescent="0.25">
      <c r="CA474" s="59"/>
      <c r="CB474" s="10"/>
      <c r="CC474" s="115">
        <f>CL470</f>
        <v>119.01599999999998</v>
      </c>
      <c r="CD474" s="141" t="str">
        <f>CL469</f>
        <v>en kg</v>
      </c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60"/>
    </row>
    <row r="475" spans="79:97" x14ac:dyDescent="0.25">
      <c r="CA475" s="59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60"/>
    </row>
    <row r="476" spans="79:97" x14ac:dyDescent="0.25">
      <c r="CA476" s="59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60"/>
    </row>
    <row r="477" spans="79:97" x14ac:dyDescent="0.25">
      <c r="CA477" s="59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 t="s">
        <v>91</v>
      </c>
      <c r="CR477" s="10"/>
      <c r="CS477" s="60"/>
    </row>
    <row r="478" spans="79:97" x14ac:dyDescent="0.25">
      <c r="CA478" s="59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60"/>
    </row>
    <row r="479" spans="79:97" x14ac:dyDescent="0.25">
      <c r="CA479" s="59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60"/>
    </row>
    <row r="480" spans="79:97" x14ac:dyDescent="0.25">
      <c r="CA480" s="59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60"/>
    </row>
    <row r="481" spans="79:97" x14ac:dyDescent="0.25">
      <c r="CA481" s="59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60"/>
    </row>
    <row r="482" spans="79:97" x14ac:dyDescent="0.25">
      <c r="CA482" s="59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60"/>
    </row>
    <row r="483" spans="79:97" x14ac:dyDescent="0.25">
      <c r="CA483" s="59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60"/>
    </row>
    <row r="484" spans="79:97" x14ac:dyDescent="0.25">
      <c r="CA484" s="59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60"/>
    </row>
    <row r="485" spans="79:97" x14ac:dyDescent="0.25">
      <c r="CA485" s="59"/>
      <c r="CB485" s="10"/>
      <c r="CC485" s="10"/>
      <c r="CE485" s="415" t="s">
        <v>188</v>
      </c>
      <c r="CF485" s="415"/>
      <c r="CG485" s="4" t="s">
        <v>19</v>
      </c>
      <c r="CH485" s="6" t="s">
        <v>20</v>
      </c>
      <c r="CI485" s="6" t="s">
        <v>2</v>
      </c>
      <c r="CJ485" s="6" t="s">
        <v>21</v>
      </c>
      <c r="CK485" s="6" t="s">
        <v>2</v>
      </c>
      <c r="CL485" s="11" t="s">
        <v>24</v>
      </c>
      <c r="CO485" s="10"/>
      <c r="CP485" s="10"/>
      <c r="CQ485" s="10"/>
      <c r="CR485" s="10"/>
      <c r="CS485" s="60"/>
    </row>
    <row r="486" spans="79:97" x14ac:dyDescent="0.25">
      <c r="CA486" s="59"/>
      <c r="CB486" s="10"/>
      <c r="CC486" s="10"/>
      <c r="CD486" s="153"/>
      <c r="CE486" s="68"/>
      <c r="CF486" s="68"/>
      <c r="CG486" s="23"/>
      <c r="CH486" s="23"/>
      <c r="CI486" s="23"/>
      <c r="CJ486" s="23"/>
      <c r="CK486" s="23"/>
      <c r="CL486" s="39"/>
      <c r="CO486" s="10"/>
      <c r="CP486" s="10"/>
      <c r="CQ486" s="10"/>
      <c r="CR486" s="10"/>
      <c r="CS486" s="60"/>
    </row>
    <row r="487" spans="79:97" x14ac:dyDescent="0.25">
      <c r="CA487" s="59"/>
      <c r="CB487" s="10"/>
      <c r="CC487" s="10"/>
      <c r="CD487" s="149" t="s">
        <v>128</v>
      </c>
      <c r="CE487" s="150">
        <f>100*190*3</f>
        <v>57000</v>
      </c>
      <c r="CF487" s="68" t="s">
        <v>26</v>
      </c>
      <c r="CG487" s="23">
        <v>9.9999999999999995E-7</v>
      </c>
      <c r="CH487" s="23">
        <f t="shared" ref="CH487:CH494" si="26">CE487*CG487</f>
        <v>5.6999999999999995E-2</v>
      </c>
      <c r="CI487" s="23" t="s">
        <v>15</v>
      </c>
      <c r="CJ487" s="23">
        <v>18</v>
      </c>
      <c r="CK487" s="23" t="s">
        <v>13</v>
      </c>
      <c r="CL487" s="23">
        <f>CH487*CJ487</f>
        <v>1.0259999999999998</v>
      </c>
      <c r="CO487" s="10"/>
      <c r="CP487" s="10"/>
      <c r="CQ487" s="10"/>
      <c r="CR487" s="10"/>
      <c r="CS487" s="60"/>
    </row>
    <row r="488" spans="79:97" x14ac:dyDescent="0.25">
      <c r="CA488" s="59"/>
      <c r="CB488" s="10"/>
      <c r="CC488" s="10"/>
      <c r="CD488" s="149" t="s">
        <v>130</v>
      </c>
      <c r="CE488" s="150">
        <f>5782.8</f>
        <v>5782.8</v>
      </c>
      <c r="CF488" s="68" t="s">
        <v>10</v>
      </c>
      <c r="CG488" s="23">
        <f>1/100</f>
        <v>0.01</v>
      </c>
      <c r="CH488" s="23">
        <f t="shared" si="26"/>
        <v>57.828000000000003</v>
      </c>
      <c r="CI488" s="23" t="s">
        <v>16</v>
      </c>
      <c r="CJ488" s="23">
        <v>7.7585999999999999E-5</v>
      </c>
      <c r="CK488" s="23" t="s">
        <v>22</v>
      </c>
      <c r="CL488" s="23">
        <f t="shared" ref="CL488:CL490" si="27">CH488*CJ488</f>
        <v>4.4866432080000003E-3</v>
      </c>
      <c r="CO488" s="10"/>
      <c r="CP488" s="10"/>
      <c r="CQ488" s="10"/>
      <c r="CR488" s="10"/>
      <c r="CS488" s="60"/>
    </row>
    <row r="489" spans="79:97" x14ac:dyDescent="0.25">
      <c r="CA489" s="59"/>
      <c r="CB489" s="10"/>
      <c r="CC489" s="10"/>
      <c r="CD489" s="149" t="s">
        <v>164</v>
      </c>
      <c r="CE489" s="150">
        <f>230*230*0.3</f>
        <v>15870</v>
      </c>
      <c r="CF489" s="68" t="s">
        <v>26</v>
      </c>
      <c r="CG489" s="23">
        <v>9.9999999999999995E-7</v>
      </c>
      <c r="CH489" s="23">
        <f t="shared" si="26"/>
        <v>1.5869999999999999E-2</v>
      </c>
      <c r="CI489" s="23" t="s">
        <v>15</v>
      </c>
      <c r="CJ489" s="23">
        <v>12</v>
      </c>
      <c r="CK489" s="23" t="s">
        <v>13</v>
      </c>
      <c r="CL489" s="23">
        <f t="shared" si="27"/>
        <v>0.19044</v>
      </c>
      <c r="CO489" s="10"/>
      <c r="CP489" s="10"/>
      <c r="CQ489" s="10"/>
      <c r="CR489" s="10"/>
      <c r="CS489" s="60"/>
    </row>
    <row r="490" spans="79:97" x14ac:dyDescent="0.25">
      <c r="CA490" s="59"/>
      <c r="CB490" s="10"/>
      <c r="CC490" s="10"/>
      <c r="CD490" s="149" t="s">
        <v>127</v>
      </c>
      <c r="CE490" s="150">
        <v>59400</v>
      </c>
      <c r="CF490" s="68" t="s">
        <v>9</v>
      </c>
      <c r="CG490" s="23">
        <f>0.0001</f>
        <v>1E-4</v>
      </c>
      <c r="CH490" s="23">
        <f t="shared" si="26"/>
        <v>5.94</v>
      </c>
      <c r="CI490" s="23" t="s">
        <v>17</v>
      </c>
      <c r="CJ490" s="23">
        <f>20/1000</f>
        <v>0.02</v>
      </c>
      <c r="CK490" s="23" t="s">
        <v>23</v>
      </c>
      <c r="CL490" s="23">
        <f t="shared" si="27"/>
        <v>0.11880000000000002</v>
      </c>
      <c r="CO490" s="10"/>
      <c r="CP490" s="10"/>
      <c r="CQ490" s="10"/>
      <c r="CR490" s="10"/>
      <c r="CS490" s="60"/>
    </row>
    <row r="491" spans="79:97" x14ac:dyDescent="0.25">
      <c r="CA491" s="59"/>
      <c r="CB491" s="10"/>
      <c r="CC491" s="10"/>
      <c r="CD491" s="149" t="s">
        <v>93</v>
      </c>
      <c r="CE491" s="150">
        <v>100</v>
      </c>
      <c r="CF491" s="68" t="s">
        <v>10</v>
      </c>
      <c r="CG491" s="23">
        <f>1/100</f>
        <v>0.01</v>
      </c>
      <c r="CH491" s="23">
        <f t="shared" si="26"/>
        <v>1</v>
      </c>
      <c r="CI491" s="23" t="s">
        <v>16</v>
      </c>
      <c r="CJ491" s="23">
        <f>1/117.5</f>
        <v>8.5106382978723406E-3</v>
      </c>
      <c r="CK491" s="23" t="s">
        <v>22</v>
      </c>
      <c r="CL491" s="23">
        <f>CH491*CJ491</f>
        <v>8.5106382978723406E-3</v>
      </c>
      <c r="CO491" s="10"/>
      <c r="CP491" s="10"/>
      <c r="CQ491" s="10"/>
      <c r="CR491" s="10"/>
      <c r="CS491" s="60"/>
    </row>
    <row r="492" spans="79:97" x14ac:dyDescent="0.25">
      <c r="CA492" s="59"/>
      <c r="CB492" s="10"/>
      <c r="CC492" s="10"/>
      <c r="CD492" s="137" t="s">
        <v>130</v>
      </c>
      <c r="CE492" s="150">
        <f>26177.96</f>
        <v>26177.96</v>
      </c>
      <c r="CF492" s="68" t="s">
        <v>10</v>
      </c>
      <c r="CG492" s="23">
        <f>1/100</f>
        <v>0.01</v>
      </c>
      <c r="CH492" s="23">
        <f t="shared" si="26"/>
        <v>261.77960000000002</v>
      </c>
      <c r="CI492" s="23" t="s">
        <v>16</v>
      </c>
      <c r="CJ492" s="23">
        <v>7.7585999999999999E-5</v>
      </c>
      <c r="CK492" s="23" t="s">
        <v>22</v>
      </c>
      <c r="CL492" s="23">
        <f>CH492*CJ492</f>
        <v>2.0310432045599999E-2</v>
      </c>
      <c r="CM492" s="408" t="s">
        <v>203</v>
      </c>
      <c r="CN492" s="408"/>
      <c r="CO492" s="10"/>
      <c r="CP492" s="10"/>
      <c r="CQ492" s="10"/>
      <c r="CR492" s="10"/>
      <c r="CS492" s="60"/>
    </row>
    <row r="493" spans="79:97" x14ac:dyDescent="0.25">
      <c r="CA493" s="59"/>
      <c r="CB493" s="10"/>
      <c r="CC493" s="10"/>
      <c r="CD493" s="137" t="s">
        <v>132</v>
      </c>
      <c r="CE493" s="151">
        <f>227*227</f>
        <v>51529</v>
      </c>
      <c r="CF493" s="131" t="s">
        <v>9</v>
      </c>
      <c r="CG493" s="39">
        <f>0.0001</f>
        <v>1E-4</v>
      </c>
      <c r="CH493" s="39">
        <f t="shared" si="26"/>
        <v>5.1528999999999998</v>
      </c>
      <c r="CI493" s="39" t="s">
        <v>17</v>
      </c>
      <c r="CJ493" s="39">
        <v>0.1</v>
      </c>
      <c r="CK493" s="39" t="s">
        <v>23</v>
      </c>
      <c r="CL493" s="39">
        <f>CH493*CJ493</f>
        <v>0.51529000000000003</v>
      </c>
      <c r="CM493" s="4">
        <f>CL487+CL488+CL489+CL490+CL491+CL492+CL493+CL494+CL495+CL496</f>
        <v>20.463838771101869</v>
      </c>
      <c r="CN493" s="4" t="s">
        <v>18</v>
      </c>
      <c r="CO493" s="10"/>
      <c r="CP493" s="10"/>
      <c r="CQ493" s="10"/>
      <c r="CR493" s="10"/>
      <c r="CS493" s="60"/>
    </row>
    <row r="494" spans="79:97" x14ac:dyDescent="0.25">
      <c r="CA494" s="59"/>
      <c r="CB494" s="10"/>
      <c r="CC494" s="10"/>
      <c r="CD494" s="149" t="s">
        <v>165</v>
      </c>
      <c r="CE494" s="152">
        <f>0.542*0.542*0.3</f>
        <v>8.8129200000000005E-2</v>
      </c>
      <c r="CF494" s="127" t="s">
        <v>26</v>
      </c>
      <c r="CG494" s="71">
        <v>9.9999999999999995E-7</v>
      </c>
      <c r="CH494" s="71">
        <f t="shared" si="26"/>
        <v>8.8129200000000005E-8</v>
      </c>
      <c r="CI494" s="71" t="s">
        <v>15</v>
      </c>
      <c r="CJ494" s="71">
        <v>12</v>
      </c>
      <c r="CK494" s="71" t="s">
        <v>13</v>
      </c>
      <c r="CL494" s="71">
        <f>CH494*CJ494</f>
        <v>1.0575504000000001E-6</v>
      </c>
      <c r="CO494" s="10"/>
      <c r="CP494" s="10"/>
      <c r="CQ494" s="10"/>
      <c r="CR494" s="10"/>
      <c r="CS494" s="60"/>
    </row>
    <row r="495" spans="79:97" x14ac:dyDescent="0.25">
      <c r="CA495" s="59"/>
      <c r="CB495" s="10"/>
      <c r="CC495" s="10"/>
      <c r="CD495" s="137" t="s">
        <v>174</v>
      </c>
      <c r="CE495" s="155">
        <v>1</v>
      </c>
      <c r="CF495" s="156" t="s">
        <v>2</v>
      </c>
      <c r="CG495" s="67"/>
      <c r="CH495" s="67"/>
      <c r="CI495" s="139" t="s">
        <v>18</v>
      </c>
      <c r="CJ495" s="67"/>
      <c r="CK495" s="139" t="s">
        <v>18</v>
      </c>
      <c r="CL495" s="71">
        <f>18.552</f>
        <v>18.552</v>
      </c>
      <c r="CO495" s="10"/>
      <c r="CP495" s="10"/>
      <c r="CQ495" s="10"/>
      <c r="CR495" s="10"/>
      <c r="CS495" s="60"/>
    </row>
    <row r="496" spans="79:97" x14ac:dyDescent="0.25">
      <c r="CA496" s="59"/>
      <c r="CB496" s="10"/>
      <c r="CC496" s="10"/>
      <c r="CD496" s="137" t="s">
        <v>175</v>
      </c>
      <c r="CE496" s="152">
        <f>7*4</f>
        <v>28</v>
      </c>
      <c r="CF496" s="138" t="s">
        <v>5</v>
      </c>
      <c r="CG496" s="71"/>
      <c r="CH496" s="71"/>
      <c r="CI496" s="71"/>
      <c r="CJ496" s="71">
        <f>1/1000</f>
        <v>1E-3</v>
      </c>
      <c r="CK496" s="139" t="s">
        <v>18</v>
      </c>
      <c r="CL496" s="139">
        <f>CE496*CJ496</f>
        <v>2.8000000000000001E-2</v>
      </c>
      <c r="CO496" s="10"/>
      <c r="CP496" s="10"/>
      <c r="CQ496" s="10"/>
      <c r="CR496" s="10"/>
      <c r="CS496" s="60"/>
    </row>
    <row r="497" spans="79:97" x14ac:dyDescent="0.25">
      <c r="CA497" s="59"/>
      <c r="CB497" s="10"/>
      <c r="CC497" s="10"/>
      <c r="CD497" s="137"/>
      <c r="CE497" s="14"/>
      <c r="CF497" s="68"/>
      <c r="CG497" s="23"/>
      <c r="CH497" s="23"/>
      <c r="CI497" s="23"/>
      <c r="CJ497" s="23"/>
      <c r="CK497" s="133"/>
      <c r="CL497" s="133"/>
      <c r="CO497" s="10"/>
      <c r="CP497" s="10"/>
      <c r="CQ497" s="10"/>
      <c r="CR497" s="10"/>
      <c r="CS497" s="60"/>
    </row>
    <row r="498" spans="79:97" x14ac:dyDescent="0.25">
      <c r="CA498" s="59"/>
      <c r="CB498" s="10"/>
      <c r="CC498" s="10"/>
      <c r="CD498" s="160"/>
      <c r="CE498" s="68"/>
      <c r="CF498" s="68"/>
      <c r="CG498" s="23"/>
      <c r="CH498" s="23"/>
      <c r="CI498" s="23"/>
      <c r="CJ498" s="23"/>
      <c r="CK498" s="23"/>
      <c r="CL498" s="23"/>
      <c r="CO498" s="10"/>
      <c r="CP498" s="10"/>
      <c r="CQ498" s="10"/>
      <c r="CR498" s="10"/>
      <c r="CS498" s="60"/>
    </row>
    <row r="499" spans="79:97" x14ac:dyDescent="0.25">
      <c r="CA499" s="59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60"/>
    </row>
    <row r="500" spans="79:97" x14ac:dyDescent="0.25">
      <c r="CA500" s="59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60"/>
    </row>
    <row r="501" spans="79:97" x14ac:dyDescent="0.25">
      <c r="CA501" s="59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60"/>
    </row>
    <row r="502" spans="79:97" x14ac:dyDescent="0.25">
      <c r="CA502" s="62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4"/>
    </row>
  </sheetData>
  <mergeCells count="81">
    <mergeCell ref="AQ298:AQ305"/>
    <mergeCell ref="AY301:AZ302"/>
    <mergeCell ref="BD301:BE302"/>
    <mergeCell ref="BD290:BE295"/>
    <mergeCell ref="BS291:BT291"/>
    <mergeCell ref="AR297:AS297"/>
    <mergeCell ref="BS292:BT292"/>
    <mergeCell ref="CC471:CD471"/>
    <mergeCell ref="CE485:CF485"/>
    <mergeCell ref="CM492:CN492"/>
    <mergeCell ref="CE435:CF435"/>
    <mergeCell ref="CM442:CN442"/>
    <mergeCell ref="CP465:CQ465"/>
    <mergeCell ref="CP466:CQ466"/>
    <mergeCell ref="CK468:CL468"/>
    <mergeCell ref="CM391:CN391"/>
    <mergeCell ref="CP415:CQ415"/>
    <mergeCell ref="CP416:CQ416"/>
    <mergeCell ref="CK418:CL418"/>
    <mergeCell ref="CC421:CD421"/>
    <mergeCell ref="CC370:CD370"/>
    <mergeCell ref="CP364:CQ364"/>
    <mergeCell ref="CE384:CF384"/>
    <mergeCell ref="CP365:CQ365"/>
    <mergeCell ref="CK367:CL367"/>
    <mergeCell ref="CD309:CE309"/>
    <mergeCell ref="CL316:CM316"/>
    <mergeCell ref="CO290:CP290"/>
    <mergeCell ref="CJ292:CK292"/>
    <mergeCell ref="CC302:CD303"/>
    <mergeCell ref="CC269:CD270"/>
    <mergeCell ref="CD276:CE276"/>
    <mergeCell ref="CL283:CM283"/>
    <mergeCell ref="CO289:CP289"/>
    <mergeCell ref="CJ259:CK259"/>
    <mergeCell ref="BZ263:CA263"/>
    <mergeCell ref="BZ264:CA264"/>
    <mergeCell ref="CO256:CP256"/>
    <mergeCell ref="CO257:CP257"/>
    <mergeCell ref="BW147:BX147"/>
    <mergeCell ref="BZ152:CA153"/>
    <mergeCell ref="CA159:CB159"/>
    <mergeCell ref="CI166:CJ166"/>
    <mergeCell ref="CG142:CH142"/>
    <mergeCell ref="BW146:BX146"/>
    <mergeCell ref="CL139:CM139"/>
    <mergeCell ref="CL140:CM140"/>
    <mergeCell ref="CL110:CM110"/>
    <mergeCell ref="BP93:BP100"/>
    <mergeCell ref="BX96:BY97"/>
    <mergeCell ref="CC96:CD97"/>
    <mergeCell ref="CD103:CE103"/>
    <mergeCell ref="CL47:CM47"/>
    <mergeCell ref="CI74:CJ74"/>
    <mergeCell ref="BW73:BX73"/>
    <mergeCell ref="CM85:CN85"/>
    <mergeCell ref="CM86:CN86"/>
    <mergeCell ref="CC85:CD90"/>
    <mergeCell ref="CJ86:CK86"/>
    <mergeCell ref="BQ92:BR92"/>
    <mergeCell ref="BT28:BU29"/>
    <mergeCell ref="BZ29:CA30"/>
    <mergeCell ref="BT32:BT33"/>
    <mergeCell ref="BW39:BX39"/>
    <mergeCell ref="BZ39:CA40"/>
    <mergeCell ref="BW40:BX40"/>
    <mergeCell ref="CG43:CH44"/>
    <mergeCell ref="BF44:BG45"/>
    <mergeCell ref="BW44:BX44"/>
    <mergeCell ref="BN45:BO46"/>
    <mergeCell ref="BW45:BX45"/>
    <mergeCell ref="BF48:BF49"/>
    <mergeCell ref="CL48:CM48"/>
    <mergeCell ref="BU50:BV51"/>
    <mergeCell ref="BZ50:CA51"/>
    <mergeCell ref="CG50:CH50"/>
    <mergeCell ref="BN55:BO56"/>
    <mergeCell ref="BU60:BV61"/>
    <mergeCell ref="BZ60:CA61"/>
    <mergeCell ref="CA67:CB67"/>
    <mergeCell ref="BW72:BX7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4:CP618"/>
  <sheetViews>
    <sheetView topLeftCell="AU1" zoomScale="21" zoomScaleNormal="21" workbookViewId="0">
      <selection activeCell="BZ98" sqref="BZ98"/>
    </sheetView>
  </sheetViews>
  <sheetFormatPr baseColWidth="10" defaultRowHeight="15" x14ac:dyDescent="0.25"/>
  <cols>
    <col min="45" max="45" width="16.28515625" customWidth="1"/>
    <col min="53" max="53" width="15.42578125" customWidth="1"/>
    <col min="58" max="58" width="15.42578125" customWidth="1"/>
    <col min="60" max="60" width="22.140625" customWidth="1"/>
    <col min="63" max="63" width="23.140625" customWidth="1"/>
    <col min="64" max="64" width="20" bestFit="1" customWidth="1"/>
    <col min="65" max="65" width="9.7109375" customWidth="1"/>
    <col min="67" max="67" width="24.5703125" customWidth="1"/>
    <col min="68" max="68" width="14.140625" customWidth="1"/>
    <col min="69" max="69" width="18.7109375" customWidth="1"/>
    <col min="72" max="72" width="27.42578125" customWidth="1"/>
    <col min="73" max="73" width="24" customWidth="1"/>
    <col min="74" max="74" width="27" customWidth="1"/>
    <col min="75" max="75" width="20" customWidth="1"/>
    <col min="76" max="76" width="32.85546875" customWidth="1"/>
    <col min="77" max="77" width="20.5703125" customWidth="1"/>
    <col min="78" max="78" width="26" customWidth="1"/>
    <col min="79" max="79" width="15" customWidth="1"/>
    <col min="80" max="80" width="24.42578125" customWidth="1"/>
    <col min="81" max="81" width="30.5703125" customWidth="1"/>
    <col min="82" max="83" width="15.42578125" customWidth="1"/>
    <col min="84" max="84" width="21.28515625" customWidth="1"/>
    <col min="85" max="85" width="16" customWidth="1"/>
    <col min="86" max="86" width="32.7109375" customWidth="1"/>
    <col min="87" max="87" width="17.28515625" customWidth="1"/>
    <col min="88" max="88" width="15" customWidth="1"/>
    <col min="90" max="90" width="17.85546875" customWidth="1"/>
    <col min="92" max="92" width="16.7109375" customWidth="1"/>
    <col min="96" max="96" width="20.5703125" customWidth="1"/>
    <col min="97" max="97" width="21.5703125" customWidth="1"/>
  </cols>
  <sheetData>
    <row r="24" spans="69:81" x14ac:dyDescent="0.25">
      <c r="BX24" s="18" t="s">
        <v>36</v>
      </c>
    </row>
    <row r="25" spans="69:81" x14ac:dyDescent="0.25">
      <c r="BX25" s="19" t="s">
        <v>54</v>
      </c>
    </row>
    <row r="26" spans="69:81" x14ac:dyDescent="0.25">
      <c r="BX26" s="38">
        <f>(48*60)*CC71*CF71*CG46</f>
        <v>12.470400000000003</v>
      </c>
    </row>
    <row r="27" spans="69:81" x14ac:dyDescent="0.25">
      <c r="BX27" s="1">
        <f>BU33</f>
        <v>43.6464</v>
      </c>
    </row>
    <row r="28" spans="69:81" x14ac:dyDescent="0.25">
      <c r="BQ28" s="30" t="s">
        <v>51</v>
      </c>
      <c r="BR28" s="31"/>
      <c r="BT28" s="470" t="s">
        <v>66</v>
      </c>
      <c r="BU28" s="460"/>
      <c r="BX28" s="13" t="s">
        <v>34</v>
      </c>
    </row>
    <row r="29" spans="69:81" x14ac:dyDescent="0.25">
      <c r="BQ29" s="32" t="str">
        <f>BT28</f>
        <v>Rollo de tela</v>
      </c>
      <c r="BR29" s="33"/>
      <c r="BT29" s="471"/>
      <c r="BU29" s="462"/>
      <c r="BX29" s="2" t="s">
        <v>65</v>
      </c>
      <c r="BZ29" s="424" t="s">
        <v>64</v>
      </c>
      <c r="CA29" s="425"/>
    </row>
    <row r="30" spans="69:81" x14ac:dyDescent="0.25">
      <c r="BQ30" s="12">
        <f>BU31</f>
        <v>46.166400000000003</v>
      </c>
      <c r="BR30" s="4" t="s">
        <v>18</v>
      </c>
      <c r="BT30" s="5" t="s">
        <v>30</v>
      </c>
      <c r="BU30" s="5" t="s">
        <v>1</v>
      </c>
      <c r="BV30" s="5" t="s">
        <v>42</v>
      </c>
      <c r="BX30" s="14" t="s">
        <v>35</v>
      </c>
      <c r="BZ30" s="426"/>
      <c r="CA30" s="427"/>
    </row>
    <row r="31" spans="69:81" x14ac:dyDescent="0.25">
      <c r="BQ31" s="12">
        <f>BT31</f>
        <v>461.66400000000004</v>
      </c>
      <c r="BR31" s="4" t="s">
        <v>16</v>
      </c>
      <c r="BT31" s="5">
        <f>BU31*10</f>
        <v>461.66400000000004</v>
      </c>
      <c r="BU31" s="4">
        <f>SUM(BU33:BU38)</f>
        <v>46.166400000000003</v>
      </c>
      <c r="BV31" s="36"/>
      <c r="BX31">
        <f>CA32</f>
        <v>31.176000000000002</v>
      </c>
      <c r="BZ31" s="5" t="s">
        <v>30</v>
      </c>
      <c r="CA31" s="5" t="s">
        <v>1</v>
      </c>
      <c r="CB31" s="5" t="s">
        <v>42</v>
      </c>
      <c r="CC31" s="18" t="s">
        <v>36</v>
      </c>
    </row>
    <row r="32" spans="69:81" x14ac:dyDescent="0.25">
      <c r="BT32" s="465" t="s">
        <v>67</v>
      </c>
      <c r="BU32" s="14">
        <f>(48*210)*CC71*CG46</f>
        <v>436.464</v>
      </c>
      <c r="BV32" t="s">
        <v>69</v>
      </c>
      <c r="BX32" s="15" t="s">
        <v>36</v>
      </c>
      <c r="BZ32" s="5">
        <f>CG46*CA71*CC71</f>
        <v>311.76</v>
      </c>
      <c r="CA32" s="4">
        <f>CG46*CA71*CC71*CF71</f>
        <v>31.176000000000002</v>
      </c>
      <c r="CB32" s="36"/>
      <c r="CC32" s="19" t="s">
        <v>54</v>
      </c>
    </row>
    <row r="33" spans="58:92" x14ac:dyDescent="0.25">
      <c r="BT33" s="466"/>
      <c r="BU33" s="14">
        <f>(48*210)*CC71*CF71*CG46</f>
        <v>43.6464</v>
      </c>
      <c r="BV33" t="s">
        <v>68</v>
      </c>
      <c r="BX33" s="35" t="s">
        <v>63</v>
      </c>
      <c r="CC33" s="18">
        <f>(BZ43-CA72)*CC72*CF72*CG46</f>
        <v>2.9509617859200012E-2</v>
      </c>
    </row>
    <row r="34" spans="58:92" x14ac:dyDescent="0.25">
      <c r="BT34" t="str">
        <f>BM98</f>
        <v>Por tapa almohada triturada</v>
      </c>
      <c r="BU34" s="14">
        <f>BN99</f>
        <v>2.5200000000000005</v>
      </c>
      <c r="BV34" s="106" t="str">
        <f>BO99</f>
        <v>sale kg</v>
      </c>
      <c r="BX34" s="28"/>
      <c r="CC34" s="1">
        <f>CA32+CA42</f>
        <v>31.402240403587204</v>
      </c>
    </row>
    <row r="35" spans="58:92" x14ac:dyDescent="0.25">
      <c r="BX35" s="16"/>
      <c r="CC35" s="13" t="s">
        <v>34</v>
      </c>
    </row>
    <row r="36" spans="58:92" x14ac:dyDescent="0.25">
      <c r="CC36" s="2" t="s">
        <v>60</v>
      </c>
    </row>
    <row r="37" spans="58:92" x14ac:dyDescent="0.25">
      <c r="BX37" s="22">
        <f>BU33-BX26-CA32</f>
        <v>0</v>
      </c>
      <c r="CC37" s="14" t="s">
        <v>35</v>
      </c>
    </row>
    <row r="38" spans="58:92" x14ac:dyDescent="0.25">
      <c r="CC38">
        <f>CH46</f>
        <v>31.372730785728002</v>
      </c>
    </row>
    <row r="39" spans="58:92" x14ac:dyDescent="0.25">
      <c r="BW39" s="404" t="s">
        <v>51</v>
      </c>
      <c r="BX39" s="405"/>
      <c r="BZ39" s="424" t="s">
        <v>73</v>
      </c>
      <c r="CA39" s="425"/>
      <c r="CC39" s="15" t="s">
        <v>36</v>
      </c>
    </row>
    <row r="40" spans="58:92" x14ac:dyDescent="0.25">
      <c r="BW40" s="406" t="str">
        <f>BZ39</f>
        <v>Hilo funda de tela sin cremallera</v>
      </c>
      <c r="BX40" s="407"/>
      <c r="BZ40" s="426"/>
      <c r="CA40" s="427"/>
      <c r="CC40" s="35" t="s">
        <v>63</v>
      </c>
    </row>
    <row r="41" spans="58:92" x14ac:dyDescent="0.25">
      <c r="BK41" s="18" t="s">
        <v>36</v>
      </c>
      <c r="BW41" s="12">
        <f>CA42</f>
        <v>0.22624040358720002</v>
      </c>
      <c r="BX41" s="4" t="s">
        <v>18</v>
      </c>
      <c r="BZ41" s="5" t="s">
        <v>30</v>
      </c>
      <c r="CA41" s="5" t="s">
        <v>1</v>
      </c>
      <c r="CB41" s="5" t="s">
        <v>42</v>
      </c>
      <c r="CC41" s="28"/>
    </row>
    <row r="42" spans="58:92" x14ac:dyDescent="0.25">
      <c r="BK42" s="19" t="s">
        <v>54</v>
      </c>
      <c r="BW42" s="12">
        <f>BZ42</f>
        <v>2915.9952000000003</v>
      </c>
      <c r="BX42" s="4" t="s">
        <v>16</v>
      </c>
      <c r="BZ42" s="5">
        <f>CG46*BZ43*CC70</f>
        <v>2915.9952000000003</v>
      </c>
      <c r="CA42" s="4">
        <f>CG46*BZ43*CC70*CF70</f>
        <v>0.22624040358720002</v>
      </c>
      <c r="CB42" s="37"/>
      <c r="CC42" s="16"/>
    </row>
    <row r="43" spans="58:92" x14ac:dyDescent="0.25">
      <c r="BK43" s="38">
        <f>(47.5*85*0.3)*CC69*CF69*(BU53*2/2)</f>
        <v>6.2936549999999993</v>
      </c>
      <c r="BZ43" s="34">
        <v>673.44</v>
      </c>
      <c r="CG43" s="410" t="s">
        <v>61</v>
      </c>
      <c r="CH43" s="410"/>
    </row>
    <row r="44" spans="58:92" x14ac:dyDescent="0.25">
      <c r="BF44" s="472" t="s">
        <v>53</v>
      </c>
      <c r="BG44" s="472"/>
      <c r="BK44" s="1">
        <f>BI42+BI52</f>
        <v>0</v>
      </c>
      <c r="BW44" s="404" t="s">
        <v>51</v>
      </c>
      <c r="BX44" s="405"/>
      <c r="BZ44" s="14" t="s">
        <v>62</v>
      </c>
      <c r="CC44" s="22">
        <f>CA42+CA32-CH46</f>
        <v>2.9509617859201143E-2</v>
      </c>
      <c r="CG44" s="410"/>
      <c r="CH44" s="410"/>
    </row>
    <row r="45" spans="58:92" x14ac:dyDescent="0.25">
      <c r="BF45" s="472"/>
      <c r="BG45" s="472"/>
      <c r="BK45" s="13" t="s">
        <v>34</v>
      </c>
      <c r="BN45" s="410" t="s">
        <v>48</v>
      </c>
      <c r="BO45" s="410"/>
      <c r="BW45" s="406" t="str">
        <f>BZ50</f>
        <v>Hilo bolsa espuma</v>
      </c>
      <c r="BX45" s="407"/>
      <c r="CG45" s="5" t="s">
        <v>4</v>
      </c>
      <c r="CH45" s="5" t="s">
        <v>1</v>
      </c>
    </row>
    <row r="46" spans="58:92" x14ac:dyDescent="0.25">
      <c r="BF46" s="5" t="s">
        <v>50</v>
      </c>
      <c r="BG46" s="5" t="s">
        <v>1</v>
      </c>
      <c r="BH46" s="5" t="s">
        <v>42</v>
      </c>
      <c r="BK46" s="2" t="s">
        <v>71</v>
      </c>
      <c r="BN46" s="410"/>
      <c r="BO46" s="410"/>
      <c r="BW46" s="12">
        <f>CA53</f>
        <v>7.3774044648000012E-2</v>
      </c>
      <c r="BX46" s="4" t="s">
        <v>18</v>
      </c>
      <c r="CG46" s="5">
        <f>CL49</f>
        <v>433</v>
      </c>
      <c r="CH46" s="4">
        <f>CG46*(CH72+CH71)</f>
        <v>31.372730785728002</v>
      </c>
    </row>
    <row r="47" spans="58:92" x14ac:dyDescent="0.25">
      <c r="BF47" s="5">
        <f>BV68*2*BM52</f>
        <v>0</v>
      </c>
      <c r="BG47" s="4">
        <f>CA68*BM52</f>
        <v>0</v>
      </c>
      <c r="BH47" s="5"/>
      <c r="BK47" s="14" t="s">
        <v>35</v>
      </c>
      <c r="BN47" s="5" t="s">
        <v>50</v>
      </c>
      <c r="BO47" s="5" t="s">
        <v>1</v>
      </c>
      <c r="BP47" s="5" t="s">
        <v>42</v>
      </c>
      <c r="BQ47" s="18" t="s">
        <v>36</v>
      </c>
      <c r="BW47" s="12">
        <f>BZ53</f>
        <v>950.86800000000005</v>
      </c>
      <c r="BX47" s="4" t="s">
        <v>16</v>
      </c>
      <c r="CJ47">
        <f>CH46+CH52</f>
        <v>130.68641567037602</v>
      </c>
      <c r="CL47" s="416" t="s">
        <v>52</v>
      </c>
      <c r="CM47" s="416"/>
    </row>
    <row r="48" spans="58:92" ht="18.75" customHeight="1" x14ac:dyDescent="0.25">
      <c r="BF48" s="465" t="s">
        <v>55</v>
      </c>
      <c r="BG48" s="14">
        <f>(47.5*210*0.3)*CC69*(BU53*2/2)</f>
        <v>1.2957524999999999</v>
      </c>
      <c r="BH48" t="s">
        <v>70</v>
      </c>
      <c r="BK48" s="1">
        <f>BO48</f>
        <v>9.255374999999999</v>
      </c>
      <c r="BN48" s="5">
        <f>CD69*2*BU53</f>
        <v>0.77128124999999992</v>
      </c>
      <c r="BO48" s="4">
        <f>CI69*BU53</f>
        <v>9.255374999999999</v>
      </c>
      <c r="BP48" s="5"/>
      <c r="BQ48" s="19">
        <v>1E-4</v>
      </c>
      <c r="CJ48" s="13" t="s">
        <v>34</v>
      </c>
      <c r="CL48" s="436" t="s">
        <v>6</v>
      </c>
      <c r="CM48" s="436"/>
      <c r="CN48" s="65" t="s">
        <v>88</v>
      </c>
    </row>
    <row r="49" spans="54:91" ht="22.5" customHeight="1" x14ac:dyDescent="0.25">
      <c r="BF49" s="466"/>
      <c r="BG49" s="14">
        <f>(47.5*210*0.3)*CC69*CF69*(BU53*2/2)</f>
        <v>15.549029999999998</v>
      </c>
      <c r="BH49" t="s">
        <v>68</v>
      </c>
      <c r="BK49" s="15" t="s">
        <v>36</v>
      </c>
      <c r="BQ49" s="18">
        <f>BQ50+BQ50*BQ48</f>
        <v>12.641174831083999</v>
      </c>
      <c r="CJ49" s="2" t="s">
        <v>3</v>
      </c>
      <c r="CL49" s="23">
        <f>'Flujos Planta Final'!CL55</f>
        <v>433</v>
      </c>
      <c r="CM49" s="4" t="s">
        <v>27</v>
      </c>
    </row>
    <row r="50" spans="54:91" x14ac:dyDescent="0.25">
      <c r="BB50" s="24" t="s">
        <v>51</v>
      </c>
      <c r="BC50" s="24"/>
      <c r="BK50" s="20" t="s">
        <v>57</v>
      </c>
      <c r="BQ50" s="1">
        <f>BO48+BO58</f>
        <v>12.639910839999999</v>
      </c>
      <c r="BU50" s="410" t="s">
        <v>46</v>
      </c>
      <c r="BV50" s="410"/>
      <c r="BZ50" s="424" t="s">
        <v>31</v>
      </c>
      <c r="CA50" s="425"/>
      <c r="CG50" s="410" t="s">
        <v>0</v>
      </c>
      <c r="CH50" s="410"/>
      <c r="CJ50" s="14" t="s">
        <v>35</v>
      </c>
      <c r="CL50" s="4">
        <f>CL49*$CI$75</f>
        <v>130.68641567037602</v>
      </c>
      <c r="CM50" s="4" t="s">
        <v>28</v>
      </c>
    </row>
    <row r="51" spans="54:91" x14ac:dyDescent="0.25">
      <c r="BB51" s="25" t="str">
        <f>BF44</f>
        <v xml:space="preserve">Rollo de espuma </v>
      </c>
      <c r="BC51" s="4"/>
      <c r="BK51" s="20"/>
      <c r="BQ51" s="13" t="s">
        <v>34</v>
      </c>
      <c r="BU51" s="410"/>
      <c r="BV51" s="410"/>
      <c r="BZ51" s="426"/>
      <c r="CA51" s="427"/>
      <c r="CG51" s="5" t="s">
        <v>4</v>
      </c>
      <c r="CH51" s="5" t="s">
        <v>1</v>
      </c>
      <c r="CJ51">
        <f>CL50</f>
        <v>130.68641567037602</v>
      </c>
    </row>
    <row r="52" spans="54:91" x14ac:dyDescent="0.25">
      <c r="BB52" s="12">
        <f>BG47</f>
        <v>0</v>
      </c>
      <c r="BC52" s="4" t="s">
        <v>18</v>
      </c>
      <c r="BQ52" s="2" t="s">
        <v>72</v>
      </c>
      <c r="BU52" s="5" t="s">
        <v>41</v>
      </c>
      <c r="BV52" s="5" t="s">
        <v>1</v>
      </c>
      <c r="BW52" s="5" t="s">
        <v>42</v>
      </c>
      <c r="BX52" s="18" t="s">
        <v>36</v>
      </c>
      <c r="BZ52" s="5" t="s">
        <v>30</v>
      </c>
      <c r="CA52" s="5" t="s">
        <v>1</v>
      </c>
      <c r="CB52" s="5" t="s">
        <v>42</v>
      </c>
      <c r="CC52" s="18" t="s">
        <v>36</v>
      </c>
      <c r="CG52" s="5">
        <f>CL49</f>
        <v>433</v>
      </c>
      <c r="CH52" s="4">
        <f>CG52*(CI69+CH73+CH70+CH68)</f>
        <v>99.313684884648012</v>
      </c>
      <c r="CJ52" s="15" t="s">
        <v>36</v>
      </c>
    </row>
    <row r="53" spans="54:91" x14ac:dyDescent="0.25">
      <c r="BB53" s="12">
        <f>BF47</f>
        <v>0</v>
      </c>
      <c r="BC53" s="4" t="s">
        <v>15</v>
      </c>
      <c r="BQ53" s="14" t="s">
        <v>35</v>
      </c>
      <c r="BU53" s="5">
        <f>BZ63</f>
        <v>433</v>
      </c>
      <c r="BV53" s="4">
        <f>(CI69+CH73)*BU53</f>
        <v>12.639910839999999</v>
      </c>
      <c r="BW53" s="5"/>
      <c r="BX53" s="19">
        <v>1E-4</v>
      </c>
      <c r="BZ53" s="5">
        <f>CD70*CG52</f>
        <v>950.86800000000005</v>
      </c>
      <c r="CA53" s="4">
        <f>CH70*CG52</f>
        <v>7.3774044648000012E-2</v>
      </c>
      <c r="CB53" s="5">
        <f>IF(CC61&gt;0,CA53+CC61/2,CA53)</f>
        <v>7.8739728892233171E-2</v>
      </c>
      <c r="CC53" s="19">
        <v>1E-4</v>
      </c>
      <c r="CJ53" s="1">
        <f>CJ47-CJ51</f>
        <v>0</v>
      </c>
    </row>
    <row r="54" spans="54:91" x14ac:dyDescent="0.25">
      <c r="BG54" s="41" t="s">
        <v>58</v>
      </c>
      <c r="BH54" s="41"/>
      <c r="BK54" s="21">
        <f>BG49-BO48</f>
        <v>6.2936549999999993</v>
      </c>
      <c r="BQ54" s="1">
        <f>BV53</f>
        <v>12.639910839999999</v>
      </c>
      <c r="BX54" s="18">
        <f>BX55+BX55*BX53</f>
        <v>99.249834831084002</v>
      </c>
      <c r="CC54" s="18">
        <f>CC55+CC55*CC53</f>
        <v>99.323616253136478</v>
      </c>
      <c r="CJ54" s="28" t="s">
        <v>45</v>
      </c>
    </row>
    <row r="55" spans="54:91" x14ac:dyDescent="0.25">
      <c r="BG55" s="25" t="s">
        <v>59</v>
      </c>
      <c r="BH55" s="4"/>
      <c r="BN55" s="410" t="s">
        <v>49</v>
      </c>
      <c r="BO55" s="410"/>
      <c r="BQ55" s="15" t="s">
        <v>36</v>
      </c>
      <c r="BX55" s="1">
        <f>BV53+BV63</f>
        <v>99.239910840000007</v>
      </c>
      <c r="CC55" s="1">
        <f>CA53+CA63</f>
        <v>99.313684884648012</v>
      </c>
    </row>
    <row r="56" spans="54:91" x14ac:dyDescent="0.25">
      <c r="BG56" s="12">
        <f>BK43</f>
        <v>6.2936549999999993</v>
      </c>
      <c r="BH56" s="4" t="s">
        <v>18</v>
      </c>
      <c r="BN56" s="410"/>
      <c r="BO56" s="410"/>
      <c r="BQ56" s="17">
        <f>IF(BQ49=BQ50,BQ50-BQ54,BQ49-BQ54)</f>
        <v>1.2639910840004376E-3</v>
      </c>
      <c r="BX56" s="13" t="s">
        <v>34</v>
      </c>
      <c r="CC56" s="13" t="s">
        <v>34</v>
      </c>
    </row>
    <row r="57" spans="54:91" x14ac:dyDescent="0.25">
      <c r="BG57" s="12">
        <f>BK43</f>
        <v>6.2936549999999993</v>
      </c>
      <c r="BH57" s="4" t="s">
        <v>18</v>
      </c>
      <c r="BN57" s="5" t="s">
        <v>50</v>
      </c>
      <c r="BO57" s="5" t="s">
        <v>1</v>
      </c>
      <c r="BP57" s="5" t="s">
        <v>42</v>
      </c>
      <c r="BQ57" s="28" t="s">
        <v>45</v>
      </c>
      <c r="BX57" s="2" t="s">
        <v>44</v>
      </c>
      <c r="CC57" s="2" t="s">
        <v>29</v>
      </c>
    </row>
    <row r="58" spans="54:91" x14ac:dyDescent="0.25">
      <c r="BN58" s="5">
        <f>BU53*CD73</f>
        <v>3.0309999999999998E-3</v>
      </c>
      <c r="BO58" s="4">
        <f>CH73*BU53</f>
        <v>3.3845358400000003</v>
      </c>
      <c r="BP58" s="5"/>
      <c r="BX58" s="14" t="s">
        <v>35</v>
      </c>
      <c r="CC58" s="14" t="s">
        <v>35</v>
      </c>
    </row>
    <row r="59" spans="54:91" x14ac:dyDescent="0.25">
      <c r="BX59" s="1">
        <f>CA63</f>
        <v>99.239910840000007</v>
      </c>
      <c r="CC59">
        <f>CH52</f>
        <v>99.313684884648012</v>
      </c>
    </row>
    <row r="60" spans="54:91" x14ac:dyDescent="0.25">
      <c r="BQ60" s="21">
        <f>BO58+BO48-BV53</f>
        <v>0</v>
      </c>
      <c r="BU60" s="410" t="s">
        <v>47</v>
      </c>
      <c r="BV60" s="410"/>
      <c r="BX60" s="15" t="s">
        <v>36</v>
      </c>
      <c r="BZ60" s="410" t="s">
        <v>40</v>
      </c>
      <c r="CA60" s="410"/>
      <c r="CC60" s="15" t="s">
        <v>36</v>
      </c>
    </row>
    <row r="61" spans="54:91" x14ac:dyDescent="0.25">
      <c r="BU61" s="410"/>
      <c r="BV61" s="410"/>
      <c r="BX61" s="17">
        <f>IF(BX54=BX55,BX55-BX59,BX54-BX59)</f>
        <v>9.9239910839941103E-3</v>
      </c>
      <c r="BZ61" s="410"/>
      <c r="CA61" s="410"/>
      <c r="CC61" s="17">
        <f>IF(CC54=CC55,CC55-CC59,CC54-CC59)</f>
        <v>9.9313684884663189E-3</v>
      </c>
    </row>
    <row r="62" spans="54:91" x14ac:dyDescent="0.25">
      <c r="BU62" s="5" t="s">
        <v>1</v>
      </c>
      <c r="BV62" s="5" t="s">
        <v>1</v>
      </c>
      <c r="BW62" s="5" t="s">
        <v>42</v>
      </c>
      <c r="BX62" s="28" t="s">
        <v>45</v>
      </c>
      <c r="BZ62" s="5" t="s">
        <v>41</v>
      </c>
      <c r="CA62" s="5" t="s">
        <v>1</v>
      </c>
      <c r="CB62" s="5" t="s">
        <v>42</v>
      </c>
      <c r="CC62" s="28" t="s">
        <v>45</v>
      </c>
    </row>
    <row r="63" spans="54:91" x14ac:dyDescent="0.25">
      <c r="BK63" s="24" t="s">
        <v>51</v>
      </c>
      <c r="BL63" s="24"/>
      <c r="BU63" s="5">
        <f>CH68*BZ63</f>
        <v>86.600000000000009</v>
      </c>
      <c r="BV63" s="4">
        <f>CH68*BU53</f>
        <v>86.600000000000009</v>
      </c>
      <c r="BW63" s="5"/>
      <c r="BZ63" s="5">
        <f>CG52</f>
        <v>433</v>
      </c>
      <c r="CA63" s="4">
        <f>(CH68+CI69+CH73)*BZ63</f>
        <v>99.239910840000007</v>
      </c>
      <c r="CB63" s="5">
        <f>IF(CC61&gt;0,CA63+CC61/2,CA63)</f>
        <v>99.244876524244233</v>
      </c>
      <c r="CC63" s="16"/>
    </row>
    <row r="64" spans="54:91" x14ac:dyDescent="0.25">
      <c r="BK64" s="25" t="str">
        <f>BN55</f>
        <v>Pegamento poliuterano</v>
      </c>
      <c r="BL64" s="4"/>
    </row>
    <row r="65" spans="63:88" x14ac:dyDescent="0.25">
      <c r="BK65" s="12">
        <f>BO58</f>
        <v>3.3845358400000003</v>
      </c>
      <c r="BL65" s="4" t="s">
        <v>18</v>
      </c>
      <c r="BX65" s="21">
        <f>BV63+BV53-CA63</f>
        <v>0</v>
      </c>
      <c r="CC65" s="22">
        <f>CA63+CA53-CH52</f>
        <v>0</v>
      </c>
    </row>
    <row r="66" spans="63:88" x14ac:dyDescent="0.25">
      <c r="BK66" s="12">
        <f>BN58</f>
        <v>3.0309999999999998E-3</v>
      </c>
      <c r="BL66" s="4" t="s">
        <v>15</v>
      </c>
      <c r="BT66" s="18" t="s">
        <v>36</v>
      </c>
    </row>
    <row r="67" spans="63:88" x14ac:dyDescent="0.25">
      <c r="BT67" s="19">
        <v>1E-4</v>
      </c>
      <c r="CA67" s="436" t="s">
        <v>6</v>
      </c>
      <c r="CB67" s="436"/>
      <c r="CC67" s="4" t="s">
        <v>19</v>
      </c>
      <c r="CD67" s="5" t="s">
        <v>20</v>
      </c>
      <c r="CE67" s="5" t="s">
        <v>2</v>
      </c>
      <c r="CF67" s="5" t="s">
        <v>21</v>
      </c>
      <c r="CG67" s="5" t="s">
        <v>2</v>
      </c>
      <c r="CH67" s="11" t="s">
        <v>24</v>
      </c>
    </row>
    <row r="68" spans="63:88" x14ac:dyDescent="0.25">
      <c r="BT68" s="18">
        <f>BT69+BT69*BT67</f>
        <v>28.017987012331478</v>
      </c>
      <c r="BZ68" s="5" t="s">
        <v>8</v>
      </c>
      <c r="CA68" s="3">
        <v>200</v>
      </c>
      <c r="CB68" s="3" t="s">
        <v>5</v>
      </c>
      <c r="CC68" s="23">
        <f>1/1000</f>
        <v>1E-3</v>
      </c>
      <c r="CD68" s="23">
        <f t="shared" ref="CD68:CD73" si="0">CA68*CC68</f>
        <v>0.2</v>
      </c>
      <c r="CE68" s="23" t="s">
        <v>18</v>
      </c>
      <c r="CF68" s="23">
        <v>1</v>
      </c>
      <c r="CG68" s="23"/>
      <c r="CH68" s="39">
        <f>CF68*CD68</f>
        <v>0.2</v>
      </c>
    </row>
    <row r="69" spans="63:88" x14ac:dyDescent="0.25">
      <c r="BT69" s="170">
        <f>BG56+AS328</f>
        <v>28.015185493782099</v>
      </c>
      <c r="BZ69" s="5" t="s">
        <v>7</v>
      </c>
      <c r="CA69" s="3">
        <f>47.5*62.5*0.3</f>
        <v>890.625</v>
      </c>
      <c r="CB69" s="3" t="s">
        <v>26</v>
      </c>
      <c r="CC69" s="23">
        <f>1/1000000</f>
        <v>9.9999999999999995E-7</v>
      </c>
      <c r="CD69" s="23">
        <f t="shared" si="0"/>
        <v>8.9062499999999992E-4</v>
      </c>
      <c r="CE69" s="23" t="s">
        <v>15</v>
      </c>
      <c r="CF69" s="23">
        <v>12</v>
      </c>
      <c r="CG69" s="23" t="s">
        <v>13</v>
      </c>
      <c r="CH69" s="23">
        <f>CF69*CD69</f>
        <v>1.0687499999999999E-2</v>
      </c>
      <c r="CI69" s="4">
        <f>CH69*2</f>
        <v>2.1374999999999998E-2</v>
      </c>
    </row>
    <row r="70" spans="63:88" x14ac:dyDescent="0.25">
      <c r="BT70" s="13" t="s">
        <v>34</v>
      </c>
      <c r="BZ70" s="5" t="s">
        <v>32</v>
      </c>
      <c r="CA70" s="3">
        <v>219.6</v>
      </c>
      <c r="CB70" s="3" t="s">
        <v>10</v>
      </c>
      <c r="CC70" s="23">
        <f>1/100</f>
        <v>0.01</v>
      </c>
      <c r="CD70" s="23">
        <f t="shared" si="0"/>
        <v>2.1960000000000002</v>
      </c>
      <c r="CE70" s="23" t="s">
        <v>16</v>
      </c>
      <c r="CF70" s="23">
        <v>7.7585999999999999E-5</v>
      </c>
      <c r="CG70" s="23" t="s">
        <v>22</v>
      </c>
      <c r="CH70" s="40">
        <f t="shared" ref="CH70:CH73" si="1">CF70*CD70</f>
        <v>1.7037885600000002E-4</v>
      </c>
    </row>
    <row r="71" spans="63:88" x14ac:dyDescent="0.25">
      <c r="BT71" s="29" t="s">
        <v>56</v>
      </c>
      <c r="BZ71" s="5" t="s">
        <v>11</v>
      </c>
      <c r="CA71" s="3">
        <v>7200</v>
      </c>
      <c r="CB71" s="3" t="s">
        <v>9</v>
      </c>
      <c r="CC71" s="23">
        <f>0.0001</f>
        <v>1E-4</v>
      </c>
      <c r="CD71" s="23">
        <f t="shared" si="0"/>
        <v>0.72000000000000008</v>
      </c>
      <c r="CE71" s="23" t="s">
        <v>17</v>
      </c>
      <c r="CF71" s="23">
        <v>0.1</v>
      </c>
      <c r="CG71" s="23" t="s">
        <v>23</v>
      </c>
      <c r="CH71" s="23">
        <f t="shared" si="1"/>
        <v>7.2000000000000008E-2</v>
      </c>
    </row>
    <row r="72" spans="63:88" x14ac:dyDescent="0.25">
      <c r="BT72" s="14" t="s">
        <v>35</v>
      </c>
      <c r="BW72" s="404" t="s">
        <v>51</v>
      </c>
      <c r="BX72" s="405"/>
      <c r="BZ72" s="5" t="s">
        <v>33</v>
      </c>
      <c r="CA72" s="3">
        <v>585.6</v>
      </c>
      <c r="CB72" s="3" t="s">
        <v>10</v>
      </c>
      <c r="CC72" s="23">
        <f>1/100</f>
        <v>0.01</v>
      </c>
      <c r="CD72" s="23">
        <f t="shared" si="0"/>
        <v>5.8560000000000008</v>
      </c>
      <c r="CE72" s="23" t="s">
        <v>16</v>
      </c>
      <c r="CF72" s="23">
        <v>7.7585999999999999E-5</v>
      </c>
      <c r="CG72" s="23" t="s">
        <v>22</v>
      </c>
      <c r="CH72" s="23">
        <f t="shared" si="1"/>
        <v>4.5434361600000004E-4</v>
      </c>
    </row>
    <row r="73" spans="63:88" x14ac:dyDescent="0.25">
      <c r="BT73" s="21">
        <f>BT69</f>
        <v>28.015185493782099</v>
      </c>
      <c r="BW73" s="406" t="str">
        <f>BU60</f>
        <v>Espuma triturada</v>
      </c>
      <c r="BX73" s="407"/>
      <c r="BZ73" s="5" t="s">
        <v>12</v>
      </c>
      <c r="CA73" s="3">
        <v>7</v>
      </c>
      <c r="CB73" s="3" t="s">
        <v>14</v>
      </c>
      <c r="CC73" s="23">
        <f>1/1000000</f>
        <v>9.9999999999999995E-7</v>
      </c>
      <c r="CD73" s="23">
        <f t="shared" si="0"/>
        <v>6.9999999999999999E-6</v>
      </c>
      <c r="CE73" s="23" t="s">
        <v>15</v>
      </c>
      <c r="CF73" s="23">
        <v>1116.6400000000001</v>
      </c>
      <c r="CG73" s="23" t="s">
        <v>13</v>
      </c>
      <c r="CH73" s="23">
        <f t="shared" si="1"/>
        <v>7.8164800000000006E-3</v>
      </c>
    </row>
    <row r="74" spans="63:88" x14ac:dyDescent="0.25">
      <c r="BT74" s="15" t="s">
        <v>36</v>
      </c>
      <c r="BW74" s="43">
        <f>IF(BV63-BT73&lt;0,0,BV63-BT73)</f>
        <v>58.58481450621791</v>
      </c>
      <c r="BX74" s="44" t="s">
        <v>18</v>
      </c>
      <c r="CI74" s="410" t="s">
        <v>25</v>
      </c>
      <c r="CJ74" s="410"/>
    </row>
    <row r="75" spans="63:88" x14ac:dyDescent="0.25">
      <c r="BT75" s="17">
        <f>IF(BT68=BT69,BT69-BT73,BT68-BT73)</f>
        <v>2.8015185493792671E-3</v>
      </c>
      <c r="BW75" s="43">
        <f>IF(BV63-BT73&lt;0,0,BV63-BT73)</f>
        <v>58.58481450621791</v>
      </c>
      <c r="BX75" s="44" t="s">
        <v>18</v>
      </c>
      <c r="CI75" s="4">
        <f>CH68+CI69+CH70+CH71+CH72+CH73</f>
        <v>0.30181620247200003</v>
      </c>
      <c r="CJ75" s="4" t="s">
        <v>18</v>
      </c>
    </row>
    <row r="76" spans="63:88" x14ac:dyDescent="0.25">
      <c r="BT76" s="28"/>
    </row>
    <row r="77" spans="63:88" x14ac:dyDescent="0.25">
      <c r="BT77" s="164" t="s">
        <v>221</v>
      </c>
    </row>
    <row r="78" spans="63:88" x14ac:dyDescent="0.25">
      <c r="BT78" s="177">
        <f>BT73-BV63</f>
        <v>-58.58481450621791</v>
      </c>
    </row>
    <row r="79" spans="63:88" x14ac:dyDescent="0.25">
      <c r="BT79" s="21"/>
    </row>
    <row r="84" spans="62:72" ht="15.75" thickBot="1" x14ac:dyDescent="0.3"/>
    <row r="85" spans="62:72" x14ac:dyDescent="0.25">
      <c r="BM85" s="75"/>
      <c r="BN85" s="76"/>
      <c r="BO85" s="76"/>
      <c r="BP85" s="76"/>
      <c r="BQ85" s="77"/>
    </row>
    <row r="86" spans="62:72" x14ac:dyDescent="0.25">
      <c r="BM86" s="78"/>
      <c r="BN86" s="10"/>
      <c r="BO86" s="41" t="s">
        <v>58</v>
      </c>
      <c r="BP86" s="41"/>
      <c r="BQ86" s="79"/>
    </row>
    <row r="87" spans="62:72" x14ac:dyDescent="0.25">
      <c r="BM87" s="78"/>
      <c r="BN87" s="10"/>
      <c r="BO87" s="25" t="s">
        <v>100</v>
      </c>
      <c r="BP87" s="4"/>
      <c r="BQ87" s="79"/>
    </row>
    <row r="88" spans="62:72" x14ac:dyDescent="0.25">
      <c r="BM88" s="78"/>
      <c r="BN88" s="73">
        <f>BQ92/BO88</f>
        <v>40.800000000000004</v>
      </c>
      <c r="BO88" s="42">
        <f>62.5*40*BV137*BY137</f>
        <v>2.5000000000000001E-2</v>
      </c>
      <c r="BP88" s="4" t="s">
        <v>18</v>
      </c>
      <c r="BQ88" s="79"/>
    </row>
    <row r="89" spans="62:72" x14ac:dyDescent="0.25">
      <c r="BM89" s="78"/>
      <c r="BN89" s="10">
        <f>BQ92/BO89</f>
        <v>40.800000000000004</v>
      </c>
      <c r="BO89" s="42">
        <f>62.5*40*BV137*BY137</f>
        <v>2.5000000000000001E-2</v>
      </c>
      <c r="BP89" s="4" t="s">
        <v>18</v>
      </c>
      <c r="BQ89" s="79"/>
    </row>
    <row r="90" spans="62:72" x14ac:dyDescent="0.25">
      <c r="BM90" s="78"/>
      <c r="BN90" s="70">
        <f>ABS(ROUNDDOWN(BN88,0)-BN88)*BO88</f>
        <v>2.0000000000000108E-2</v>
      </c>
      <c r="BO90" s="10" t="s">
        <v>102</v>
      </c>
      <c r="BP90" s="10"/>
      <c r="BQ90" s="80" t="s">
        <v>36</v>
      </c>
    </row>
    <row r="91" spans="62:72" x14ac:dyDescent="0.25">
      <c r="BM91" s="78"/>
      <c r="BN91" s="71" t="s">
        <v>63</v>
      </c>
      <c r="BO91" s="10"/>
      <c r="BP91" s="10"/>
      <c r="BQ91" s="81" t="s">
        <v>54</v>
      </c>
    </row>
    <row r="92" spans="62:72" x14ac:dyDescent="0.25">
      <c r="BM92" s="78"/>
      <c r="BN92" s="10"/>
      <c r="BO92" s="10"/>
      <c r="BP92" s="10"/>
      <c r="BQ92" s="82">
        <f>(40*85)*BV137*30*BY137</f>
        <v>1.0200000000000002</v>
      </c>
    </row>
    <row r="93" spans="62:72" x14ac:dyDescent="0.25">
      <c r="BM93" s="78"/>
      <c r="BN93" s="10"/>
      <c r="BO93" s="10"/>
      <c r="BP93" s="10"/>
      <c r="BQ93" s="83">
        <f>BN99+ROUNDDOWN(BN88,0)*BV137*BY137*62.5*40</f>
        <v>3.5200000000000005</v>
      </c>
    </row>
    <row r="94" spans="62:72" x14ac:dyDescent="0.25">
      <c r="BJ94" s="30" t="s">
        <v>51</v>
      </c>
      <c r="BK94" s="31"/>
      <c r="BM94" s="459" t="s">
        <v>66</v>
      </c>
      <c r="BN94" s="460"/>
      <c r="BO94" s="10"/>
      <c r="BP94" s="10"/>
      <c r="BQ94" s="84" t="s">
        <v>34</v>
      </c>
    </row>
    <row r="95" spans="62:72" x14ac:dyDescent="0.25">
      <c r="BJ95" s="32" t="str">
        <f>BM94</f>
        <v>Rollo de tela</v>
      </c>
      <c r="BK95" s="33"/>
      <c r="BM95" s="461"/>
      <c r="BN95" s="462"/>
      <c r="BO95" s="10"/>
      <c r="BP95" s="10"/>
      <c r="BQ95" s="112" t="s">
        <v>65</v>
      </c>
      <c r="BS95" s="424" t="s">
        <v>64</v>
      </c>
      <c r="BT95" s="425"/>
    </row>
    <row r="96" spans="62:72" x14ac:dyDescent="0.25">
      <c r="BJ96" s="12">
        <f>BN97</f>
        <v>0</v>
      </c>
      <c r="BK96" s="4" t="s">
        <v>18</v>
      </c>
      <c r="BM96" s="85" t="s">
        <v>30</v>
      </c>
      <c r="BN96" s="6" t="s">
        <v>1</v>
      </c>
      <c r="BO96" s="6" t="s">
        <v>42</v>
      </c>
      <c r="BP96" s="10"/>
      <c r="BQ96" s="86" t="s">
        <v>35</v>
      </c>
      <c r="BS96" s="426"/>
      <c r="BT96" s="427"/>
    </row>
    <row r="97" spans="62:79" x14ac:dyDescent="0.25">
      <c r="BJ97" s="12">
        <f>BM97</f>
        <v>0</v>
      </c>
      <c r="BK97" s="4" t="s">
        <v>16</v>
      </c>
      <c r="BM97" s="85">
        <f>BT111*BN136*BP136</f>
        <v>0</v>
      </c>
      <c r="BN97" s="4">
        <f>BT111*BN136*BP136*BS136</f>
        <v>0</v>
      </c>
      <c r="BO97" s="36"/>
      <c r="BP97" s="10"/>
      <c r="BQ97" s="79">
        <f>BT98</f>
        <v>20.3</v>
      </c>
      <c r="BS97" s="6" t="s">
        <v>30</v>
      </c>
      <c r="BT97" s="6" t="s">
        <v>1</v>
      </c>
      <c r="BU97" s="6" t="s">
        <v>42</v>
      </c>
      <c r="BV97" s="18" t="s">
        <v>36</v>
      </c>
    </row>
    <row r="98" spans="62:79" x14ac:dyDescent="0.25">
      <c r="BM98" s="463" t="s">
        <v>67</v>
      </c>
      <c r="BN98" s="74">
        <f>(40*210)*BV137*30</f>
        <v>25.200000000000003</v>
      </c>
      <c r="BO98" s="10" t="s">
        <v>69</v>
      </c>
      <c r="BP98" s="10"/>
      <c r="BQ98" s="87" t="s">
        <v>36</v>
      </c>
      <c r="BS98" s="6">
        <f>BZ112*BW137*2</f>
        <v>203</v>
      </c>
      <c r="BT98" s="4">
        <f>CB137*BZ112</f>
        <v>20.3</v>
      </c>
      <c r="BU98" s="36"/>
      <c r="BV98" s="19" t="s">
        <v>54</v>
      </c>
    </row>
    <row r="99" spans="62:79" x14ac:dyDescent="0.25">
      <c r="BM99" s="464"/>
      <c r="BN99" s="74">
        <f>(40*210)*BV137*BY137*30</f>
        <v>2.5200000000000005</v>
      </c>
      <c r="BO99" s="10" t="s">
        <v>68</v>
      </c>
      <c r="BP99" s="10"/>
      <c r="BQ99" s="88"/>
      <c r="BV99" s="69">
        <f>BV110</f>
        <v>0.81218729829936009</v>
      </c>
    </row>
    <row r="100" spans="62:79" x14ac:dyDescent="0.25">
      <c r="BM100" s="78"/>
      <c r="BN100" s="48"/>
      <c r="BO100" s="10"/>
      <c r="BP100" s="10"/>
      <c r="BQ100" s="89"/>
      <c r="BR100" s="449" t="s">
        <v>98</v>
      </c>
      <c r="BS100" s="425"/>
      <c r="BV100" s="1">
        <f>BT98+BT108+BS103</f>
        <v>22.821002803072467</v>
      </c>
    </row>
    <row r="101" spans="62:79" x14ac:dyDescent="0.25">
      <c r="BM101" s="78"/>
      <c r="BN101" s="10"/>
      <c r="BO101" s="10"/>
      <c r="BP101" s="10"/>
      <c r="BQ101" s="90"/>
      <c r="BR101" s="450"/>
      <c r="BS101" s="427"/>
      <c r="BV101" s="13" t="s">
        <v>34</v>
      </c>
    </row>
    <row r="102" spans="62:79" x14ac:dyDescent="0.25">
      <c r="BM102" s="78"/>
      <c r="BN102" s="10"/>
      <c r="BO102" s="10"/>
      <c r="BP102" s="10"/>
      <c r="BQ102" s="79"/>
      <c r="BR102" s="8" t="s">
        <v>30</v>
      </c>
      <c r="BS102" s="6" t="s">
        <v>1</v>
      </c>
      <c r="BT102" s="6" t="s">
        <v>42</v>
      </c>
      <c r="BV102" s="109" t="s">
        <v>99</v>
      </c>
    </row>
    <row r="103" spans="62:79" ht="15.75" thickBot="1" x14ac:dyDescent="0.3">
      <c r="BM103" s="451" t="s">
        <v>51</v>
      </c>
      <c r="BN103" s="452"/>
      <c r="BO103" s="91"/>
      <c r="BP103" s="92" t="s">
        <v>101</v>
      </c>
      <c r="BQ103" s="93">
        <f>BN99-BQ92-BT98</f>
        <v>-18.8</v>
      </c>
      <c r="BR103" s="8">
        <f>BZ112*BW139</f>
        <v>158.34</v>
      </c>
      <c r="BS103" s="4">
        <f>BZ112*CA139</f>
        <v>1.3475744680851065</v>
      </c>
      <c r="BT103" s="36"/>
      <c r="BV103" s="14" t="s">
        <v>35</v>
      </c>
    </row>
    <row r="104" spans="62:79" x14ac:dyDescent="0.25">
      <c r="BM104" s="447" t="str">
        <f>BR100</f>
        <v>Cremallera</v>
      </c>
      <c r="BN104" s="448"/>
      <c r="BV104">
        <f>CA112</f>
        <v>22.008815504773107</v>
      </c>
    </row>
    <row r="105" spans="62:79" x14ac:dyDescent="0.25">
      <c r="BM105" s="12">
        <f>BS103</f>
        <v>1.3475744680851065</v>
      </c>
      <c r="BN105" s="4" t="s">
        <v>18</v>
      </c>
      <c r="BP105" s="404" t="s">
        <v>51</v>
      </c>
      <c r="BQ105" s="405"/>
      <c r="BS105" s="424" t="s">
        <v>73</v>
      </c>
      <c r="BT105" s="425"/>
      <c r="BV105" s="15" t="s">
        <v>36</v>
      </c>
    </row>
    <row r="106" spans="62:79" x14ac:dyDescent="0.25">
      <c r="BM106" s="12">
        <f>BR103</f>
        <v>158.34</v>
      </c>
      <c r="BN106" s="4" t="s">
        <v>16</v>
      </c>
      <c r="BP106" s="406" t="str">
        <f>BS105</f>
        <v>Hilo funda de tela sin cremallera</v>
      </c>
      <c r="BQ106" s="407"/>
      <c r="BS106" s="426"/>
      <c r="BT106" s="427"/>
      <c r="BV106" s="35" t="s">
        <v>63</v>
      </c>
    </row>
    <row r="107" spans="62:79" x14ac:dyDescent="0.25">
      <c r="BP107" s="12">
        <f>BT108</f>
        <v>1.17342833498736</v>
      </c>
      <c r="BQ107" s="4" t="s">
        <v>18</v>
      </c>
      <c r="BS107" s="6" t="s">
        <v>30</v>
      </c>
      <c r="BT107" s="6" t="s">
        <v>1</v>
      </c>
      <c r="BU107" s="6" t="s">
        <v>42</v>
      </c>
      <c r="BV107" s="110"/>
    </row>
    <row r="108" spans="62:79" x14ac:dyDescent="0.25">
      <c r="BP108" s="12">
        <f>BS108</f>
        <v>1318.82</v>
      </c>
      <c r="BQ108" s="4" t="s">
        <v>16</v>
      </c>
      <c r="BS108" s="6">
        <f>BS109</f>
        <v>1318.82</v>
      </c>
      <c r="BT108" s="4">
        <f>BS108*CA138</f>
        <v>1.17342833498736</v>
      </c>
      <c r="BU108" s="37"/>
      <c r="BV108" s="111"/>
    </row>
    <row r="109" spans="62:79" x14ac:dyDescent="0.25">
      <c r="BS109" s="34">
        <v>1318.82</v>
      </c>
      <c r="BZ109" s="410" t="s">
        <v>89</v>
      </c>
      <c r="CA109" s="410"/>
    </row>
    <row r="110" spans="62:79" x14ac:dyDescent="0.25">
      <c r="BP110" s="404" t="s">
        <v>51</v>
      </c>
      <c r="BQ110" s="405"/>
      <c r="BS110" s="14" t="s">
        <v>94</v>
      </c>
      <c r="BV110" s="22">
        <f>BT108+BT98+BS103-CA112</f>
        <v>0.81218729829936009</v>
      </c>
      <c r="BZ110" s="410"/>
      <c r="CA110" s="410"/>
    </row>
    <row r="111" spans="62:79" x14ac:dyDescent="0.25">
      <c r="BP111" s="406">
        <f>BS116</f>
        <v>0</v>
      </c>
      <c r="BQ111" s="407"/>
      <c r="BZ111" s="6" t="s">
        <v>4</v>
      </c>
      <c r="CA111" s="6" t="s">
        <v>1</v>
      </c>
    </row>
    <row r="112" spans="62:79" x14ac:dyDescent="0.25">
      <c r="BP112" s="12">
        <f>BT119</f>
        <v>0</v>
      </c>
      <c r="BQ112" s="4" t="s">
        <v>18</v>
      </c>
      <c r="BZ112" s="6">
        <f>CE115</f>
        <v>406</v>
      </c>
      <c r="CA112" s="4">
        <f>BZ112*(CA138+CB137+CA139)</f>
        <v>22.008815504773107</v>
      </c>
    </row>
    <row r="113" spans="83:85" x14ac:dyDescent="0.25">
      <c r="CE113" s="416" t="s">
        <v>52</v>
      </c>
      <c r="CF113" s="416"/>
    </row>
    <row r="114" spans="83:85" x14ac:dyDescent="0.25">
      <c r="CE114" s="436" t="str">
        <f>BZ109</f>
        <v xml:space="preserve">Funda de tela algodón-poliester con cremallera </v>
      </c>
      <c r="CF114" s="417"/>
      <c r="CG114" s="65" t="s">
        <v>37</v>
      </c>
    </row>
    <row r="115" spans="83:85" x14ac:dyDescent="0.25">
      <c r="CE115" s="23">
        <f>'Flujos Planta Final'!CL115</f>
        <v>406</v>
      </c>
      <c r="CF115" s="4" t="s">
        <v>27</v>
      </c>
    </row>
    <row r="116" spans="83:85" x14ac:dyDescent="0.25">
      <c r="CE116" s="4">
        <f>CA112</f>
        <v>22.008815504773107</v>
      </c>
      <c r="CF116" s="4" t="s">
        <v>28</v>
      </c>
    </row>
    <row r="125" spans="83:85" x14ac:dyDescent="0.25">
      <c r="CF125" t="s">
        <v>91</v>
      </c>
    </row>
    <row r="131" spans="65:81" x14ac:dyDescent="0.25">
      <c r="BV131" s="22">
        <f>BT129-CA118</f>
        <v>0</v>
      </c>
    </row>
    <row r="133" spans="65:81" x14ac:dyDescent="0.25">
      <c r="BT133" s="415" t="s">
        <v>125</v>
      </c>
      <c r="BU133" s="415"/>
      <c r="BV133" s="4" t="s">
        <v>19</v>
      </c>
      <c r="BW133" s="6" t="s">
        <v>20</v>
      </c>
      <c r="BX133" s="6" t="s">
        <v>2</v>
      </c>
      <c r="BY133" s="6" t="s">
        <v>21</v>
      </c>
      <c r="BZ133" s="6" t="s">
        <v>2</v>
      </c>
      <c r="CA133" s="11" t="s">
        <v>24</v>
      </c>
    </row>
    <row r="134" spans="65:81" x14ac:dyDescent="0.25">
      <c r="BS134" s="6"/>
      <c r="BT134" s="68"/>
      <c r="BU134" s="68"/>
      <c r="BV134" s="23"/>
      <c r="BW134" s="23"/>
      <c r="BX134" s="23"/>
      <c r="BY134" s="23"/>
      <c r="BZ134" s="23"/>
      <c r="CA134" s="39"/>
    </row>
    <row r="135" spans="65:81" x14ac:dyDescent="0.25">
      <c r="BS135" s="6" t="s">
        <v>96</v>
      </c>
      <c r="BT135" s="68">
        <f>13*60*40</f>
        <v>31200</v>
      </c>
      <c r="BU135" s="68" t="s">
        <v>26</v>
      </c>
      <c r="BV135" s="23">
        <v>9.9999999999999995E-7</v>
      </c>
      <c r="BW135" s="23">
        <f>BT135*BV135</f>
        <v>3.1199999999999999E-2</v>
      </c>
      <c r="BX135" s="23" t="s">
        <v>15</v>
      </c>
      <c r="BY135" s="23">
        <v>20</v>
      </c>
      <c r="BZ135" s="23" t="s">
        <v>13</v>
      </c>
      <c r="CA135" s="23">
        <f>BW135*BY135</f>
        <v>0.624</v>
      </c>
    </row>
    <row r="136" spans="65:81" x14ac:dyDescent="0.25">
      <c r="BS136" s="6"/>
      <c r="BT136" s="68"/>
      <c r="BU136" s="68"/>
      <c r="BV136" s="23"/>
      <c r="BW136" s="23"/>
      <c r="BX136" s="23"/>
      <c r="BY136" s="23"/>
      <c r="BZ136" s="23"/>
      <c r="CA136" s="40"/>
    </row>
    <row r="137" spans="65:81" x14ac:dyDescent="0.25">
      <c r="BS137" s="6" t="s">
        <v>92</v>
      </c>
      <c r="BT137" s="68">
        <f>62.5*40</f>
        <v>2500</v>
      </c>
      <c r="BU137" s="68" t="s">
        <v>9</v>
      </c>
      <c r="BV137" s="23">
        <f>0.0001</f>
        <v>1E-4</v>
      </c>
      <c r="BW137" s="23">
        <f>BT137*BV137</f>
        <v>0.25</v>
      </c>
      <c r="BX137" s="23" t="s">
        <v>17</v>
      </c>
      <c r="BY137" s="23">
        <v>0.1</v>
      </c>
      <c r="BZ137" s="23" t="s">
        <v>23</v>
      </c>
      <c r="CA137" s="66">
        <f t="shared" ref="CA137:CA139" si="2">BY137*BW137</f>
        <v>2.5000000000000001E-2</v>
      </c>
      <c r="CB137" s="67">
        <f>CA137*2</f>
        <v>0.05</v>
      </c>
    </row>
    <row r="138" spans="65:81" x14ac:dyDescent="0.25">
      <c r="BS138" s="6" t="s">
        <v>33</v>
      </c>
      <c r="BT138" s="68">
        <v>1146.8</v>
      </c>
      <c r="BU138" s="68" t="s">
        <v>10</v>
      </c>
      <c r="BV138" s="23">
        <f>1/100</f>
        <v>0.01</v>
      </c>
      <c r="BW138" s="23">
        <f>BT138*BV138</f>
        <v>11.468</v>
      </c>
      <c r="BX138" s="23" t="s">
        <v>16</v>
      </c>
      <c r="BY138" s="23">
        <v>7.7585999999999999E-5</v>
      </c>
      <c r="BZ138" s="23" t="s">
        <v>22</v>
      </c>
      <c r="CA138" s="23">
        <f t="shared" si="2"/>
        <v>8.89756248E-4</v>
      </c>
    </row>
    <row r="139" spans="65:81" x14ac:dyDescent="0.25">
      <c r="BS139" s="6" t="s">
        <v>93</v>
      </c>
      <c r="BT139" s="68">
        <v>39</v>
      </c>
      <c r="BU139" s="68" t="s">
        <v>10</v>
      </c>
      <c r="BV139" s="23">
        <f>1/100</f>
        <v>0.01</v>
      </c>
      <c r="BW139" s="23">
        <f>BT139*BV139</f>
        <v>0.39</v>
      </c>
      <c r="BX139" s="23" t="s">
        <v>16</v>
      </c>
      <c r="BY139" s="23">
        <f>1/117.5</f>
        <v>8.5106382978723406E-3</v>
      </c>
      <c r="BZ139" s="23" t="s">
        <v>22</v>
      </c>
      <c r="CA139" s="23">
        <f t="shared" si="2"/>
        <v>3.319148936170213E-3</v>
      </c>
    </row>
    <row r="140" spans="65:81" x14ac:dyDescent="0.25">
      <c r="CB140" s="410" t="s">
        <v>25</v>
      </c>
      <c r="CC140" s="410"/>
    </row>
    <row r="141" spans="65:81" x14ac:dyDescent="0.25">
      <c r="CB141" s="4">
        <f>CA135+CB137+CA138+CA139</f>
        <v>0.67820890518417032</v>
      </c>
      <c r="CC141" s="4" t="s">
        <v>18</v>
      </c>
    </row>
    <row r="142" spans="65:81" x14ac:dyDescent="0.25">
      <c r="BM142" s="10"/>
      <c r="BN142" s="10"/>
      <c r="BO142" s="10"/>
      <c r="BP142" s="10"/>
      <c r="BQ142" s="10"/>
    </row>
    <row r="143" spans="65:81" x14ac:dyDescent="0.25">
      <c r="BM143" s="10"/>
      <c r="BN143" s="10"/>
      <c r="BO143" s="10"/>
      <c r="BP143" s="10"/>
      <c r="BQ143" s="10" t="s">
        <v>141</v>
      </c>
    </row>
    <row r="144" spans="65:81" x14ac:dyDescent="0.25">
      <c r="BM144" s="10"/>
      <c r="BN144" s="10"/>
      <c r="BO144" s="10"/>
      <c r="BP144" s="10"/>
      <c r="BQ144" s="49" t="s">
        <v>36</v>
      </c>
    </row>
    <row r="145" spans="65:74" x14ac:dyDescent="0.25">
      <c r="BM145" s="10"/>
      <c r="BN145" s="10"/>
      <c r="BO145" s="10"/>
      <c r="BP145" s="10"/>
      <c r="BQ145" s="45" t="s">
        <v>54</v>
      </c>
    </row>
    <row r="146" spans="65:74" x14ac:dyDescent="0.25">
      <c r="BM146" s="10"/>
      <c r="BN146" s="10"/>
      <c r="BO146" s="10"/>
      <c r="BP146" s="10"/>
      <c r="BQ146" s="121">
        <f>BQ147-BQ151</f>
        <v>19.832889654864005</v>
      </c>
    </row>
    <row r="147" spans="65:74" x14ac:dyDescent="0.25">
      <c r="BM147" s="10"/>
      <c r="BN147" s="10"/>
      <c r="BO147" s="10"/>
      <c r="BP147" s="10"/>
      <c r="BQ147" s="113">
        <f>BN153</f>
        <v>416.49068275214404</v>
      </c>
    </row>
    <row r="148" spans="65:74" x14ac:dyDescent="0.25">
      <c r="BM148" s="421" t="s">
        <v>139</v>
      </c>
      <c r="BN148" s="421"/>
      <c r="BO148" s="10"/>
      <c r="BP148" s="10"/>
      <c r="BQ148" s="47" t="s">
        <v>34</v>
      </c>
    </row>
    <row r="149" spans="65:74" x14ac:dyDescent="0.25">
      <c r="BM149" s="421"/>
      <c r="BN149" s="421"/>
      <c r="BO149" s="10"/>
      <c r="BP149" s="10"/>
      <c r="BQ149" s="118" t="s">
        <v>138</v>
      </c>
      <c r="BS149" s="424" t="s">
        <v>135</v>
      </c>
      <c r="BT149" s="425"/>
    </row>
    <row r="150" spans="65:74" x14ac:dyDescent="0.25">
      <c r="BM150" s="115" t="s">
        <v>1</v>
      </c>
      <c r="BN150" s="115" t="s">
        <v>1</v>
      </c>
      <c r="BO150" s="9"/>
      <c r="BP150" s="10"/>
      <c r="BQ150" s="48" t="s">
        <v>35</v>
      </c>
      <c r="BS150" s="426"/>
      <c r="BT150" s="427"/>
      <c r="BV150" s="1" t="s">
        <v>137</v>
      </c>
    </row>
    <row r="151" spans="65:74" x14ac:dyDescent="0.25">
      <c r="BM151" s="115">
        <f>BN151</f>
        <v>416.49068275214404</v>
      </c>
      <c r="BN151" s="67">
        <f>BN153</f>
        <v>416.49068275214404</v>
      </c>
      <c r="BO151" s="55"/>
      <c r="BP151" s="10"/>
      <c r="BQ151" s="10">
        <f>BT152</f>
        <v>396.65779309728003</v>
      </c>
      <c r="BS151" s="6" t="s">
        <v>1</v>
      </c>
      <c r="BT151" s="6" t="s">
        <v>1</v>
      </c>
      <c r="BU151" s="6" t="s">
        <v>42</v>
      </c>
      <c r="BV151" s="18" t="s">
        <v>36</v>
      </c>
    </row>
    <row r="152" spans="65:74" x14ac:dyDescent="0.25">
      <c r="BM152" s="422" t="s">
        <v>140</v>
      </c>
      <c r="BN152" s="10"/>
      <c r="BO152" s="10"/>
      <c r="BP152" s="10"/>
      <c r="BQ152" s="50" t="s">
        <v>36</v>
      </c>
      <c r="BS152" s="6">
        <f>BZ166*(CA190+CA191+CA192+CA195)</f>
        <v>396.65779309728003</v>
      </c>
      <c r="BT152" s="4">
        <f>BS152</f>
        <v>396.65779309728003</v>
      </c>
      <c r="BU152" s="36"/>
      <c r="BV152" s="19" t="s">
        <v>54</v>
      </c>
    </row>
    <row r="153" spans="65:74" x14ac:dyDescent="0.25">
      <c r="BM153" s="423"/>
      <c r="BN153" s="10">
        <f>BQ151+BQ151*0.05</f>
        <v>416.49068275214404</v>
      </c>
      <c r="BO153" s="10"/>
      <c r="BP153" s="10"/>
      <c r="BQ153" s="53" t="s">
        <v>63</v>
      </c>
      <c r="BV153" s="69">
        <f>BV164</f>
        <v>16.346147444639996</v>
      </c>
    </row>
    <row r="154" spans="65:74" x14ac:dyDescent="0.25">
      <c r="BM154" s="10"/>
      <c r="BN154" s="48"/>
      <c r="BO154" s="10"/>
      <c r="BP154" s="10"/>
      <c r="BQ154" s="28"/>
      <c r="BR154" s="445" t="s">
        <v>98</v>
      </c>
      <c r="BS154" s="445"/>
      <c r="BV154" s="1">
        <f>BT152+BT162+BS157</f>
        <v>419.07240710915136</v>
      </c>
    </row>
    <row r="155" spans="65:74" x14ac:dyDescent="0.25">
      <c r="BM155" s="10"/>
      <c r="BN155" s="10"/>
      <c r="BO155" s="10"/>
      <c r="BP155" s="10"/>
      <c r="BQ155" s="16"/>
      <c r="BR155" s="445"/>
      <c r="BS155" s="445"/>
      <c r="BV155" s="13" t="s">
        <v>34</v>
      </c>
    </row>
    <row r="156" spans="65:74" x14ac:dyDescent="0.25">
      <c r="BM156" s="10"/>
      <c r="BN156" s="10"/>
      <c r="BO156" s="10"/>
      <c r="BP156" s="10"/>
      <c r="BQ156" s="10"/>
      <c r="BR156" s="115" t="s">
        <v>30</v>
      </c>
      <c r="BS156" s="115" t="s">
        <v>1</v>
      </c>
      <c r="BT156" s="8" t="s">
        <v>42</v>
      </c>
      <c r="BV156" s="109" t="s">
        <v>99</v>
      </c>
    </row>
    <row r="157" spans="65:74" x14ac:dyDescent="0.25">
      <c r="BM157" s="446" t="s">
        <v>51</v>
      </c>
      <c r="BN157" s="446"/>
      <c r="BO157" s="10"/>
      <c r="BP157" s="48"/>
      <c r="BQ157" s="52">
        <f>BN153-BT152</f>
        <v>19.832889654864005</v>
      </c>
      <c r="BR157" s="115">
        <f>BZ166*BW193</f>
        <v>585</v>
      </c>
      <c r="BS157" s="67">
        <f>BZ166*CA193</f>
        <v>4.9787234042553195</v>
      </c>
      <c r="BT157" s="119"/>
      <c r="BV157" s="14" t="s">
        <v>35</v>
      </c>
    </row>
    <row r="158" spans="65:74" x14ac:dyDescent="0.25">
      <c r="BM158" s="447" t="str">
        <f>BR154</f>
        <v>Cremallera</v>
      </c>
      <c r="BN158" s="448"/>
      <c r="BV158">
        <f>CA166</f>
        <v>402.72625966451136</v>
      </c>
    </row>
    <row r="159" spans="65:74" x14ac:dyDescent="0.25">
      <c r="BM159" s="12">
        <f>BS157</f>
        <v>4.9787234042553195</v>
      </c>
      <c r="BN159" s="4" t="s">
        <v>18</v>
      </c>
      <c r="BP159" s="404" t="s">
        <v>51</v>
      </c>
      <c r="BQ159" s="405"/>
      <c r="BS159" s="424" t="s">
        <v>73</v>
      </c>
      <c r="BT159" s="425"/>
      <c r="BV159" s="15" t="s">
        <v>36</v>
      </c>
    </row>
    <row r="160" spans="65:74" x14ac:dyDescent="0.25">
      <c r="BM160" s="12">
        <f>BR157</f>
        <v>585</v>
      </c>
      <c r="BN160" s="4" t="s">
        <v>16</v>
      </c>
      <c r="BP160" s="406" t="str">
        <f>BS159</f>
        <v>Hilo funda de tela sin cremallera</v>
      </c>
      <c r="BQ160" s="407"/>
      <c r="BS160" s="426"/>
      <c r="BT160" s="427"/>
      <c r="BV160" s="35" t="s">
        <v>63</v>
      </c>
    </row>
    <row r="161" spans="68:85" x14ac:dyDescent="0.25">
      <c r="BP161" s="12">
        <f>BT162</f>
        <v>17.435890607615999</v>
      </c>
      <c r="BQ161" s="4" t="s">
        <v>18</v>
      </c>
      <c r="BS161" s="6" t="s">
        <v>30</v>
      </c>
      <c r="BT161" s="6" t="s">
        <v>1</v>
      </c>
      <c r="BU161" s="6" t="s">
        <v>42</v>
      </c>
      <c r="BV161" s="28"/>
    </row>
    <row r="162" spans="68:85" x14ac:dyDescent="0.25">
      <c r="BP162" s="12">
        <f>BS162</f>
        <v>224729.856</v>
      </c>
      <c r="BQ162" s="4" t="s">
        <v>16</v>
      </c>
      <c r="BS162" s="6">
        <f>(BW194+BS164)*BZ166</f>
        <v>224729.856</v>
      </c>
      <c r="BT162" s="4">
        <f>BS162*BY194</f>
        <v>17.435890607615999</v>
      </c>
      <c r="BU162" s="37"/>
      <c r="BV162" s="16"/>
    </row>
    <row r="163" spans="68:85" x14ac:dyDescent="0.25">
      <c r="BS163" s="34" t="s">
        <v>136</v>
      </c>
      <c r="BZ163" s="410" t="s">
        <v>89</v>
      </c>
      <c r="CA163" s="410"/>
    </row>
    <row r="164" spans="68:85" x14ac:dyDescent="0.25">
      <c r="BS164" s="14">
        <v>360.14400000000001</v>
      </c>
      <c r="BV164" s="22">
        <f>BT162+BT152+BS157-CA166</f>
        <v>16.346147444639996</v>
      </c>
      <c r="BZ164" s="410"/>
      <c r="CA164" s="410"/>
    </row>
    <row r="165" spans="68:85" x14ac:dyDescent="0.25">
      <c r="BZ165" s="6" t="s">
        <v>4</v>
      </c>
      <c r="CA165" s="6" t="s">
        <v>1</v>
      </c>
    </row>
    <row r="166" spans="68:85" x14ac:dyDescent="0.25">
      <c r="BZ166" s="6">
        <f>CE169</f>
        <v>585</v>
      </c>
      <c r="CA166" s="4">
        <f>BZ166*(CA192+CA191+CA193+CA194+CA195+CA190)</f>
        <v>402.72625966451136</v>
      </c>
    </row>
    <row r="167" spans="68:85" x14ac:dyDescent="0.25">
      <c r="CC167">
        <f>CA166+CA172</f>
        <v>2403.4262596645112</v>
      </c>
      <c r="CE167" s="416" t="s">
        <v>52</v>
      </c>
      <c r="CF167" s="416"/>
    </row>
    <row r="168" spans="68:85" x14ac:dyDescent="0.25">
      <c r="CC168" s="13" t="s">
        <v>34</v>
      </c>
      <c r="CE168" s="436" t="s">
        <v>124</v>
      </c>
      <c r="CF168" s="417"/>
      <c r="CG168" s="65" t="s">
        <v>123</v>
      </c>
    </row>
    <row r="169" spans="68:85" x14ac:dyDescent="0.25">
      <c r="CC169" s="109" t="s">
        <v>3</v>
      </c>
      <c r="CE169" s="23">
        <f>'Flujos Planta Final'!CL176</f>
        <v>585</v>
      </c>
      <c r="CF169" s="4" t="s">
        <v>27</v>
      </c>
    </row>
    <row r="170" spans="68:85" x14ac:dyDescent="0.25">
      <c r="BZ170" s="410" t="s">
        <v>134</v>
      </c>
      <c r="CA170" s="410"/>
      <c r="CC170" s="14" t="s">
        <v>35</v>
      </c>
      <c r="CE170" s="4">
        <f>CE169*CB195</f>
        <v>2403.4262596645108</v>
      </c>
      <c r="CF170" s="4" t="s">
        <v>28</v>
      </c>
    </row>
    <row r="171" spans="68:85" x14ac:dyDescent="0.25">
      <c r="BZ171" s="6" t="s">
        <v>4</v>
      </c>
      <c r="CA171" s="6" t="s">
        <v>1</v>
      </c>
      <c r="CC171">
        <f>CE170</f>
        <v>2403.4262596645108</v>
      </c>
    </row>
    <row r="172" spans="68:85" x14ac:dyDescent="0.25">
      <c r="BZ172" s="6">
        <f>CE169</f>
        <v>585</v>
      </c>
      <c r="CA172" s="4">
        <f>BZ172*(CA189)</f>
        <v>2000.7</v>
      </c>
      <c r="CC172" s="15" t="s">
        <v>36</v>
      </c>
    </row>
    <row r="173" spans="68:85" x14ac:dyDescent="0.25">
      <c r="CC173" s="1">
        <f>CC167-CC171</f>
        <v>0</v>
      </c>
    </row>
    <row r="174" spans="68:85" x14ac:dyDescent="0.25">
      <c r="CC174" s="28" t="s">
        <v>45</v>
      </c>
    </row>
    <row r="177" spans="70:84" x14ac:dyDescent="0.25">
      <c r="BV177" s="404" t="s">
        <v>51</v>
      </c>
      <c r="BW177" s="405"/>
    </row>
    <row r="178" spans="70:84" x14ac:dyDescent="0.25">
      <c r="BV178" s="406" t="str">
        <f>BZ170</f>
        <v xml:space="preserve">Lámina de espuma </v>
      </c>
      <c r="BW178" s="407"/>
    </row>
    <row r="179" spans="70:84" x14ac:dyDescent="0.25">
      <c r="BV179" s="122">
        <f>CA172</f>
        <v>2000.7</v>
      </c>
      <c r="BW179" s="123" t="s">
        <v>18</v>
      </c>
      <c r="CF179" t="s">
        <v>91</v>
      </c>
    </row>
    <row r="180" spans="70:84" x14ac:dyDescent="0.25">
      <c r="BV180" s="67">
        <f>BZ172</f>
        <v>585</v>
      </c>
      <c r="BW180" s="67" t="s">
        <v>2</v>
      </c>
    </row>
    <row r="184" spans="70:84" x14ac:dyDescent="0.25">
      <c r="BR184" s="14"/>
      <c r="BS184" s="14"/>
      <c r="BT184" s="14"/>
    </row>
    <row r="185" spans="70:84" x14ac:dyDescent="0.25">
      <c r="BV185" s="22"/>
    </row>
    <row r="187" spans="70:84" x14ac:dyDescent="0.25">
      <c r="BT187" s="415" t="s">
        <v>126</v>
      </c>
      <c r="BU187" s="415"/>
      <c r="BV187" s="4" t="s">
        <v>19</v>
      </c>
      <c r="BW187" s="6" t="s">
        <v>20</v>
      </c>
      <c r="BX187" s="6" t="s">
        <v>2</v>
      </c>
      <c r="BY187" s="6" t="s">
        <v>21</v>
      </c>
      <c r="BZ187" s="6" t="s">
        <v>2</v>
      </c>
      <c r="CA187" s="11" t="s">
        <v>24</v>
      </c>
    </row>
    <row r="188" spans="70:84" x14ac:dyDescent="0.25">
      <c r="BS188" s="6"/>
      <c r="BT188" s="68"/>
      <c r="BU188" s="68"/>
      <c r="BV188" s="23"/>
      <c r="BW188" s="23"/>
      <c r="BX188" s="23"/>
      <c r="BY188" s="23"/>
      <c r="BZ188" s="23"/>
      <c r="CA188" s="39"/>
    </row>
    <row r="189" spans="70:84" x14ac:dyDescent="0.25">
      <c r="BS189" s="6" t="s">
        <v>128</v>
      </c>
      <c r="BT189" s="68">
        <f>100*190*10</f>
        <v>190000</v>
      </c>
      <c r="BU189" s="68" t="s">
        <v>26</v>
      </c>
      <c r="BV189" s="23">
        <v>9.9999999999999995E-7</v>
      </c>
      <c r="BW189" s="23">
        <f t="shared" ref="BW189:BW195" si="3">BT189*BV189</f>
        <v>0.19</v>
      </c>
      <c r="BX189" s="23" t="s">
        <v>15</v>
      </c>
      <c r="BY189" s="23">
        <v>18</v>
      </c>
      <c r="BZ189" s="23" t="s">
        <v>13</v>
      </c>
      <c r="CA189" s="23">
        <f>BW189*BY189</f>
        <v>3.42</v>
      </c>
    </row>
    <row r="190" spans="70:84" x14ac:dyDescent="0.25">
      <c r="BS190" s="6" t="s">
        <v>129</v>
      </c>
      <c r="BT190" s="68">
        <f>3708.8</f>
        <v>3708.8</v>
      </c>
      <c r="BU190" s="68" t="s">
        <v>10</v>
      </c>
      <c r="BV190" s="23">
        <f>1/100</f>
        <v>0.01</v>
      </c>
      <c r="BW190" s="23">
        <f t="shared" si="3"/>
        <v>37.088000000000001</v>
      </c>
      <c r="BX190" s="23" t="s">
        <v>16</v>
      </c>
      <c r="BY190" s="23">
        <v>7.7585999999999999E-5</v>
      </c>
      <c r="BZ190" s="23" t="s">
        <v>22</v>
      </c>
      <c r="CA190" s="23">
        <f t="shared" ref="CA190:CA192" si="4">BW190*BY190</f>
        <v>2.8775095680000002E-3</v>
      </c>
    </row>
    <row r="191" spans="70:84" x14ac:dyDescent="0.25">
      <c r="BS191" s="6" t="s">
        <v>131</v>
      </c>
      <c r="BT191" s="68">
        <f>210*210*0.3</f>
        <v>13230</v>
      </c>
      <c r="BU191" s="68" t="s">
        <v>26</v>
      </c>
      <c r="BV191" s="23">
        <v>9.9999999999999995E-7</v>
      </c>
      <c r="BW191" s="23">
        <f t="shared" si="3"/>
        <v>1.3229999999999999E-2</v>
      </c>
      <c r="BX191" s="23" t="s">
        <v>15</v>
      </c>
      <c r="BY191" s="23">
        <v>12</v>
      </c>
      <c r="BZ191" s="23" t="s">
        <v>13</v>
      </c>
      <c r="CA191" s="23">
        <f t="shared" si="4"/>
        <v>0.15875999999999998</v>
      </c>
    </row>
    <row r="192" spans="70:84" x14ac:dyDescent="0.25">
      <c r="BS192" s="6" t="s">
        <v>127</v>
      </c>
      <c r="BT192" s="68">
        <f>560</f>
        <v>560</v>
      </c>
      <c r="BU192" s="68" t="s">
        <v>9</v>
      </c>
      <c r="BV192" s="23">
        <f>0.0001</f>
        <v>1E-4</v>
      </c>
      <c r="BW192" s="23">
        <f t="shared" si="3"/>
        <v>5.6000000000000001E-2</v>
      </c>
      <c r="BX192" s="23" t="s">
        <v>17</v>
      </c>
      <c r="BY192" s="23">
        <f>20/1000</f>
        <v>0.02</v>
      </c>
      <c r="BZ192" s="23" t="s">
        <v>23</v>
      </c>
      <c r="CA192" s="23">
        <f t="shared" si="4"/>
        <v>1.1200000000000001E-3</v>
      </c>
    </row>
    <row r="193" spans="67:81" x14ac:dyDescent="0.25">
      <c r="BS193" s="6" t="s">
        <v>93</v>
      </c>
      <c r="BT193" s="68">
        <v>100</v>
      </c>
      <c r="BU193" s="68" t="s">
        <v>10</v>
      </c>
      <c r="BV193" s="23">
        <f>1/100</f>
        <v>0.01</v>
      </c>
      <c r="BW193" s="23">
        <f t="shared" si="3"/>
        <v>1</v>
      </c>
      <c r="BX193" s="23" t="s">
        <v>16</v>
      </c>
      <c r="BY193" s="23">
        <f>1/117.5</f>
        <v>8.5106382978723406E-3</v>
      </c>
      <c r="BZ193" s="23" t="s">
        <v>22</v>
      </c>
      <c r="CA193" s="23">
        <f>BW193*BY193</f>
        <v>8.5106382978723406E-3</v>
      </c>
    </row>
    <row r="194" spans="67:81" x14ac:dyDescent="0.25">
      <c r="BS194" s="11" t="s">
        <v>130</v>
      </c>
      <c r="BT194" s="68">
        <f>2400.96</f>
        <v>2400.96</v>
      </c>
      <c r="BU194" s="68" t="s">
        <v>10</v>
      </c>
      <c r="BV194" s="23">
        <f>1/100</f>
        <v>0.01</v>
      </c>
      <c r="BW194" s="23">
        <f t="shared" si="3"/>
        <v>24.009600000000002</v>
      </c>
      <c r="BX194" s="23" t="s">
        <v>16</v>
      </c>
      <c r="BY194" s="23">
        <v>7.7585999999999999E-5</v>
      </c>
      <c r="BZ194" s="23" t="s">
        <v>22</v>
      </c>
      <c r="CA194" s="23">
        <f>BW194*BY194</f>
        <v>1.8628088256000001E-3</v>
      </c>
      <c r="CB194" s="408" t="s">
        <v>133</v>
      </c>
      <c r="CC194" s="408"/>
    </row>
    <row r="195" spans="67:81" x14ac:dyDescent="0.25">
      <c r="BS195" s="11" t="s">
        <v>132</v>
      </c>
      <c r="BT195" s="68">
        <f>227*227</f>
        <v>51529</v>
      </c>
      <c r="BU195" s="68" t="s">
        <v>9</v>
      </c>
      <c r="BV195" s="23">
        <f>0.0001</f>
        <v>1E-4</v>
      </c>
      <c r="BW195" s="23">
        <f t="shared" si="3"/>
        <v>5.1528999999999998</v>
      </c>
      <c r="BX195" s="23" t="s">
        <v>17</v>
      </c>
      <c r="BY195" s="23">
        <v>0.1</v>
      </c>
      <c r="BZ195" s="23" t="s">
        <v>23</v>
      </c>
      <c r="CA195" s="23">
        <f>BW195*BY195</f>
        <v>0.51529000000000003</v>
      </c>
      <c r="CB195" s="4">
        <f>CA189+CA190+CA191+CA192+CA193+CA194+CA195</f>
        <v>4.1084209566914716</v>
      </c>
      <c r="CC195" s="4" t="s">
        <v>18</v>
      </c>
    </row>
    <row r="201" spans="67:81" x14ac:dyDescent="0.25">
      <c r="BV201" s="10"/>
      <c r="BW201" s="10"/>
      <c r="BX201" s="10"/>
      <c r="BY201" s="10"/>
      <c r="BZ201" s="10"/>
    </row>
    <row r="202" spans="67:81" x14ac:dyDescent="0.25">
      <c r="BV202" s="10"/>
      <c r="BW202" s="10"/>
      <c r="BX202" s="10"/>
    </row>
    <row r="203" spans="67:81" x14ac:dyDescent="0.25">
      <c r="BO203" s="41" t="s">
        <v>58</v>
      </c>
      <c r="BP203" s="41"/>
    </row>
    <row r="204" spans="67:81" x14ac:dyDescent="0.25">
      <c r="BO204" s="25" t="s">
        <v>156</v>
      </c>
      <c r="BP204" s="4"/>
    </row>
    <row r="205" spans="67:81" x14ac:dyDescent="0.25">
      <c r="BO205" s="129">
        <f>BQ146</f>
        <v>19.832889654864005</v>
      </c>
      <c r="BP205" s="4" t="s">
        <v>18</v>
      </c>
    </row>
    <row r="206" spans="67:81" x14ac:dyDescent="0.25">
      <c r="BO206" s="12">
        <f>6/1000</f>
        <v>6.0000000000000001E-3</v>
      </c>
      <c r="BP206" s="4" t="s">
        <v>158</v>
      </c>
    </row>
    <row r="243" spans="67:75" x14ac:dyDescent="0.25">
      <c r="BO243" s="18" t="s">
        <v>36</v>
      </c>
    </row>
    <row r="244" spans="67:75" x14ac:dyDescent="0.25">
      <c r="BO244" s="19">
        <v>1E-4</v>
      </c>
    </row>
    <row r="245" spans="67:75" x14ac:dyDescent="0.25">
      <c r="BO245" s="18">
        <f>BO246+BO246*BO244</f>
        <v>26.605887613949129</v>
      </c>
    </row>
    <row r="246" spans="67:75" x14ac:dyDescent="0.25">
      <c r="BO246" s="130">
        <f>BO205+BZ261</f>
        <v>26.603227291220009</v>
      </c>
      <c r="BV246" s="41" t="s">
        <v>58</v>
      </c>
      <c r="BW246" s="41"/>
    </row>
    <row r="247" spans="67:75" x14ac:dyDescent="0.25">
      <c r="BO247" s="13" t="s">
        <v>34</v>
      </c>
      <c r="BV247" s="25" t="s">
        <v>156</v>
      </c>
      <c r="BW247" s="4"/>
    </row>
    <row r="248" spans="67:75" x14ac:dyDescent="0.25">
      <c r="BO248" s="29" t="s">
        <v>142</v>
      </c>
      <c r="BV248" s="129">
        <f>BZ261</f>
        <v>6.7703376363560039</v>
      </c>
      <c r="BW248" s="4" t="s">
        <v>18</v>
      </c>
    </row>
    <row r="249" spans="67:75" x14ac:dyDescent="0.25">
      <c r="BO249" s="14" t="s">
        <v>35</v>
      </c>
      <c r="BR249" s="404" t="s">
        <v>51</v>
      </c>
      <c r="BS249" s="405"/>
      <c r="BV249" s="12">
        <f>6/1000</f>
        <v>6.0000000000000001E-3</v>
      </c>
      <c r="BW249" s="4" t="s">
        <v>158</v>
      </c>
    </row>
    <row r="250" spans="67:75" x14ac:dyDescent="0.25">
      <c r="BO250" s="130">
        <f>BO246</f>
        <v>26.603227291220009</v>
      </c>
      <c r="BR250" s="406" t="s">
        <v>159</v>
      </c>
      <c r="BS250" s="407"/>
    </row>
    <row r="251" spans="67:75" x14ac:dyDescent="0.25">
      <c r="BO251" s="15" t="s">
        <v>36</v>
      </c>
      <c r="BR251" s="43">
        <f>IF(CK299-BO246&lt;0,0,CK299-BO246)</f>
        <v>0</v>
      </c>
      <c r="BS251" s="44" t="s">
        <v>18</v>
      </c>
    </row>
    <row r="252" spans="67:75" x14ac:dyDescent="0.25">
      <c r="BO252" s="17">
        <f>BO250-CK299</f>
        <v>26.603227291220009</v>
      </c>
      <c r="BR252" s="43">
        <f>BR251</f>
        <v>0</v>
      </c>
      <c r="BS252" s="44" t="s">
        <v>18</v>
      </c>
    </row>
    <row r="253" spans="67:75" x14ac:dyDescent="0.25">
      <c r="BO253" s="14" t="s">
        <v>168</v>
      </c>
    </row>
    <row r="257" spans="74:78" x14ac:dyDescent="0.25">
      <c r="BV257" s="10"/>
      <c r="BW257" s="10"/>
      <c r="BX257" s="10"/>
      <c r="BY257" s="10"/>
      <c r="BZ257" s="10"/>
    </row>
    <row r="258" spans="74:78" x14ac:dyDescent="0.25">
      <c r="BV258" s="10"/>
      <c r="BW258" s="10"/>
      <c r="BX258" s="10"/>
      <c r="BY258" s="10"/>
      <c r="BZ258" s="10" t="s">
        <v>141</v>
      </c>
    </row>
    <row r="259" spans="74:78" x14ac:dyDescent="0.25">
      <c r="BV259" s="10"/>
      <c r="BW259" s="10"/>
      <c r="BX259" s="10"/>
      <c r="BY259" s="10"/>
      <c r="BZ259" s="49" t="s">
        <v>36</v>
      </c>
    </row>
    <row r="260" spans="74:78" x14ac:dyDescent="0.25">
      <c r="BV260" s="10"/>
      <c r="BW260" s="10"/>
      <c r="BX260" s="10"/>
      <c r="BY260" s="10"/>
      <c r="BZ260" s="45" t="s">
        <v>54</v>
      </c>
    </row>
    <row r="261" spans="74:78" x14ac:dyDescent="0.25">
      <c r="BV261" s="10"/>
      <c r="BW261" s="10"/>
      <c r="BX261" s="10"/>
      <c r="BY261" s="10"/>
      <c r="BZ261" s="121">
        <f>BZ262-BZ266</f>
        <v>6.7703376363560039</v>
      </c>
    </row>
    <row r="262" spans="74:78" x14ac:dyDescent="0.25">
      <c r="BV262" s="10"/>
      <c r="BW262" s="10"/>
      <c r="BX262" s="10"/>
      <c r="BY262" s="10"/>
      <c r="BZ262" s="113">
        <f>BW268</f>
        <v>142.177090363476</v>
      </c>
    </row>
    <row r="263" spans="74:78" x14ac:dyDescent="0.25">
      <c r="BV263" s="421" t="s">
        <v>139</v>
      </c>
      <c r="BW263" s="421"/>
      <c r="BX263" s="10"/>
      <c r="BY263" s="10"/>
      <c r="BZ263" s="47" t="s">
        <v>34</v>
      </c>
    </row>
    <row r="264" spans="74:78" x14ac:dyDescent="0.25">
      <c r="BV264" s="421"/>
      <c r="BW264" s="421"/>
      <c r="BX264" s="10"/>
      <c r="BY264" s="10"/>
      <c r="BZ264" s="118" t="s">
        <v>138</v>
      </c>
    </row>
    <row r="265" spans="74:78" x14ac:dyDescent="0.25">
      <c r="BV265" s="115" t="s">
        <v>1</v>
      </c>
      <c r="BW265" s="115" t="s">
        <v>1</v>
      </c>
      <c r="BX265" s="9"/>
      <c r="BY265" s="10"/>
      <c r="BZ265" s="48" t="s">
        <v>35</v>
      </c>
    </row>
    <row r="266" spans="74:78" x14ac:dyDescent="0.25">
      <c r="BV266" s="115">
        <f>BW266</f>
        <v>142.177090363476</v>
      </c>
      <c r="BW266" s="67">
        <f>BW268</f>
        <v>142.177090363476</v>
      </c>
      <c r="BX266" s="55"/>
      <c r="BY266" s="10"/>
      <c r="BZ266" s="10">
        <f>CI281</f>
        <v>135.40675272711999</v>
      </c>
    </row>
    <row r="267" spans="74:78" x14ac:dyDescent="0.25">
      <c r="BV267" s="422" t="s">
        <v>169</v>
      </c>
      <c r="BW267" s="10"/>
      <c r="BX267" s="10"/>
      <c r="BY267" s="10"/>
      <c r="BZ267" s="50" t="s">
        <v>36</v>
      </c>
    </row>
    <row r="268" spans="74:78" x14ac:dyDescent="0.25">
      <c r="BV268" s="423"/>
      <c r="BW268" s="10">
        <f>BZ266+BZ266*0.05</f>
        <v>142.177090363476</v>
      </c>
      <c r="BX268" s="10"/>
      <c r="BY268" s="10"/>
      <c r="BZ268" s="53" t="s">
        <v>63</v>
      </c>
    </row>
    <row r="269" spans="74:78" x14ac:dyDescent="0.25">
      <c r="BV269" s="10"/>
      <c r="BW269" s="48"/>
      <c r="BX269" s="10"/>
      <c r="BY269" s="10"/>
      <c r="BZ269" s="28"/>
    </row>
    <row r="270" spans="74:78" x14ac:dyDescent="0.25">
      <c r="BV270" s="10"/>
      <c r="BW270" s="10"/>
      <c r="BX270" s="10"/>
      <c r="BY270" s="10"/>
      <c r="BZ270" s="16"/>
    </row>
    <row r="271" spans="74:78" x14ac:dyDescent="0.25">
      <c r="BV271" s="10"/>
      <c r="BW271" s="10"/>
      <c r="BX271" s="10"/>
      <c r="BY271" s="10"/>
      <c r="BZ271" s="10"/>
    </row>
    <row r="272" spans="74:78" x14ac:dyDescent="0.25">
      <c r="BV272" s="10"/>
      <c r="BW272" s="10"/>
      <c r="BX272" s="10"/>
      <c r="BY272" s="48"/>
      <c r="BZ272" s="52">
        <f>BW268-CC267</f>
        <v>142.177090363476</v>
      </c>
    </row>
    <row r="278" spans="87:93" x14ac:dyDescent="0.25">
      <c r="CI278" s="410" t="s">
        <v>141</v>
      </c>
      <c r="CJ278" s="410"/>
    </row>
    <row r="279" spans="87:93" x14ac:dyDescent="0.25">
      <c r="CI279" s="410"/>
      <c r="CJ279" s="410"/>
    </row>
    <row r="280" spans="87:93" x14ac:dyDescent="0.25">
      <c r="CI280" s="6" t="s">
        <v>1</v>
      </c>
      <c r="CJ280" s="6" t="s">
        <v>1</v>
      </c>
    </row>
    <row r="281" spans="87:93" x14ac:dyDescent="0.25">
      <c r="CI281" s="6">
        <f>CJ281</f>
        <v>135.40675272711999</v>
      </c>
      <c r="CJ281" s="4">
        <f>CN284*(CJ306+CJ307+CJ309+CJ310+CJ311+CJ312)</f>
        <v>135.40675272711999</v>
      </c>
    </row>
    <row r="282" spans="87:93" x14ac:dyDescent="0.25">
      <c r="CL282">
        <f>CJ281+CJ287+CJ291+CK295+CK299</f>
        <v>1163.9812201294144</v>
      </c>
      <c r="CN282" s="416" t="s">
        <v>52</v>
      </c>
      <c r="CO282" s="416"/>
    </row>
    <row r="283" spans="87:93" x14ac:dyDescent="0.25">
      <c r="CL283" s="13" t="s">
        <v>34</v>
      </c>
      <c r="CN283" s="436" t="s">
        <v>162</v>
      </c>
      <c r="CO283" s="417"/>
    </row>
    <row r="284" spans="87:93" x14ac:dyDescent="0.25">
      <c r="CL284" s="109" t="s">
        <v>160</v>
      </c>
      <c r="CN284" s="23">
        <v>200</v>
      </c>
      <c r="CO284" s="4" t="s">
        <v>27</v>
      </c>
    </row>
    <row r="285" spans="87:93" x14ac:dyDescent="0.25">
      <c r="CI285" s="410" t="s">
        <v>134</v>
      </c>
      <c r="CJ285" s="410"/>
      <c r="CL285" s="14" t="s">
        <v>35</v>
      </c>
      <c r="CN285" s="4">
        <f>CN284*CK310</f>
        <v>1163.9812201294146</v>
      </c>
      <c r="CO285" s="4" t="s">
        <v>28</v>
      </c>
    </row>
    <row r="286" spans="87:93" x14ac:dyDescent="0.25">
      <c r="CI286" s="6" t="s">
        <v>50</v>
      </c>
      <c r="CJ286" s="6" t="s">
        <v>1</v>
      </c>
      <c r="CL286">
        <f>CN285</f>
        <v>1163.9812201294146</v>
      </c>
    </row>
    <row r="287" spans="87:93" x14ac:dyDescent="0.25">
      <c r="CI287" s="6">
        <f>CN284*CF304</f>
        <v>56.999999999999993</v>
      </c>
      <c r="CJ287" s="4">
        <f>CN284*(CJ304)</f>
        <v>1026</v>
      </c>
      <c r="CL287" s="15" t="s">
        <v>36</v>
      </c>
    </row>
    <row r="288" spans="87:93" x14ac:dyDescent="0.25">
      <c r="CL288" s="1">
        <f>CL282-CL286</f>
        <v>0</v>
      </c>
    </row>
    <row r="289" spans="80:93" x14ac:dyDescent="0.25">
      <c r="CI289" s="410" t="s">
        <v>98</v>
      </c>
      <c r="CJ289" s="410"/>
      <c r="CL289" s="28" t="s">
        <v>45</v>
      </c>
    </row>
    <row r="290" spans="80:93" x14ac:dyDescent="0.25">
      <c r="CI290" s="6" t="s">
        <v>30</v>
      </c>
      <c r="CJ290" s="6" t="s">
        <v>1</v>
      </c>
    </row>
    <row r="291" spans="80:93" x14ac:dyDescent="0.25">
      <c r="CC291" s="409" t="s">
        <v>51</v>
      </c>
      <c r="CD291" s="409"/>
      <c r="CI291" s="6">
        <f>CN284*CF308</f>
        <v>200</v>
      </c>
      <c r="CJ291" s="4">
        <f>CN284*(CJ308)</f>
        <v>1.7021276595744681</v>
      </c>
    </row>
    <row r="292" spans="80:93" x14ac:dyDescent="0.25">
      <c r="CC292" s="115" t="str">
        <f>CI285</f>
        <v xml:space="preserve">Lámina de espuma </v>
      </c>
      <c r="CD292" s="146"/>
    </row>
    <row r="293" spans="80:93" x14ac:dyDescent="0.25">
      <c r="CC293" s="115">
        <f>CI287</f>
        <v>56.999999999999993</v>
      </c>
      <c r="CD293" s="147" t="str">
        <f>CI286</f>
        <v>en m^3</v>
      </c>
      <c r="CF293" s="409" t="s">
        <v>51</v>
      </c>
      <c r="CG293" s="409"/>
      <c r="CH293" s="144"/>
      <c r="CJ293" s="410" t="s">
        <v>137</v>
      </c>
      <c r="CK293" s="410"/>
    </row>
    <row r="294" spans="80:93" x14ac:dyDescent="0.25">
      <c r="CC294" s="142">
        <f>CJ287</f>
        <v>1026</v>
      </c>
      <c r="CD294" s="145">
        <f>CJ287</f>
        <v>1026</v>
      </c>
      <c r="CF294" s="142" t="s">
        <v>98</v>
      </c>
      <c r="CG294" s="143" t="str">
        <f>CJ293</f>
        <v>Hilo</v>
      </c>
      <c r="CH294" s="72"/>
      <c r="CJ294" s="6" t="s">
        <v>30</v>
      </c>
      <c r="CK294" s="6" t="s">
        <v>1</v>
      </c>
      <c r="CO294" t="s">
        <v>91</v>
      </c>
    </row>
    <row r="295" spans="80:93" x14ac:dyDescent="0.25">
      <c r="CF295" s="115">
        <f>CJ291</f>
        <v>1.7021276595744681</v>
      </c>
      <c r="CG295" s="141">
        <f>CK295</f>
        <v>0.87233974272000003</v>
      </c>
      <c r="CH295" s="4" t="s">
        <v>18</v>
      </c>
      <c r="CJ295" s="6">
        <f>CJ305*CN284</f>
        <v>0.87233974272000003</v>
      </c>
      <c r="CK295" s="4">
        <f>CN284*(CJ305)</f>
        <v>0.87233974272000003</v>
      </c>
    </row>
    <row r="296" spans="80:93" x14ac:dyDescent="0.25">
      <c r="CF296" s="115">
        <f>CI291</f>
        <v>200</v>
      </c>
      <c r="CG296" s="141">
        <f>CJ295</f>
        <v>0.87233974272000003</v>
      </c>
      <c r="CH296" s="4" t="s">
        <v>16</v>
      </c>
    </row>
    <row r="297" spans="80:93" x14ac:dyDescent="0.25">
      <c r="CJ297" s="410" t="s">
        <v>161</v>
      </c>
      <c r="CK297" s="410"/>
    </row>
    <row r="298" spans="80:93" x14ac:dyDescent="0.25">
      <c r="CJ298" s="6" t="s">
        <v>4</v>
      </c>
      <c r="CK298" s="6" t="s">
        <v>1</v>
      </c>
    </row>
    <row r="299" spans="80:93" x14ac:dyDescent="0.25">
      <c r="CJ299" s="6">
        <f>CN284*4</f>
        <v>800</v>
      </c>
      <c r="CK299" s="4">
        <f>CJ313*CN284</f>
        <v>0</v>
      </c>
    </row>
    <row r="302" spans="80:93" x14ac:dyDescent="0.25">
      <c r="CC302" s="415" t="str">
        <f>CN283</f>
        <v>Sensaflex de 190 x 100 (C15)</v>
      </c>
      <c r="CD302" s="415"/>
      <c r="CE302" s="4" t="s">
        <v>19</v>
      </c>
      <c r="CF302" s="6" t="s">
        <v>20</v>
      </c>
      <c r="CG302" s="6" t="s">
        <v>2</v>
      </c>
      <c r="CH302" s="6" t="s">
        <v>21</v>
      </c>
      <c r="CI302" s="6" t="s">
        <v>2</v>
      </c>
      <c r="CJ302" s="11" t="s">
        <v>24</v>
      </c>
    </row>
    <row r="303" spans="80:93" x14ac:dyDescent="0.25">
      <c r="CB303" s="6"/>
      <c r="CC303" s="68"/>
      <c r="CD303" s="68"/>
      <c r="CE303" s="23"/>
      <c r="CF303" s="23"/>
      <c r="CG303" s="23"/>
      <c r="CH303" s="23"/>
      <c r="CI303" s="23"/>
      <c r="CJ303" s="39"/>
    </row>
    <row r="304" spans="80:93" x14ac:dyDescent="0.25">
      <c r="CB304" s="27" t="s">
        <v>128</v>
      </c>
      <c r="CC304" s="68">
        <f>100*190*15</f>
        <v>285000</v>
      </c>
      <c r="CD304" s="68" t="s">
        <v>26</v>
      </c>
      <c r="CE304" s="23">
        <v>9.9999999999999995E-7</v>
      </c>
      <c r="CF304" s="23">
        <f t="shared" ref="CF304:CF311" si="5">CC304*CE304</f>
        <v>0.28499999999999998</v>
      </c>
      <c r="CG304" s="23" t="s">
        <v>15</v>
      </c>
      <c r="CH304" s="23">
        <v>18</v>
      </c>
      <c r="CI304" s="23" t="s">
        <v>13</v>
      </c>
      <c r="CJ304" s="23">
        <f>CF304*CH304</f>
        <v>5.13</v>
      </c>
    </row>
    <row r="305" spans="67:90" x14ac:dyDescent="0.25">
      <c r="CB305" s="27" t="s">
        <v>130</v>
      </c>
      <c r="CC305" s="68">
        <f>5621.76</f>
        <v>5621.76</v>
      </c>
      <c r="CD305" s="68" t="s">
        <v>10</v>
      </c>
      <c r="CE305" s="23">
        <f>1/100</f>
        <v>0.01</v>
      </c>
      <c r="CF305" s="23">
        <f t="shared" si="5"/>
        <v>56.217600000000004</v>
      </c>
      <c r="CG305" s="23" t="s">
        <v>16</v>
      </c>
      <c r="CH305" s="23">
        <v>7.7585999999999999E-5</v>
      </c>
      <c r="CI305" s="23" t="s">
        <v>22</v>
      </c>
      <c r="CJ305" s="23">
        <f t="shared" ref="CJ305:CJ307" si="6">CF305*CH305</f>
        <v>4.3616987136000001E-3</v>
      </c>
    </row>
    <row r="306" spans="67:90" x14ac:dyDescent="0.25">
      <c r="CB306" s="27" t="s">
        <v>164</v>
      </c>
      <c r="CC306" s="68">
        <f>210*210*0.3</f>
        <v>13230</v>
      </c>
      <c r="CD306" s="68" t="s">
        <v>26</v>
      </c>
      <c r="CE306" s="23">
        <v>9.9999999999999995E-7</v>
      </c>
      <c r="CF306" s="23">
        <f t="shared" si="5"/>
        <v>1.3229999999999999E-2</v>
      </c>
      <c r="CG306" s="23" t="s">
        <v>15</v>
      </c>
      <c r="CH306" s="23">
        <v>12</v>
      </c>
      <c r="CI306" s="23" t="s">
        <v>13</v>
      </c>
      <c r="CJ306" s="23">
        <f t="shared" si="6"/>
        <v>0.15875999999999998</v>
      </c>
    </row>
    <row r="307" spans="67:90" x14ac:dyDescent="0.25">
      <c r="CB307" s="27" t="s">
        <v>127</v>
      </c>
      <c r="CC307" s="68">
        <f>560</f>
        <v>560</v>
      </c>
      <c r="CD307" s="68" t="s">
        <v>9</v>
      </c>
      <c r="CE307" s="23">
        <f>0.0001</f>
        <v>1E-4</v>
      </c>
      <c r="CF307" s="23">
        <f t="shared" si="5"/>
        <v>5.6000000000000001E-2</v>
      </c>
      <c r="CG307" s="23" t="s">
        <v>17</v>
      </c>
      <c r="CH307" s="23">
        <f>20/1000</f>
        <v>0.02</v>
      </c>
      <c r="CI307" s="23" t="s">
        <v>23</v>
      </c>
      <c r="CJ307" s="23">
        <f t="shared" si="6"/>
        <v>1.1200000000000001E-3</v>
      </c>
    </row>
    <row r="308" spans="67:90" x14ac:dyDescent="0.25">
      <c r="CB308" s="27" t="s">
        <v>93</v>
      </c>
      <c r="CC308" s="68">
        <v>100</v>
      </c>
      <c r="CD308" s="68" t="s">
        <v>10</v>
      </c>
      <c r="CE308" s="23">
        <f>1/100</f>
        <v>0.01</v>
      </c>
      <c r="CF308" s="23">
        <f t="shared" si="5"/>
        <v>1</v>
      </c>
      <c r="CG308" s="23" t="s">
        <v>16</v>
      </c>
      <c r="CH308" s="23">
        <f>1/117.5</f>
        <v>8.5106382978723406E-3</v>
      </c>
      <c r="CI308" s="23" t="s">
        <v>22</v>
      </c>
      <c r="CJ308" s="23">
        <f>CF308*CH308</f>
        <v>8.5106382978723406E-3</v>
      </c>
    </row>
    <row r="309" spans="67:90" x14ac:dyDescent="0.25">
      <c r="CB309" s="132" t="s">
        <v>130</v>
      </c>
      <c r="CC309" s="68">
        <f>2400.96</f>
        <v>2400.96</v>
      </c>
      <c r="CD309" s="68" t="s">
        <v>10</v>
      </c>
      <c r="CE309" s="23">
        <f>1/100</f>
        <v>0.01</v>
      </c>
      <c r="CF309" s="23">
        <f t="shared" si="5"/>
        <v>24.009600000000002</v>
      </c>
      <c r="CG309" s="23" t="s">
        <v>16</v>
      </c>
      <c r="CH309" s="23">
        <v>7.7585999999999999E-5</v>
      </c>
      <c r="CI309" s="23" t="s">
        <v>22</v>
      </c>
      <c r="CJ309" s="23">
        <f>CF309*CH309</f>
        <v>1.8628088256000001E-3</v>
      </c>
      <c r="CK309" s="408" t="s">
        <v>163</v>
      </c>
      <c r="CL309" s="408"/>
    </row>
    <row r="310" spans="67:90" x14ac:dyDescent="0.25">
      <c r="CB310" s="132" t="s">
        <v>132</v>
      </c>
      <c r="CC310" s="131">
        <f>227*227</f>
        <v>51529</v>
      </c>
      <c r="CD310" s="131" t="s">
        <v>9</v>
      </c>
      <c r="CE310" s="39">
        <f>0.0001</f>
        <v>1E-4</v>
      </c>
      <c r="CF310" s="39">
        <f t="shared" si="5"/>
        <v>5.1528999999999998</v>
      </c>
      <c r="CG310" s="39" t="s">
        <v>17</v>
      </c>
      <c r="CH310" s="39">
        <v>0.1</v>
      </c>
      <c r="CI310" s="39" t="s">
        <v>23</v>
      </c>
      <c r="CJ310" s="39">
        <f>CF310*CH310</f>
        <v>0.51529000000000003</v>
      </c>
      <c r="CK310" s="4">
        <f>CJ304+CJ305+CJ306+CJ307+CJ308+CJ309+CJ310+CJ311+CJ312+CJ313</f>
        <v>5.8199061006470734</v>
      </c>
      <c r="CL310" s="4" t="s">
        <v>18</v>
      </c>
    </row>
    <row r="311" spans="67:90" x14ac:dyDescent="0.25">
      <c r="CB311" s="108" t="s">
        <v>165</v>
      </c>
      <c r="CC311" s="71">
        <f>0.515*0.515*0.3</f>
        <v>7.9567499999999999E-2</v>
      </c>
      <c r="CD311" s="127" t="s">
        <v>26</v>
      </c>
      <c r="CE311" s="71">
        <v>9.9999999999999995E-7</v>
      </c>
      <c r="CF311" s="71">
        <f t="shared" si="5"/>
        <v>7.9567500000000001E-8</v>
      </c>
      <c r="CG311" s="71" t="s">
        <v>15</v>
      </c>
      <c r="CH311" s="71">
        <v>12</v>
      </c>
      <c r="CI311" s="71" t="s">
        <v>13</v>
      </c>
      <c r="CJ311" s="71">
        <f>CF311*CH311</f>
        <v>9.5481000000000001E-7</v>
      </c>
    </row>
    <row r="319" spans="67:90" x14ac:dyDescent="0.25">
      <c r="BO319" s="18" t="s">
        <v>36</v>
      </c>
    </row>
    <row r="320" spans="67:90" x14ac:dyDescent="0.25">
      <c r="BO320" s="19">
        <v>1E-4</v>
      </c>
    </row>
    <row r="321" spans="45:78" x14ac:dyDescent="0.25">
      <c r="BO321" s="18">
        <f>BO322+BO322*BO320</f>
        <v>4.6470937458942947</v>
      </c>
    </row>
    <row r="322" spans="45:78" x14ac:dyDescent="0.25">
      <c r="BO322" s="130">
        <f>BZ337</f>
        <v>4.6466290829859958</v>
      </c>
      <c r="BV322" s="41" t="s">
        <v>58</v>
      </c>
      <c r="BW322" s="41"/>
    </row>
    <row r="323" spans="45:78" x14ac:dyDescent="0.25">
      <c r="BO323" s="13" t="s">
        <v>34</v>
      </c>
      <c r="BV323" s="25" t="s">
        <v>156</v>
      </c>
      <c r="BW323" s="4"/>
    </row>
    <row r="324" spans="45:78" x14ac:dyDescent="0.25">
      <c r="BO324" s="29" t="s">
        <v>142</v>
      </c>
      <c r="BV324" s="129">
        <f>BZ337</f>
        <v>4.6466290829859958</v>
      </c>
      <c r="BW324" s="4" t="s">
        <v>18</v>
      </c>
    </row>
    <row r="325" spans="45:78" x14ac:dyDescent="0.25">
      <c r="BO325" s="14" t="s">
        <v>35</v>
      </c>
      <c r="BR325" s="404" t="s">
        <v>51</v>
      </c>
      <c r="BS325" s="405"/>
      <c r="BV325" s="12">
        <f>6/1000</f>
        <v>6.0000000000000001E-3</v>
      </c>
      <c r="BW325" s="4" t="s">
        <v>158</v>
      </c>
    </row>
    <row r="326" spans="45:78" x14ac:dyDescent="0.25">
      <c r="AS326" s="41" t="s">
        <v>58</v>
      </c>
      <c r="AT326" s="41"/>
      <c r="BO326" s="130">
        <f>BO322</f>
        <v>4.6466290829859958</v>
      </c>
      <c r="BR326" s="406" t="s">
        <v>159</v>
      </c>
      <c r="BS326" s="407"/>
    </row>
    <row r="327" spans="45:78" x14ac:dyDescent="0.25">
      <c r="AS327" s="25" t="s">
        <v>59</v>
      </c>
      <c r="AT327" s="4"/>
      <c r="BO327" s="15" t="s">
        <v>36</v>
      </c>
      <c r="BR327" s="43">
        <f>IF(CK375-BO322&lt;0,0,CK375-BO322)</f>
        <v>0</v>
      </c>
      <c r="BS327" s="44" t="s">
        <v>18</v>
      </c>
    </row>
    <row r="328" spans="45:78" x14ac:dyDescent="0.25">
      <c r="AS328" s="176">
        <f>AS338</f>
        <v>21.721530493782097</v>
      </c>
      <c r="AT328" s="4" t="s">
        <v>18</v>
      </c>
      <c r="BO328" s="17">
        <f>BO326-CK375</f>
        <v>1.5666290829859957</v>
      </c>
      <c r="BR328" s="43">
        <f>BR327</f>
        <v>0</v>
      </c>
      <c r="BS328" s="44" t="s">
        <v>18</v>
      </c>
    </row>
    <row r="329" spans="45:78" x14ac:dyDescent="0.25">
      <c r="AS329" s="176">
        <f>AS338</f>
        <v>21.721530493782097</v>
      </c>
      <c r="AT329" s="4" t="s">
        <v>18</v>
      </c>
      <c r="BO329" s="14" t="s">
        <v>168</v>
      </c>
    </row>
    <row r="331" spans="45:78" x14ac:dyDescent="0.25">
      <c r="AS331" s="178"/>
      <c r="AT331" s="178"/>
    </row>
    <row r="332" spans="45:78" x14ac:dyDescent="0.25">
      <c r="AS332" s="178"/>
      <c r="AT332" s="178"/>
    </row>
    <row r="333" spans="45:78" x14ac:dyDescent="0.25">
      <c r="AS333" s="178"/>
      <c r="AT333" s="178"/>
      <c r="BV333" s="10"/>
      <c r="BW333" s="10"/>
      <c r="BX333" s="10"/>
      <c r="BY333" s="10"/>
      <c r="BZ333" s="10"/>
    </row>
    <row r="334" spans="45:78" x14ac:dyDescent="0.25">
      <c r="BV334" s="10"/>
      <c r="BW334" s="10"/>
      <c r="BX334" s="10"/>
      <c r="BY334" s="10"/>
      <c r="BZ334" s="10" t="s">
        <v>141</v>
      </c>
    </row>
    <row r="335" spans="45:78" x14ac:dyDescent="0.25">
      <c r="AS335" t="s">
        <v>220</v>
      </c>
      <c r="BV335" s="10"/>
      <c r="BW335" s="10"/>
      <c r="BX335" s="10"/>
      <c r="BY335" s="10"/>
      <c r="BZ335" s="49" t="s">
        <v>36</v>
      </c>
    </row>
    <row r="336" spans="45:78" x14ac:dyDescent="0.25">
      <c r="AS336" s="18" t="s">
        <v>36</v>
      </c>
      <c r="BA336" s="18" t="s">
        <v>36</v>
      </c>
      <c r="BO336" s="10"/>
      <c r="BP336" s="10"/>
      <c r="BQ336" s="10"/>
      <c r="BV336" s="10"/>
      <c r="BW336" s="10"/>
      <c r="BX336" s="10"/>
      <c r="BY336" s="10"/>
      <c r="BZ336" s="45" t="s">
        <v>54</v>
      </c>
    </row>
    <row r="337" spans="20:88" x14ac:dyDescent="0.25">
      <c r="X337" s="18" t="s">
        <v>36</v>
      </c>
      <c r="AS337" s="19">
        <v>1E-4</v>
      </c>
      <c r="BA337" s="19">
        <v>1E-4</v>
      </c>
      <c r="BO337" s="10"/>
      <c r="BP337" s="10"/>
      <c r="BQ337" s="10"/>
      <c r="BV337" s="10"/>
      <c r="BW337" s="10"/>
      <c r="BX337" s="10"/>
      <c r="BY337" s="10"/>
      <c r="BZ337" s="121">
        <f>BZ338-BZ342</f>
        <v>4.6466290829859958</v>
      </c>
    </row>
    <row r="338" spans="20:88" ht="15.75" thickBot="1" x14ac:dyDescent="0.3">
      <c r="X338" s="19">
        <v>1E-4</v>
      </c>
      <c r="AS338" s="175">
        <f>AS349</f>
        <v>21.721530493782097</v>
      </c>
      <c r="BA338" s="18"/>
      <c r="BO338" s="10"/>
      <c r="BP338" s="10"/>
      <c r="BQ338" s="10"/>
      <c r="BV338" s="10"/>
      <c r="BW338" s="10"/>
      <c r="BX338" s="10"/>
      <c r="BY338" s="10"/>
      <c r="BZ338" s="113">
        <f>BW344</f>
        <v>97.579210742705996</v>
      </c>
    </row>
    <row r="339" spans="20:88" x14ac:dyDescent="0.25">
      <c r="X339" s="18"/>
      <c r="AG339" s="453" t="s">
        <v>208</v>
      </c>
      <c r="AH339" s="454"/>
      <c r="AN339" s="473" t="s">
        <v>87</v>
      </c>
      <c r="AO339" s="473"/>
      <c r="AS339" s="1">
        <f>AN341*AN343</f>
        <v>448.88332474999999</v>
      </c>
      <c r="BA339" s="1">
        <f>AX347</f>
        <v>427.16179425621789</v>
      </c>
      <c r="BO339" s="10"/>
      <c r="BP339" s="10"/>
      <c r="BQ339" s="10"/>
      <c r="BV339" s="437" t="s">
        <v>139</v>
      </c>
      <c r="BW339" s="438"/>
      <c r="BX339" s="10"/>
      <c r="BY339" s="10"/>
      <c r="BZ339" s="47" t="s">
        <v>34</v>
      </c>
    </row>
    <row r="340" spans="20:88" x14ac:dyDescent="0.25">
      <c r="X340" s="179">
        <f>SUM(V347:V354)</f>
        <v>0</v>
      </c>
      <c r="AG340" s="455"/>
      <c r="AH340" s="456"/>
      <c r="AN340" s="447">
        <f>AQ345</f>
        <v>0</v>
      </c>
      <c r="AO340" s="448"/>
      <c r="AS340" s="13" t="s">
        <v>34</v>
      </c>
      <c r="BA340" s="13" t="s">
        <v>34</v>
      </c>
      <c r="BN340" s="34"/>
      <c r="BO340" s="10"/>
      <c r="BP340" s="10"/>
      <c r="BQ340" s="10"/>
      <c r="BV340" s="439"/>
      <c r="BW340" s="440"/>
      <c r="BX340" s="10"/>
      <c r="BY340" s="10"/>
      <c r="BZ340" s="118" t="s">
        <v>138</v>
      </c>
      <c r="CH340" s="409" t="s">
        <v>51</v>
      </c>
      <c r="CI340" s="409"/>
    </row>
    <row r="341" spans="20:88" x14ac:dyDescent="0.25">
      <c r="X341" s="13" t="s">
        <v>34</v>
      </c>
      <c r="AG341" s="455"/>
      <c r="AH341" s="456"/>
      <c r="AJ341" s="1" t="s">
        <v>106</v>
      </c>
      <c r="AN341" s="42">
        <v>64.126189249999996</v>
      </c>
      <c r="AO341" s="4" t="s">
        <v>18</v>
      </c>
      <c r="AS341" s="109" t="s">
        <v>222</v>
      </c>
      <c r="BA341" s="109" t="s">
        <v>218</v>
      </c>
      <c r="BN341" s="34"/>
      <c r="BO341" s="10"/>
      <c r="BP341" s="10"/>
      <c r="BQ341" s="10"/>
      <c r="BV341" s="115" t="s">
        <v>1</v>
      </c>
      <c r="BW341" s="115" t="s">
        <v>1</v>
      </c>
      <c r="BX341" s="9"/>
      <c r="BY341" s="10"/>
      <c r="BZ341" s="48" t="s">
        <v>35</v>
      </c>
      <c r="CH341" s="142" t="str">
        <f>CI348</f>
        <v>unidad resortada</v>
      </c>
      <c r="CI341" s="143">
        <f>CL340</f>
        <v>0</v>
      </c>
    </row>
    <row r="342" spans="20:88" x14ac:dyDescent="0.25">
      <c r="X342" s="109" t="s">
        <v>119</v>
      </c>
      <c r="AE342" s="18" t="s">
        <v>36</v>
      </c>
      <c r="AG342" s="455"/>
      <c r="AH342" s="456"/>
      <c r="AJ342" s="18" t="s">
        <v>36</v>
      </c>
      <c r="AN342" s="42">
        <v>5.3438489999999996</v>
      </c>
      <c r="AO342" s="4" t="s">
        <v>15</v>
      </c>
      <c r="AS342" s="14" t="s">
        <v>35</v>
      </c>
      <c r="BA342" s="14" t="s">
        <v>35</v>
      </c>
      <c r="BC342" s="421" t="s">
        <v>139</v>
      </c>
      <c r="BD342" s="421"/>
      <c r="BE342" s="10"/>
      <c r="BO342" s="421" t="s">
        <v>139</v>
      </c>
      <c r="BP342" s="421"/>
      <c r="BQ342" s="10"/>
      <c r="BV342" s="115">
        <f>BW342</f>
        <v>97.579210742705996</v>
      </c>
      <c r="BW342" s="67">
        <f>BW344</f>
        <v>97.579210742705996</v>
      </c>
      <c r="BX342" s="55"/>
      <c r="BY342" s="10"/>
      <c r="BZ342" s="10">
        <f>CI357</f>
        <v>92.93258165972</v>
      </c>
      <c r="CH342" s="115">
        <f>CI351</f>
        <v>110</v>
      </c>
      <c r="CI342" s="141" t="str">
        <f>CI350</f>
        <v>en unidades</v>
      </c>
    </row>
    <row r="343" spans="20:88" ht="18.75" x14ac:dyDescent="0.3">
      <c r="X343" s="14" t="s">
        <v>35</v>
      </c>
      <c r="AE343" s="19">
        <v>1E-4</v>
      </c>
      <c r="AG343" s="455"/>
      <c r="AH343" s="456"/>
      <c r="AJ343" s="19">
        <v>6.9599999999999995E-2</v>
      </c>
      <c r="AN343" s="165">
        <f>ROUNDUP(BD345/AN341,0)</f>
        <v>7</v>
      </c>
      <c r="AO343" s="165" t="s">
        <v>217</v>
      </c>
      <c r="AS343" s="1">
        <f>AW347</f>
        <v>427.16179425621789</v>
      </c>
      <c r="BA343" s="1">
        <f>BD345</f>
        <v>427.16179425621789</v>
      </c>
      <c r="BC343" s="421"/>
      <c r="BD343" s="421"/>
      <c r="BE343" s="10"/>
      <c r="BM343" s="13"/>
      <c r="BO343" s="421"/>
      <c r="BP343" s="421"/>
      <c r="BQ343" s="10"/>
      <c r="BV343" s="422" t="s">
        <v>176</v>
      </c>
      <c r="BW343" s="10"/>
      <c r="BX343" s="10"/>
      <c r="BY343" s="10"/>
      <c r="BZ343" s="50" t="s">
        <v>36</v>
      </c>
      <c r="CH343" s="115">
        <f>CJ351</f>
        <v>2138.4</v>
      </c>
      <c r="CI343" s="141" t="str">
        <f>CJ350</f>
        <v>en kg</v>
      </c>
    </row>
    <row r="344" spans="20:88" ht="15.75" thickBot="1" x14ac:dyDescent="0.3">
      <c r="X344" s="1">
        <f>X340</f>
        <v>0</v>
      </c>
      <c r="AE344" s="18"/>
      <c r="AG344" s="457"/>
      <c r="AH344" s="458"/>
      <c r="AJ344" s="18">
        <f>AJ345-AJ349</f>
        <v>4.4631827717999926</v>
      </c>
      <c r="AS344" s="15" t="s">
        <v>36</v>
      </c>
      <c r="AW344" s="410" t="s">
        <v>219</v>
      </c>
      <c r="AX344" s="410"/>
      <c r="BA344" s="15" t="s">
        <v>36</v>
      </c>
      <c r="BC344" s="154" t="s">
        <v>1</v>
      </c>
      <c r="BD344" s="115" t="s">
        <v>1</v>
      </c>
      <c r="BE344" s="167" t="s">
        <v>211</v>
      </c>
      <c r="BL344" s="71" t="s">
        <v>216</v>
      </c>
      <c r="BM344" s="67"/>
      <c r="BN344" s="115" t="s">
        <v>213</v>
      </c>
      <c r="BO344" s="154" t="s">
        <v>1</v>
      </c>
      <c r="BP344" s="115" t="s">
        <v>1</v>
      </c>
      <c r="BQ344" s="167" t="s">
        <v>211</v>
      </c>
      <c r="BV344" s="423"/>
      <c r="BW344" s="10">
        <f>BZ342+BZ342*0.05</f>
        <v>97.579210742705996</v>
      </c>
      <c r="BX344" s="10"/>
      <c r="BY344" s="10"/>
      <c r="BZ344" s="53" t="s">
        <v>63</v>
      </c>
    </row>
    <row r="345" spans="20:88" ht="18.75" x14ac:dyDescent="0.3">
      <c r="U345" s="24" t="s">
        <v>51</v>
      </c>
      <c r="V345" s="24"/>
      <c r="X345" s="15" t="s">
        <v>36</v>
      </c>
      <c r="AE345" s="1">
        <f>AH353</f>
        <v>68.589372021799988</v>
      </c>
      <c r="AJ345" s="1">
        <f>AH353</f>
        <v>68.589372021799988</v>
      </c>
      <c r="AN345" s="165"/>
      <c r="AO345" s="166"/>
      <c r="AS345" s="17">
        <f>IF(AS338=AS339,AS339-AS343,AS338-AS343)</f>
        <v>-405.44026376243579</v>
      </c>
      <c r="AW345" s="410"/>
      <c r="AX345" s="410"/>
      <c r="BA345" s="17">
        <f>IF(BA338=BA339,BA339-BA343,BA338-BA343)</f>
        <v>-427.16179425621789</v>
      </c>
      <c r="BC345" s="171">
        <f>BO345</f>
        <v>427.16179425621789</v>
      </c>
      <c r="BD345" s="67">
        <f>BP345</f>
        <v>427.16179425621789</v>
      </c>
      <c r="BE345" s="167">
        <f>BD345/SUM(BD346:BD350)*100</f>
        <v>100</v>
      </c>
      <c r="BL345" s="172" t="s">
        <v>215</v>
      </c>
      <c r="BM345" s="172" t="s">
        <v>215</v>
      </c>
      <c r="BN345" s="169" t="s">
        <v>214</v>
      </c>
      <c r="BO345" s="171">
        <f>BP345</f>
        <v>427.16179425621789</v>
      </c>
      <c r="BP345" s="67">
        <f>SUM(BP347:BP353)</f>
        <v>427.16179425621789</v>
      </c>
      <c r="BQ345" s="167">
        <f>BP345/SUM(BP346:BP350)*100</f>
        <v>100</v>
      </c>
      <c r="BV345" s="10"/>
      <c r="BW345" s="48"/>
      <c r="BX345" s="10"/>
      <c r="BY345" s="10"/>
      <c r="BZ345" s="28"/>
    </row>
    <row r="346" spans="20:88" ht="18.75" x14ac:dyDescent="0.3">
      <c r="U346" s="475" t="s">
        <v>120</v>
      </c>
      <c r="V346" s="476"/>
      <c r="W346" s="6" t="s">
        <v>2</v>
      </c>
      <c r="X346" s="17">
        <f>IF(X339=X340,X340-X344,X339-X344)</f>
        <v>0</v>
      </c>
      <c r="AE346" s="13" t="s">
        <v>34</v>
      </c>
      <c r="AJ346" s="13" t="s">
        <v>34</v>
      </c>
      <c r="AN346" s="165"/>
      <c r="AO346" s="165"/>
      <c r="AS346" s="20" t="s">
        <v>57</v>
      </c>
      <c r="AW346" s="6" t="s">
        <v>1</v>
      </c>
      <c r="AX346" s="6" t="s">
        <v>1</v>
      </c>
      <c r="AY346" s="6" t="s">
        <v>42</v>
      </c>
      <c r="BA346" s="28" t="s">
        <v>45</v>
      </c>
      <c r="BC346" s="423" t="str">
        <f>BO346</f>
        <v>Por semiortopédico resortado</v>
      </c>
      <c r="BD346" s="53" t="str">
        <f>BP346</f>
        <v>en kg + desperdicios</v>
      </c>
      <c r="BE346" s="164"/>
      <c r="BL346" s="115" t="s">
        <v>30</v>
      </c>
      <c r="BM346" s="115" t="s">
        <v>1</v>
      </c>
      <c r="BN346" s="67"/>
      <c r="BO346" s="423" t="s">
        <v>176</v>
      </c>
      <c r="BP346" s="53" t="s">
        <v>42</v>
      </c>
      <c r="BQ346" s="164"/>
      <c r="BV346" s="10"/>
      <c r="BW346" s="10"/>
      <c r="BX346" s="10"/>
      <c r="BY346" s="10"/>
      <c r="BZ346" s="16"/>
    </row>
    <row r="347" spans="20:88" x14ac:dyDescent="0.25">
      <c r="T347" s="477" t="s">
        <v>121</v>
      </c>
      <c r="U347" s="12" t="str">
        <f>AB353</f>
        <v>Agua</v>
      </c>
      <c r="V347" s="4">
        <f>AD353</f>
        <v>0</v>
      </c>
      <c r="W347" s="7" t="s">
        <v>18</v>
      </c>
      <c r="X347" s="28" t="s">
        <v>45</v>
      </c>
      <c r="AE347" s="109" t="s">
        <v>84</v>
      </c>
      <c r="AJ347" s="29" t="s">
        <v>85</v>
      </c>
      <c r="AW347" s="27">
        <f>AX347</f>
        <v>427.16179425621789</v>
      </c>
      <c r="AX347" s="4">
        <f>BC345</f>
        <v>427.16179425621789</v>
      </c>
      <c r="AY347" s="6"/>
      <c r="BC347" s="423"/>
      <c r="BD347" s="53">
        <f>BP347</f>
        <v>97.579210742705996</v>
      </c>
      <c r="BE347" s="164">
        <f>BD347/$BD$345*100</f>
        <v>22.843618519912987</v>
      </c>
      <c r="BL347" s="181">
        <f>BN347/$CH$385</f>
        <v>28795.756000000001</v>
      </c>
      <c r="BM347" s="174">
        <f>BN347*0.05</f>
        <v>0.11170737625080002</v>
      </c>
      <c r="BN347" s="67">
        <f>CJ385*CN360</f>
        <v>2.2341475250160001</v>
      </c>
      <c r="BO347" s="423"/>
      <c r="BP347" s="53">
        <f>BV342</f>
        <v>97.579210742705996</v>
      </c>
      <c r="BQ347" s="164">
        <f>BP347/$BP$345*100</f>
        <v>22.843618519912987</v>
      </c>
      <c r="BV347" s="10"/>
      <c r="BW347" s="10"/>
      <c r="BX347" s="10"/>
      <c r="BY347" s="10"/>
      <c r="BZ347" s="10"/>
    </row>
    <row r="348" spans="20:88" x14ac:dyDescent="0.25">
      <c r="T348" s="477"/>
      <c r="U348" s="12" t="str">
        <f t="shared" ref="U348:U353" si="7">AB354</f>
        <v>Poliol</v>
      </c>
      <c r="V348" s="4">
        <f t="shared" ref="V348:V354" si="8">AD354</f>
        <v>0</v>
      </c>
      <c r="W348" s="7" t="s">
        <v>18</v>
      </c>
      <c r="AE348" s="14" t="s">
        <v>35</v>
      </c>
      <c r="AJ348" s="14" t="s">
        <v>35</v>
      </c>
      <c r="AW348" s="14"/>
      <c r="BC348" s="53" t="str">
        <f>BO348</f>
        <v>Por semi anatómico</v>
      </c>
      <c r="BD348" s="53">
        <f>BP348</f>
        <v>118.60097202535512</v>
      </c>
      <c r="BE348" s="164">
        <f t="shared" ref="BE348:BE350" si="9">BD348/$BD$345*100</f>
        <v>27.764882913244932</v>
      </c>
      <c r="BL348" s="181">
        <f t="shared" ref="BL348:BL349" si="10">BN348/$CH$385</f>
        <v>2977.1904000000004</v>
      </c>
      <c r="BM348" s="115">
        <f>BN348*0.05</f>
        <v>1.1549414718720001E-2</v>
      </c>
      <c r="BN348" s="67">
        <f>CJ459*CN434</f>
        <v>0.23098829437440002</v>
      </c>
      <c r="BO348" s="53" t="str">
        <f>BV417</f>
        <v>Por semi anatómico</v>
      </c>
      <c r="BP348" s="180">
        <f>BW418</f>
        <v>118.60097202535512</v>
      </c>
      <c r="BQ348" s="164">
        <f t="shared" ref="BQ348:BQ350" si="11">BP348/$BP$345*100</f>
        <v>27.764882913244932</v>
      </c>
      <c r="BV348" s="10"/>
      <c r="BW348" s="10"/>
      <c r="BX348" s="10"/>
      <c r="BY348" s="48"/>
      <c r="BZ348" s="52">
        <f>BW344-CI357</f>
        <v>4.6466290829859958</v>
      </c>
      <c r="CI348" s="424" t="s">
        <v>174</v>
      </c>
      <c r="CJ348" s="425"/>
    </row>
    <row r="349" spans="20:88" x14ac:dyDescent="0.25">
      <c r="T349" s="477"/>
      <c r="U349" s="12" t="str">
        <f t="shared" si="7"/>
        <v>TDI</v>
      </c>
      <c r="V349" s="4">
        <f t="shared" si="8"/>
        <v>0</v>
      </c>
      <c r="W349" s="7" t="s">
        <v>18</v>
      </c>
      <c r="AE349" s="1">
        <f>AH353</f>
        <v>68.589372021799988</v>
      </c>
      <c r="AJ349">
        <f>AN341</f>
        <v>64.126189249999996</v>
      </c>
      <c r="AS349" s="21">
        <f>AS339-AS343</f>
        <v>21.721530493782097</v>
      </c>
      <c r="BA349" s="21">
        <f>BA339-BA343</f>
        <v>0</v>
      </c>
      <c r="BC349" s="53" t="str">
        <f>BO349</f>
        <v>Por anatómico</v>
      </c>
      <c r="BD349" s="53">
        <f>BP349</f>
        <v>108.07991805536395</v>
      </c>
      <c r="BE349" s="164">
        <f t="shared" si="9"/>
        <v>25.301869106424817</v>
      </c>
      <c r="BL349" s="181">
        <f t="shared" si="10"/>
        <v>2713.0848000000001</v>
      </c>
      <c r="BM349" s="115">
        <f>BN349*0.05</f>
        <v>1.0524869864640001E-2</v>
      </c>
      <c r="BN349" s="67">
        <f>CJ536*CN511</f>
        <v>0.21049739729280001</v>
      </c>
      <c r="BO349" s="53" t="str">
        <f>BV494</f>
        <v>Por anatómico</v>
      </c>
      <c r="BP349" s="180">
        <f>BW495</f>
        <v>108.07991805536395</v>
      </c>
      <c r="BQ349" s="164">
        <f t="shared" si="11"/>
        <v>25.301869106424817</v>
      </c>
      <c r="CI349" s="426"/>
      <c r="CJ349" s="427"/>
    </row>
    <row r="350" spans="20:88" x14ac:dyDescent="0.25">
      <c r="T350" s="477"/>
      <c r="U350" s="12" t="str">
        <f t="shared" si="7"/>
        <v>Amina</v>
      </c>
      <c r="V350" s="4">
        <f t="shared" si="8"/>
        <v>0</v>
      </c>
      <c r="W350" s="7" t="s">
        <v>18</v>
      </c>
      <c r="X350" s="21">
        <f>SUM(V347:V354)-SUM(AD353:AD360)</f>
        <v>0</v>
      </c>
      <c r="AB350" s="410" t="s">
        <v>107</v>
      </c>
      <c r="AC350" s="410"/>
      <c r="AE350" s="15" t="s">
        <v>36</v>
      </c>
      <c r="AG350" s="410" t="s">
        <v>103</v>
      </c>
      <c r="AH350" s="410"/>
      <c r="AJ350" s="15" t="s">
        <v>36</v>
      </c>
      <c r="BC350" s="53" t="str">
        <f>BO350</f>
        <v>Por ortopédico resortado</v>
      </c>
      <c r="BD350" s="53">
        <f>BP350</f>
        <v>102.90169343279281</v>
      </c>
      <c r="BE350" s="164">
        <f t="shared" si="9"/>
        <v>24.089629460417257</v>
      </c>
      <c r="BL350" s="181">
        <f>BN350/$CH$385</f>
        <v>30366.433599999997</v>
      </c>
      <c r="BM350" s="115">
        <f>BN350*0.05</f>
        <v>0.11780050586447999</v>
      </c>
      <c r="BN350" s="67">
        <f>CI614*CM589</f>
        <v>2.3560101172895997</v>
      </c>
      <c r="BO350" s="53" t="str">
        <f>BU572</f>
        <v>Por ortopédico resortado</v>
      </c>
      <c r="BP350" s="180">
        <f>BV573</f>
        <v>102.90169343279281</v>
      </c>
      <c r="BQ350" s="164">
        <f t="shared" si="11"/>
        <v>24.089629460417257</v>
      </c>
      <c r="CI350" s="6" t="s">
        <v>4</v>
      </c>
      <c r="CJ350" s="6" t="s">
        <v>1</v>
      </c>
    </row>
    <row r="351" spans="20:88" x14ac:dyDescent="0.25">
      <c r="T351" s="477"/>
      <c r="U351" s="12" t="str">
        <f t="shared" si="7"/>
        <v>Estaño</v>
      </c>
      <c r="V351" s="4">
        <f t="shared" si="8"/>
        <v>0</v>
      </c>
      <c r="W351" s="7" t="s">
        <v>18</v>
      </c>
      <c r="AB351" s="410"/>
      <c r="AC351" s="410"/>
      <c r="AE351" s="17">
        <f>IF(AE344=AE345,AE345-AE349,AE344-AE349)</f>
        <v>-68.589372021799988</v>
      </c>
      <c r="AG351" s="410"/>
      <c r="AH351" s="410"/>
      <c r="AJ351" s="17"/>
      <c r="BC351" s="10"/>
      <c r="BD351" s="10"/>
      <c r="BM351" s="14"/>
      <c r="BO351" s="10"/>
      <c r="BP351" s="10"/>
      <c r="BQ351" s="168"/>
      <c r="CI351" s="6">
        <f>CN360*CC388</f>
        <v>110</v>
      </c>
      <c r="CJ351" s="4">
        <f>CN360*CJ388</f>
        <v>2138.4</v>
      </c>
    </row>
    <row r="352" spans="20:88" x14ac:dyDescent="0.25">
      <c r="T352" s="477"/>
      <c r="U352" s="12" t="str">
        <f t="shared" si="7"/>
        <v>Siliciona</v>
      </c>
      <c r="V352" s="4">
        <f t="shared" si="8"/>
        <v>0</v>
      </c>
      <c r="W352" s="7" t="s">
        <v>18</v>
      </c>
      <c r="AB352" s="6" t="s">
        <v>108</v>
      </c>
      <c r="AC352" s="6" t="s">
        <v>118</v>
      </c>
      <c r="AD352" s="6" t="s">
        <v>117</v>
      </c>
      <c r="AE352" s="28" t="s">
        <v>45</v>
      </c>
      <c r="AG352" s="6" t="s">
        <v>50</v>
      </c>
      <c r="AH352" s="6" t="s">
        <v>1</v>
      </c>
      <c r="AI352" s="6" t="s">
        <v>42</v>
      </c>
      <c r="AJ352" s="28"/>
      <c r="BM352" s="173"/>
    </row>
    <row r="353" spans="20:94" x14ac:dyDescent="0.25">
      <c r="T353" s="477"/>
      <c r="U353" s="12" t="str">
        <f t="shared" si="7"/>
        <v>Polimérico</v>
      </c>
      <c r="V353" s="4">
        <f t="shared" si="8"/>
        <v>0</v>
      </c>
      <c r="W353" s="7" t="s">
        <v>18</v>
      </c>
      <c r="AB353" s="6" t="s">
        <v>109</v>
      </c>
      <c r="AC353" s="105">
        <v>0.03</v>
      </c>
      <c r="AD353" s="6">
        <f>AC353*$AL$328</f>
        <v>0</v>
      </c>
      <c r="AG353" s="27">
        <f>AH353*(1/1005)</f>
        <v>6.8248131364975109E-2</v>
      </c>
      <c r="AH353" s="4">
        <f>AN341+AN341*AJ343</f>
        <v>68.589372021799988</v>
      </c>
      <c r="AI353" s="6">
        <f>IF(AJ351&gt;0,AH353+AJ351/2,AH353)</f>
        <v>68.589372021799988</v>
      </c>
      <c r="AJ353" s="16"/>
    </row>
    <row r="354" spans="20:94" x14ac:dyDescent="0.25">
      <c r="T354" s="477"/>
      <c r="U354" s="12" t="str">
        <f>AB360</f>
        <v>Cloruro de Metilo</v>
      </c>
      <c r="V354" s="4">
        <f t="shared" si="8"/>
        <v>0</v>
      </c>
      <c r="W354" s="7" t="s">
        <v>18</v>
      </c>
      <c r="AB354" s="4" t="s">
        <v>110</v>
      </c>
      <c r="AC354" s="105">
        <v>0.63</v>
      </c>
      <c r="AD354" s="6">
        <f t="shared" ref="AD354:AD360" si="12">AC354*$AL$328</f>
        <v>0</v>
      </c>
      <c r="AG354" s="14" t="s">
        <v>104</v>
      </c>
      <c r="CI354" s="424" t="s">
        <v>141</v>
      </c>
      <c r="CJ354" s="425"/>
    </row>
    <row r="355" spans="20:94" x14ac:dyDescent="0.25">
      <c r="AB355" s="4" t="s">
        <v>111</v>
      </c>
      <c r="AC355" s="105">
        <v>0.32500000000000001</v>
      </c>
      <c r="AD355" s="6">
        <f t="shared" si="12"/>
        <v>0</v>
      </c>
      <c r="AE355" s="21">
        <f>AE345-AE349</f>
        <v>0</v>
      </c>
      <c r="AJ355" s="22">
        <f>AJ345-AJ349</f>
        <v>4.4631827717999926</v>
      </c>
      <c r="CI355" s="426"/>
      <c r="CJ355" s="427"/>
    </row>
    <row r="356" spans="20:94" x14ac:dyDescent="0.25">
      <c r="AB356" s="4" t="s">
        <v>112</v>
      </c>
      <c r="AC356" s="105">
        <v>2E-3</v>
      </c>
      <c r="AD356" s="6">
        <f t="shared" si="12"/>
        <v>0</v>
      </c>
      <c r="CI356" s="6" t="s">
        <v>1</v>
      </c>
      <c r="CJ356" s="6" t="s">
        <v>1</v>
      </c>
    </row>
    <row r="357" spans="20:94" x14ac:dyDescent="0.25">
      <c r="AB357" s="4" t="s">
        <v>113</v>
      </c>
      <c r="AC357" s="105">
        <v>2E-3</v>
      </c>
      <c r="AD357" s="6">
        <f t="shared" si="12"/>
        <v>0</v>
      </c>
      <c r="CI357" s="6">
        <f>CJ357</f>
        <v>92.93258165972</v>
      </c>
      <c r="CJ357" s="4">
        <f>CN360*(CJ382+CJ383+CJ385+CJ386+CJ387)</f>
        <v>92.93258165972</v>
      </c>
    </row>
    <row r="358" spans="20:94" x14ac:dyDescent="0.25">
      <c r="AB358" s="4" t="s">
        <v>114</v>
      </c>
      <c r="AC358" s="105">
        <v>2E-3</v>
      </c>
      <c r="AD358" s="6">
        <f t="shared" si="12"/>
        <v>0</v>
      </c>
      <c r="CL358">
        <f>CJ357+CJ363+CJ367+CK371+CK375+CJ351</f>
        <v>2348.702282625366</v>
      </c>
      <c r="CN358" s="416" t="s">
        <v>52</v>
      </c>
      <c r="CO358" s="416"/>
    </row>
    <row r="359" spans="20:94" x14ac:dyDescent="0.25">
      <c r="AB359" s="4" t="s">
        <v>115</v>
      </c>
      <c r="AC359" s="105">
        <v>2E-3</v>
      </c>
      <c r="AD359" s="6">
        <f t="shared" si="12"/>
        <v>0</v>
      </c>
      <c r="CL359" s="13" t="s">
        <v>34</v>
      </c>
      <c r="CN359" s="436" t="s">
        <v>173</v>
      </c>
      <c r="CO359" s="417"/>
      <c r="CP359" s="127" t="s">
        <v>172</v>
      </c>
    </row>
    <row r="360" spans="20:94" x14ac:dyDescent="0.25">
      <c r="AB360" s="4" t="s">
        <v>116</v>
      </c>
      <c r="AC360" s="105">
        <v>2E-3</v>
      </c>
      <c r="AD360" s="6">
        <f t="shared" si="12"/>
        <v>0</v>
      </c>
      <c r="CL360" s="109" t="s">
        <v>160</v>
      </c>
      <c r="CN360" s="23">
        <f>'Flujos Planta Final'!CN351</f>
        <v>110</v>
      </c>
      <c r="CO360" s="4" t="s">
        <v>27</v>
      </c>
    </row>
    <row r="361" spans="20:94" x14ac:dyDescent="0.25">
      <c r="CC361" s="419" t="s">
        <v>51</v>
      </c>
      <c r="CD361" s="420"/>
      <c r="CI361" s="428" t="s">
        <v>134</v>
      </c>
      <c r="CJ361" s="429"/>
      <c r="CL361" s="14" t="s">
        <v>35</v>
      </c>
      <c r="CN361" s="4">
        <f>CN360*CK386</f>
        <v>2348.702282625366</v>
      </c>
      <c r="CO361" s="4" t="s">
        <v>28</v>
      </c>
    </row>
    <row r="362" spans="20:94" x14ac:dyDescent="0.25">
      <c r="CC362" s="115" t="str">
        <f>CI361</f>
        <v xml:space="preserve">Lámina de espuma </v>
      </c>
      <c r="CD362" s="146"/>
      <c r="CI362" s="6" t="s">
        <v>50</v>
      </c>
      <c r="CJ362" s="6" t="s">
        <v>1</v>
      </c>
      <c r="CL362">
        <f>CN361</f>
        <v>2348.702282625366</v>
      </c>
    </row>
    <row r="363" spans="20:94" x14ac:dyDescent="0.25">
      <c r="CC363" s="115">
        <f>CJ363</f>
        <v>112.85999999999999</v>
      </c>
      <c r="CD363" s="147" t="str">
        <f>CJ362</f>
        <v>en kg</v>
      </c>
      <c r="CI363" s="6">
        <f>CN360*CF380</f>
        <v>6.27</v>
      </c>
      <c r="CJ363" s="4">
        <f>CN360*(CJ380)</f>
        <v>112.85999999999999</v>
      </c>
      <c r="CL363" s="15" t="s">
        <v>36</v>
      </c>
    </row>
    <row r="364" spans="20:94" x14ac:dyDescent="0.25">
      <c r="CC364" s="115">
        <f>CI363</f>
        <v>6.27</v>
      </c>
      <c r="CD364" s="147" t="str">
        <f>CI362</f>
        <v>en m^3</v>
      </c>
      <c r="CL364" s="1">
        <f>CL358-CL362</f>
        <v>0</v>
      </c>
    </row>
    <row r="365" spans="20:94" x14ac:dyDescent="0.25">
      <c r="CI365" s="428" t="s">
        <v>98</v>
      </c>
      <c r="CJ365" s="429"/>
      <c r="CL365" s="28" t="s">
        <v>45</v>
      </c>
    </row>
    <row r="366" spans="20:94" x14ac:dyDescent="0.25">
      <c r="CI366" s="6" t="s">
        <v>30</v>
      </c>
      <c r="CJ366" s="6" t="s">
        <v>1</v>
      </c>
    </row>
    <row r="367" spans="20:94" x14ac:dyDescent="0.25">
      <c r="CI367" s="6">
        <f>CN360*CF384</f>
        <v>110</v>
      </c>
      <c r="CJ367" s="4">
        <f>CN360*(CJ384)</f>
        <v>0.93617021276595747</v>
      </c>
    </row>
    <row r="369" spans="80:93" x14ac:dyDescent="0.25">
      <c r="CF369" s="409" t="s">
        <v>51</v>
      </c>
      <c r="CG369" s="409"/>
      <c r="CH369" s="144"/>
      <c r="CJ369" s="410" t="s">
        <v>137</v>
      </c>
      <c r="CK369" s="410"/>
    </row>
    <row r="370" spans="80:93" x14ac:dyDescent="0.25">
      <c r="CF370" s="142" t="s">
        <v>98</v>
      </c>
      <c r="CG370" s="143" t="str">
        <f>CJ369</f>
        <v>Hilo</v>
      </c>
      <c r="CH370" s="72"/>
      <c r="CJ370" s="6" t="s">
        <v>30</v>
      </c>
      <c r="CK370" s="6" t="s">
        <v>1</v>
      </c>
      <c r="CO370" t="s">
        <v>91</v>
      </c>
    </row>
    <row r="371" spans="80:93" x14ac:dyDescent="0.25">
      <c r="CF371" s="115">
        <f>CJ367</f>
        <v>0.93617021276595747</v>
      </c>
      <c r="CG371" s="141">
        <f>CK371</f>
        <v>0.49353075288000003</v>
      </c>
      <c r="CH371" s="4" t="s">
        <v>18</v>
      </c>
      <c r="CJ371" s="6">
        <f>CF381*CN360</f>
        <v>6361.08</v>
      </c>
      <c r="CK371" s="4">
        <f>CN360*(CJ381)</f>
        <v>0.49353075288000003</v>
      </c>
    </row>
    <row r="372" spans="80:93" x14ac:dyDescent="0.25">
      <c r="CF372" s="115">
        <f>CI367</f>
        <v>110</v>
      </c>
      <c r="CG372" s="141">
        <f>CJ371</f>
        <v>6361.08</v>
      </c>
      <c r="CH372" s="4" t="s">
        <v>16</v>
      </c>
    </row>
    <row r="373" spans="80:93" x14ac:dyDescent="0.25">
      <c r="CJ373" s="410" t="s">
        <v>161</v>
      </c>
      <c r="CK373" s="410"/>
    </row>
    <row r="374" spans="80:93" x14ac:dyDescent="0.25">
      <c r="CJ374" s="6" t="s">
        <v>4</v>
      </c>
      <c r="CK374" s="6" t="s">
        <v>1</v>
      </c>
    </row>
    <row r="375" spans="80:93" x14ac:dyDescent="0.25">
      <c r="CJ375" s="6">
        <f>CN360*4</f>
        <v>440</v>
      </c>
      <c r="CK375" s="4">
        <f>CJ389*CN360</f>
        <v>3.08</v>
      </c>
    </row>
    <row r="378" spans="80:93" x14ac:dyDescent="0.25">
      <c r="CC378" s="415" t="str">
        <f>CN359</f>
        <v>Semiortopédico resotrado</v>
      </c>
      <c r="CD378" s="415"/>
      <c r="CE378" s="4" t="s">
        <v>19</v>
      </c>
      <c r="CF378" s="6" t="s">
        <v>20</v>
      </c>
      <c r="CG378" s="6" t="s">
        <v>2</v>
      </c>
      <c r="CH378" s="6" t="s">
        <v>21</v>
      </c>
      <c r="CI378" s="6" t="s">
        <v>2</v>
      </c>
      <c r="CJ378" s="11" t="s">
        <v>24</v>
      </c>
    </row>
    <row r="379" spans="80:93" x14ac:dyDescent="0.25">
      <c r="CB379" s="153"/>
      <c r="CC379" s="68"/>
      <c r="CD379" s="68"/>
      <c r="CE379" s="23"/>
      <c r="CF379" s="23"/>
      <c r="CG379" s="23"/>
      <c r="CH379" s="23"/>
      <c r="CI379" s="23"/>
      <c r="CJ379" s="39"/>
    </row>
    <row r="380" spans="80:93" x14ac:dyDescent="0.25">
      <c r="CB380" s="149" t="s">
        <v>128</v>
      </c>
      <c r="CC380" s="150">
        <f>100*190*3</f>
        <v>57000</v>
      </c>
      <c r="CD380" s="68" t="s">
        <v>26</v>
      </c>
      <c r="CE380" s="23">
        <v>9.9999999999999995E-7</v>
      </c>
      <c r="CF380" s="23">
        <f t="shared" ref="CF380:CF387" si="13">CC380*CE380</f>
        <v>5.6999999999999995E-2</v>
      </c>
      <c r="CG380" s="23" t="s">
        <v>15</v>
      </c>
      <c r="CH380" s="23">
        <v>18</v>
      </c>
      <c r="CI380" s="23" t="s">
        <v>13</v>
      </c>
      <c r="CJ380" s="23">
        <f>CF380*CH380</f>
        <v>1.0259999999999998</v>
      </c>
    </row>
    <row r="381" spans="80:93" x14ac:dyDescent="0.25">
      <c r="CB381" s="149" t="s">
        <v>130</v>
      </c>
      <c r="CC381" s="150">
        <f>5782.8</f>
        <v>5782.8</v>
      </c>
      <c r="CD381" s="68" t="s">
        <v>10</v>
      </c>
      <c r="CE381" s="23">
        <f>1/100</f>
        <v>0.01</v>
      </c>
      <c r="CF381" s="23">
        <f t="shared" si="13"/>
        <v>57.828000000000003</v>
      </c>
      <c r="CG381" s="23" t="s">
        <v>16</v>
      </c>
      <c r="CH381" s="23">
        <v>7.7585999999999999E-5</v>
      </c>
      <c r="CI381" s="23" t="s">
        <v>22</v>
      </c>
      <c r="CJ381" s="23">
        <f t="shared" ref="CJ381:CJ383" si="14">CF381*CH381</f>
        <v>4.4866432080000003E-3</v>
      </c>
    </row>
    <row r="382" spans="80:93" x14ac:dyDescent="0.25">
      <c r="CB382" s="149" t="s">
        <v>164</v>
      </c>
      <c r="CC382" s="150">
        <f>230*230*0.3</f>
        <v>15870</v>
      </c>
      <c r="CD382" s="68" t="s">
        <v>26</v>
      </c>
      <c r="CE382" s="23">
        <v>9.9999999999999995E-7</v>
      </c>
      <c r="CF382" s="23">
        <f t="shared" si="13"/>
        <v>1.5869999999999999E-2</v>
      </c>
      <c r="CG382" s="23" t="s">
        <v>15</v>
      </c>
      <c r="CH382" s="23">
        <v>12</v>
      </c>
      <c r="CI382" s="23" t="s">
        <v>13</v>
      </c>
      <c r="CJ382" s="23">
        <f t="shared" si="14"/>
        <v>0.19044</v>
      </c>
    </row>
    <row r="383" spans="80:93" x14ac:dyDescent="0.25">
      <c r="CB383" s="149" t="s">
        <v>127</v>
      </c>
      <c r="CC383" s="150">
        <v>59400</v>
      </c>
      <c r="CD383" s="68" t="s">
        <v>9</v>
      </c>
      <c r="CE383" s="23">
        <f>0.0001</f>
        <v>1E-4</v>
      </c>
      <c r="CF383" s="23">
        <f t="shared" si="13"/>
        <v>5.94</v>
      </c>
      <c r="CG383" s="23" t="s">
        <v>17</v>
      </c>
      <c r="CH383" s="23">
        <f>20/1000</f>
        <v>0.02</v>
      </c>
      <c r="CI383" s="23" t="s">
        <v>23</v>
      </c>
      <c r="CJ383" s="23">
        <f t="shared" si="14"/>
        <v>0.11880000000000002</v>
      </c>
    </row>
    <row r="384" spans="80:93" x14ac:dyDescent="0.25">
      <c r="CB384" s="149" t="s">
        <v>93</v>
      </c>
      <c r="CC384" s="150">
        <v>100</v>
      </c>
      <c r="CD384" s="68" t="s">
        <v>10</v>
      </c>
      <c r="CE384" s="23">
        <f>1/100</f>
        <v>0.01</v>
      </c>
      <c r="CF384" s="23">
        <f t="shared" si="13"/>
        <v>1</v>
      </c>
      <c r="CG384" s="23" t="s">
        <v>16</v>
      </c>
      <c r="CH384" s="23">
        <f>1/117.5</f>
        <v>8.5106382978723406E-3</v>
      </c>
      <c r="CI384" s="23" t="s">
        <v>22</v>
      </c>
      <c r="CJ384" s="23">
        <f>CF384*CH384</f>
        <v>8.5106382978723406E-3</v>
      </c>
    </row>
    <row r="385" spans="67:90" x14ac:dyDescent="0.25">
      <c r="CB385" s="137" t="s">
        <v>130</v>
      </c>
      <c r="CC385" s="150">
        <f>26177.96</f>
        <v>26177.96</v>
      </c>
      <c r="CD385" s="68" t="s">
        <v>10</v>
      </c>
      <c r="CE385" s="23">
        <f>1/100</f>
        <v>0.01</v>
      </c>
      <c r="CF385" s="23">
        <f t="shared" si="13"/>
        <v>261.77960000000002</v>
      </c>
      <c r="CG385" s="23" t="s">
        <v>16</v>
      </c>
      <c r="CH385" s="23">
        <v>7.7585999999999999E-5</v>
      </c>
      <c r="CI385" s="23" t="s">
        <v>22</v>
      </c>
      <c r="CJ385" s="23">
        <f>CF385*CH385</f>
        <v>2.0310432045599999E-2</v>
      </c>
      <c r="CK385" s="408" t="s">
        <v>163</v>
      </c>
      <c r="CL385" s="408"/>
    </row>
    <row r="386" spans="67:90" x14ac:dyDescent="0.25">
      <c r="CB386" s="137" t="s">
        <v>132</v>
      </c>
      <c r="CC386" s="151">
        <f>227*227</f>
        <v>51529</v>
      </c>
      <c r="CD386" s="131" t="s">
        <v>9</v>
      </c>
      <c r="CE386" s="39">
        <f>0.0001</f>
        <v>1E-4</v>
      </c>
      <c r="CF386" s="39">
        <f t="shared" si="13"/>
        <v>5.1528999999999998</v>
      </c>
      <c r="CG386" s="39" t="s">
        <v>17</v>
      </c>
      <c r="CH386" s="39">
        <v>0.1</v>
      </c>
      <c r="CI386" s="39" t="s">
        <v>23</v>
      </c>
      <c r="CJ386" s="39">
        <f>CF386*CH386</f>
        <v>0.51529000000000003</v>
      </c>
      <c r="CK386" s="4">
        <f>CJ380+CJ381+CJ382+CJ383+CJ384+CJ385+CJ386+CJ387+CJ388+CJ389</f>
        <v>21.351838932957872</v>
      </c>
      <c r="CL386" s="4" t="s">
        <v>18</v>
      </c>
    </row>
    <row r="387" spans="67:90" x14ac:dyDescent="0.25">
      <c r="CB387" s="149" t="s">
        <v>165</v>
      </c>
      <c r="CC387" s="152">
        <f>0.582*0.582*0.3</f>
        <v>0.10161719999999999</v>
      </c>
      <c r="CD387" s="127" t="s">
        <v>26</v>
      </c>
      <c r="CE387" s="71">
        <v>9.9999999999999995E-7</v>
      </c>
      <c r="CF387" s="71">
        <f t="shared" si="13"/>
        <v>1.0161719999999999E-7</v>
      </c>
      <c r="CG387" s="71" t="s">
        <v>15</v>
      </c>
      <c r="CH387" s="71">
        <v>12</v>
      </c>
      <c r="CI387" s="71" t="s">
        <v>13</v>
      </c>
      <c r="CJ387" s="71">
        <f>CF387*CH387</f>
        <v>1.2194063999999998E-6</v>
      </c>
    </row>
    <row r="388" spans="67:90" x14ac:dyDescent="0.25">
      <c r="CB388" s="137" t="s">
        <v>174</v>
      </c>
      <c r="CC388" s="155">
        <v>1</v>
      </c>
      <c r="CD388" s="156" t="s">
        <v>2</v>
      </c>
      <c r="CE388" s="67"/>
      <c r="CF388" s="67"/>
      <c r="CG388" s="139" t="s">
        <v>18</v>
      </c>
      <c r="CH388" s="67"/>
      <c r="CI388" s="139" t="s">
        <v>18</v>
      </c>
      <c r="CJ388" s="71">
        <f>19.44</f>
        <v>19.440000000000001</v>
      </c>
    </row>
    <row r="389" spans="67:90" x14ac:dyDescent="0.25">
      <c r="CB389" s="137" t="s">
        <v>175</v>
      </c>
      <c r="CC389" s="152">
        <f>7*4</f>
        <v>28</v>
      </c>
      <c r="CD389" s="138" t="s">
        <v>5</v>
      </c>
      <c r="CE389" s="71"/>
      <c r="CF389" s="71"/>
      <c r="CG389" s="71"/>
      <c r="CH389" s="71">
        <f>1/1000</f>
        <v>1E-3</v>
      </c>
      <c r="CI389" s="139" t="s">
        <v>18</v>
      </c>
      <c r="CJ389" s="139">
        <f>CC389*CH389</f>
        <v>2.8000000000000001E-2</v>
      </c>
    </row>
    <row r="393" spans="67:90" x14ac:dyDescent="0.25">
      <c r="BO393" s="18" t="s">
        <v>36</v>
      </c>
    </row>
    <row r="394" spans="67:90" x14ac:dyDescent="0.25">
      <c r="BO394" s="19">
        <v>1E-4</v>
      </c>
    </row>
    <row r="395" spans="67:90" x14ac:dyDescent="0.25">
      <c r="BO395" s="18">
        <f>BO396+BO396*BO394</f>
        <v>5.6482301010741729</v>
      </c>
    </row>
    <row r="396" spans="67:90" x14ac:dyDescent="0.25">
      <c r="BO396" s="130">
        <f>BZ411</f>
        <v>5.6476653345407186</v>
      </c>
      <c r="BV396" s="41" t="s">
        <v>58</v>
      </c>
      <c r="BW396" s="41"/>
    </row>
    <row r="397" spans="67:90" x14ac:dyDescent="0.25">
      <c r="BO397" s="13" t="s">
        <v>34</v>
      </c>
      <c r="BV397" s="25" t="s">
        <v>156</v>
      </c>
      <c r="BW397" s="4"/>
    </row>
    <row r="398" spans="67:90" x14ac:dyDescent="0.25">
      <c r="BO398" s="29" t="s">
        <v>142</v>
      </c>
      <c r="BV398" s="129">
        <f>BZ411</f>
        <v>5.6476653345407186</v>
      </c>
      <c r="BW398" s="4" t="s">
        <v>18</v>
      </c>
    </row>
    <row r="399" spans="67:90" x14ac:dyDescent="0.25">
      <c r="BO399" s="14" t="s">
        <v>35</v>
      </c>
      <c r="BR399" s="404" t="s">
        <v>51</v>
      </c>
      <c r="BS399" s="405"/>
      <c r="BV399" s="12">
        <f>6/1000</f>
        <v>6.0000000000000001E-3</v>
      </c>
      <c r="BW399" s="4" t="s">
        <v>158</v>
      </c>
    </row>
    <row r="400" spans="67:90" x14ac:dyDescent="0.25">
      <c r="BO400" s="130">
        <f>BO396</f>
        <v>5.6476653345407186</v>
      </c>
      <c r="BR400" s="406" t="s">
        <v>159</v>
      </c>
      <c r="BS400" s="407"/>
    </row>
    <row r="401" spans="67:90" x14ac:dyDescent="0.25">
      <c r="BO401" s="15" t="s">
        <v>36</v>
      </c>
      <c r="BR401" s="43">
        <f>IF(CK449-BO396&lt;0,0,CK449-BO396)</f>
        <v>0</v>
      </c>
      <c r="BS401" s="44" t="s">
        <v>18</v>
      </c>
    </row>
    <row r="402" spans="67:90" x14ac:dyDescent="0.25">
      <c r="BO402" s="17">
        <f>BO400-CK449</f>
        <v>2.6716653345407186</v>
      </c>
      <c r="BR402" s="43">
        <f>BR401</f>
        <v>0</v>
      </c>
      <c r="BS402" s="44" t="s">
        <v>18</v>
      </c>
    </row>
    <row r="403" spans="67:90" x14ac:dyDescent="0.25">
      <c r="BO403" s="14" t="s">
        <v>168</v>
      </c>
    </row>
    <row r="407" spans="67:90" x14ac:dyDescent="0.25">
      <c r="BV407" s="10"/>
      <c r="BW407" s="10"/>
      <c r="BX407" s="10"/>
      <c r="BY407" s="10"/>
      <c r="BZ407" s="10"/>
    </row>
    <row r="408" spans="67:90" x14ac:dyDescent="0.25">
      <c r="BV408" s="10"/>
      <c r="BW408" s="10"/>
      <c r="BX408" s="10"/>
      <c r="BY408" s="10"/>
      <c r="BZ408" s="10" t="s">
        <v>141</v>
      </c>
    </row>
    <row r="409" spans="67:90" x14ac:dyDescent="0.25">
      <c r="BV409" s="10"/>
      <c r="BW409" s="10"/>
      <c r="BX409" s="10"/>
      <c r="BY409" s="10"/>
      <c r="BZ409" s="49" t="s">
        <v>36</v>
      </c>
    </row>
    <row r="410" spans="67:90" x14ac:dyDescent="0.25">
      <c r="BV410" s="10"/>
      <c r="BW410" s="10"/>
      <c r="BX410" s="10"/>
      <c r="BY410" s="10"/>
      <c r="BZ410" s="45" t="s">
        <v>54</v>
      </c>
    </row>
    <row r="411" spans="67:90" x14ac:dyDescent="0.25">
      <c r="BV411" s="10"/>
      <c r="BW411" s="10"/>
      <c r="BX411" s="10"/>
      <c r="BY411" s="10"/>
      <c r="BZ411" s="121">
        <f>BZ412-BZ416</f>
        <v>5.6476653345407186</v>
      </c>
    </row>
    <row r="412" spans="67:90" x14ac:dyDescent="0.25">
      <c r="BV412" s="10"/>
      <c r="BW412" s="10"/>
      <c r="BX412" s="10"/>
      <c r="BY412" s="10"/>
      <c r="BZ412" s="113">
        <f>BW418</f>
        <v>118.60097202535512</v>
      </c>
    </row>
    <row r="413" spans="67:90" x14ac:dyDescent="0.25">
      <c r="BV413" s="437" t="s">
        <v>139</v>
      </c>
      <c r="BW413" s="438"/>
      <c r="BX413" s="10"/>
      <c r="BY413" s="10"/>
      <c r="BZ413" s="47" t="s">
        <v>34</v>
      </c>
    </row>
    <row r="414" spans="67:90" x14ac:dyDescent="0.25">
      <c r="BV414" s="439"/>
      <c r="BW414" s="440"/>
      <c r="BX414" s="10"/>
      <c r="BY414" s="10"/>
      <c r="BZ414" s="118" t="s">
        <v>138</v>
      </c>
      <c r="CH414" s="419" t="s">
        <v>51</v>
      </c>
      <c r="CI414" s="420"/>
      <c r="CK414" s="419" t="s">
        <v>51</v>
      </c>
      <c r="CL414" s="420"/>
    </row>
    <row r="415" spans="67:90" x14ac:dyDescent="0.25">
      <c r="BV415" s="115" t="s">
        <v>1</v>
      </c>
      <c r="BW415" s="115" t="s">
        <v>1</v>
      </c>
      <c r="BX415" s="9"/>
      <c r="BY415" s="10"/>
      <c r="BZ415" s="48" t="s">
        <v>35</v>
      </c>
      <c r="CH415" s="142" t="str">
        <f>CI422</f>
        <v>pegante poliuretano</v>
      </c>
      <c r="CI415" s="143">
        <f>CL414</f>
        <v>0</v>
      </c>
      <c r="CK415" s="142" t="str">
        <f>CL422</f>
        <v>cassta</v>
      </c>
      <c r="CL415" s="143">
        <f>CO414</f>
        <v>0</v>
      </c>
    </row>
    <row r="416" spans="67:90" x14ac:dyDescent="0.25">
      <c r="BV416" s="115">
        <f>BW416</f>
        <v>118.60097202535512</v>
      </c>
      <c r="BW416" s="67">
        <f>BW418</f>
        <v>118.60097202535512</v>
      </c>
      <c r="BX416" s="55"/>
      <c r="BY416" s="10"/>
      <c r="BZ416" s="10">
        <f>CI431</f>
        <v>112.9533066908144</v>
      </c>
      <c r="CH416" s="115">
        <f>CI425</f>
        <v>7.1919999999999998E-2</v>
      </c>
      <c r="CI416" s="141" t="str">
        <f>CI424</f>
        <v>en m^3</v>
      </c>
      <c r="CK416" s="115">
        <f>CL425</f>
        <v>7.0679999999999996</v>
      </c>
      <c r="CL416" s="141" t="str">
        <f>CL424</f>
        <v>en m^3</v>
      </c>
    </row>
    <row r="417" spans="74:93" x14ac:dyDescent="0.25">
      <c r="BV417" s="422" t="s">
        <v>186</v>
      </c>
      <c r="BW417" s="10"/>
      <c r="BX417" s="10"/>
      <c r="BY417" s="10"/>
      <c r="BZ417" s="50" t="s">
        <v>36</v>
      </c>
      <c r="CH417" s="115">
        <f>CJ425</f>
        <v>80.308748800000018</v>
      </c>
      <c r="CI417" s="141" t="str">
        <f>CJ424</f>
        <v>en kg</v>
      </c>
      <c r="CK417" s="115">
        <f>CM425</f>
        <v>565.43999999999994</v>
      </c>
      <c r="CL417" s="141" t="str">
        <f>CM424</f>
        <v>en kg</v>
      </c>
    </row>
    <row r="418" spans="74:93" x14ac:dyDescent="0.25">
      <c r="BV418" s="423"/>
      <c r="BW418" s="10">
        <f>BZ416+BZ416*0.05</f>
        <v>118.60097202535512</v>
      </c>
      <c r="BX418" s="10"/>
      <c r="BY418" s="10"/>
      <c r="BZ418" s="53" t="s">
        <v>63</v>
      </c>
    </row>
    <row r="419" spans="74:93" x14ac:dyDescent="0.25">
      <c r="BV419" s="10"/>
      <c r="BW419" s="48"/>
      <c r="BX419" s="10"/>
      <c r="BY419" s="10"/>
      <c r="BZ419" s="28"/>
    </row>
    <row r="420" spans="74:93" x14ac:dyDescent="0.25">
      <c r="BV420" s="10"/>
      <c r="BW420" s="10"/>
      <c r="BX420" s="10"/>
      <c r="BY420" s="10"/>
      <c r="BZ420" s="16"/>
    </row>
    <row r="421" spans="74:93" x14ac:dyDescent="0.25">
      <c r="BV421" s="10"/>
      <c r="BW421" s="10"/>
      <c r="BX421" s="10"/>
      <c r="BY421" s="10"/>
      <c r="BZ421" s="10"/>
    </row>
    <row r="422" spans="74:93" x14ac:dyDescent="0.25">
      <c r="BV422" s="10"/>
      <c r="BW422" s="10"/>
      <c r="BX422" s="10"/>
      <c r="BY422" s="48"/>
      <c r="BZ422" s="52">
        <f>BW418-CI431</f>
        <v>5.6476653345407186</v>
      </c>
      <c r="CI422" s="424" t="s">
        <v>183</v>
      </c>
      <c r="CJ422" s="425"/>
      <c r="CL422" s="424" t="s">
        <v>184</v>
      </c>
      <c r="CM422" s="425"/>
    </row>
    <row r="423" spans="74:93" x14ac:dyDescent="0.25">
      <c r="CI423" s="426"/>
      <c r="CJ423" s="427"/>
      <c r="CL423" s="426"/>
      <c r="CM423" s="427"/>
    </row>
    <row r="424" spans="74:93" x14ac:dyDescent="0.25">
      <c r="CI424" s="6" t="s">
        <v>50</v>
      </c>
      <c r="CJ424" s="6" t="s">
        <v>1</v>
      </c>
      <c r="CL424" s="6" t="s">
        <v>50</v>
      </c>
      <c r="CM424" s="6" t="s">
        <v>1</v>
      </c>
    </row>
    <row r="425" spans="74:93" x14ac:dyDescent="0.25">
      <c r="CI425" s="6">
        <f>CF465*CN434</f>
        <v>7.1919999999999998E-2</v>
      </c>
      <c r="CJ425" s="4">
        <f>CN434*CJ465</f>
        <v>80.308748800000018</v>
      </c>
      <c r="CL425" s="6">
        <f>CF464*CN434</f>
        <v>7.0679999999999996</v>
      </c>
      <c r="CM425" s="4">
        <f>CN434*CJ464</f>
        <v>565.43999999999994</v>
      </c>
    </row>
    <row r="428" spans="74:93" x14ac:dyDescent="0.25">
      <c r="CI428" s="410" t="s">
        <v>141</v>
      </c>
      <c r="CJ428" s="410"/>
    </row>
    <row r="429" spans="74:93" x14ac:dyDescent="0.25">
      <c r="CI429" s="410"/>
      <c r="CJ429" s="410"/>
    </row>
    <row r="430" spans="74:93" x14ac:dyDescent="0.25">
      <c r="CI430" s="6" t="s">
        <v>1</v>
      </c>
      <c r="CJ430" s="6" t="s">
        <v>1</v>
      </c>
    </row>
    <row r="431" spans="74:93" x14ac:dyDescent="0.25">
      <c r="CI431" s="6">
        <f>CJ431</f>
        <v>112.9533066908144</v>
      </c>
      <c r="CJ431" s="4">
        <f>CN434*(CJ456+CJ457+CJ459+CJ460+CJ461+CJ462)</f>
        <v>112.9533066908144</v>
      </c>
    </row>
    <row r="432" spans="74:93" x14ac:dyDescent="0.25">
      <c r="CL432">
        <f>CJ431+CJ437+CJ441+CK445+CK449+CJ425+CM425</f>
        <v>1399.3942252802369</v>
      </c>
      <c r="CN432" s="416" t="s">
        <v>52</v>
      </c>
      <c r="CO432" s="416"/>
    </row>
    <row r="433" spans="78:94" x14ac:dyDescent="0.25">
      <c r="CL433" s="13" t="s">
        <v>34</v>
      </c>
      <c r="CN433" s="436" t="s">
        <v>190</v>
      </c>
      <c r="CO433" s="417"/>
      <c r="CP433" s="127" t="s">
        <v>181</v>
      </c>
    </row>
    <row r="434" spans="78:94" x14ac:dyDescent="0.25">
      <c r="CL434" s="109" t="s">
        <v>160</v>
      </c>
      <c r="CN434" s="23">
        <f>'Flujos Planta Final'!CN425</f>
        <v>124</v>
      </c>
      <c r="CO434" s="4" t="s">
        <v>27</v>
      </c>
    </row>
    <row r="435" spans="78:94" x14ac:dyDescent="0.25">
      <c r="CI435" s="410" t="s">
        <v>134</v>
      </c>
      <c r="CJ435" s="410"/>
      <c r="CL435" s="14" t="s">
        <v>35</v>
      </c>
      <c r="CN435" s="4">
        <f>CN434*CK460</f>
        <v>1399.3942252802372</v>
      </c>
      <c r="CO435" s="4" t="s">
        <v>28</v>
      </c>
    </row>
    <row r="436" spans="78:94" x14ac:dyDescent="0.25">
      <c r="CI436" s="6" t="s">
        <v>50</v>
      </c>
      <c r="CJ436" s="6" t="s">
        <v>1</v>
      </c>
      <c r="CL436">
        <f>CN435</f>
        <v>1399.3942252802372</v>
      </c>
    </row>
    <row r="437" spans="78:94" x14ac:dyDescent="0.25">
      <c r="CI437" s="6">
        <f>CN434*CF454</f>
        <v>35.339999999999996</v>
      </c>
      <c r="CJ437" s="4">
        <f>CN434*(CJ454)</f>
        <v>636.12</v>
      </c>
      <c r="CL437" s="15" t="s">
        <v>36</v>
      </c>
    </row>
    <row r="438" spans="78:94" x14ac:dyDescent="0.25">
      <c r="CA438" s="419" t="s">
        <v>51</v>
      </c>
      <c r="CB438" s="420"/>
      <c r="CL438" s="1">
        <f>CL432-CL436</f>
        <v>0</v>
      </c>
    </row>
    <row r="439" spans="78:94" x14ac:dyDescent="0.25">
      <c r="BZ439" s="161" t="s">
        <v>185</v>
      </c>
      <c r="CA439" s="142" t="str">
        <f>CI435</f>
        <v xml:space="preserve">Lámina de espuma </v>
      </c>
      <c r="CB439" s="143"/>
      <c r="CI439" s="410" t="s">
        <v>98</v>
      </c>
      <c r="CJ439" s="410"/>
      <c r="CL439" s="28" t="s">
        <v>45</v>
      </c>
    </row>
    <row r="440" spans="78:94" x14ac:dyDescent="0.25">
      <c r="CA440" s="115">
        <f>CI437</f>
        <v>35.339999999999996</v>
      </c>
      <c r="CB440" s="141" t="str">
        <f>CI436</f>
        <v>en m^3</v>
      </c>
      <c r="CI440" s="6" t="s">
        <v>30</v>
      </c>
      <c r="CJ440" s="6" t="s">
        <v>1</v>
      </c>
    </row>
    <row r="441" spans="78:94" x14ac:dyDescent="0.25">
      <c r="CA441" s="115">
        <f>CJ437</f>
        <v>636.12</v>
      </c>
      <c r="CB441" s="141" t="str">
        <f>CJ436</f>
        <v>en kg</v>
      </c>
      <c r="CI441" s="6">
        <f>CN434*CF458</f>
        <v>124</v>
      </c>
      <c r="CJ441" s="4">
        <f>CN434*(CJ458)</f>
        <v>1.0553191489361702</v>
      </c>
    </row>
    <row r="443" spans="78:94" x14ac:dyDescent="0.25">
      <c r="CF443" s="419" t="s">
        <v>51</v>
      </c>
      <c r="CG443" s="420"/>
      <c r="CH443" s="144"/>
      <c r="CJ443" s="410" t="s">
        <v>137</v>
      </c>
      <c r="CK443" s="410"/>
    </row>
    <row r="444" spans="78:94" x14ac:dyDescent="0.25">
      <c r="CF444" s="142" t="s">
        <v>98</v>
      </c>
      <c r="CG444" s="143" t="str">
        <f>CJ443</f>
        <v>Hilo</v>
      </c>
      <c r="CH444" s="72"/>
      <c r="CJ444" s="6" t="s">
        <v>30</v>
      </c>
      <c r="CK444" s="6" t="s">
        <v>1</v>
      </c>
      <c r="CO444" t="s">
        <v>91</v>
      </c>
    </row>
    <row r="445" spans="78:94" x14ac:dyDescent="0.25">
      <c r="CF445" s="115">
        <f>CJ441</f>
        <v>1.0553191489361702</v>
      </c>
      <c r="CG445" s="141">
        <f>CK445</f>
        <v>0.54085064048639997</v>
      </c>
      <c r="CH445" s="4" t="s">
        <v>18</v>
      </c>
      <c r="CJ445" s="6">
        <f>CJ455*CN434</f>
        <v>0.54085064048639997</v>
      </c>
      <c r="CK445" s="4">
        <f>CN434*(CJ455)</f>
        <v>0.54085064048639997</v>
      </c>
    </row>
    <row r="446" spans="78:94" x14ac:dyDescent="0.25">
      <c r="CF446" s="115">
        <f>CI441</f>
        <v>124</v>
      </c>
      <c r="CG446" s="141">
        <f>CJ445</f>
        <v>0.54085064048639997</v>
      </c>
      <c r="CH446" s="4" t="s">
        <v>16</v>
      </c>
    </row>
    <row r="447" spans="78:94" x14ac:dyDescent="0.25">
      <c r="CJ447" s="410" t="s">
        <v>161</v>
      </c>
      <c r="CK447" s="410"/>
    </row>
    <row r="448" spans="78:94" x14ac:dyDescent="0.25">
      <c r="CJ448" s="6" t="s">
        <v>4</v>
      </c>
      <c r="CK448" s="6" t="s">
        <v>1</v>
      </c>
    </row>
    <row r="449" spans="80:90" x14ac:dyDescent="0.25">
      <c r="CJ449" s="6">
        <f>CN434*4</f>
        <v>496</v>
      </c>
      <c r="CK449" s="4">
        <f>CJ463*CN434</f>
        <v>2.976</v>
      </c>
    </row>
    <row r="452" spans="80:90" x14ac:dyDescent="0.25">
      <c r="CC452" s="432" t="s">
        <v>189</v>
      </c>
      <c r="CD452" s="433"/>
      <c r="CE452" s="4" t="s">
        <v>19</v>
      </c>
      <c r="CF452" s="6" t="s">
        <v>20</v>
      </c>
      <c r="CG452" s="6" t="s">
        <v>2</v>
      </c>
      <c r="CH452" s="6" t="s">
        <v>21</v>
      </c>
      <c r="CI452" s="6" t="s">
        <v>2</v>
      </c>
      <c r="CJ452" s="11" t="s">
        <v>24</v>
      </c>
    </row>
    <row r="453" spans="80:90" x14ac:dyDescent="0.25">
      <c r="CB453" s="6"/>
      <c r="CC453" s="68"/>
      <c r="CD453" s="68"/>
      <c r="CE453" s="23"/>
      <c r="CF453" s="23"/>
      <c r="CG453" s="23"/>
      <c r="CH453" s="23"/>
      <c r="CI453" s="23"/>
      <c r="CJ453" s="39"/>
    </row>
    <row r="454" spans="80:90" x14ac:dyDescent="0.25">
      <c r="CB454" s="27" t="s">
        <v>128</v>
      </c>
      <c r="CC454" s="68">
        <f>100*190*15</f>
        <v>285000</v>
      </c>
      <c r="CD454" s="68" t="s">
        <v>26</v>
      </c>
      <c r="CE454" s="23">
        <v>9.9999999999999995E-7</v>
      </c>
      <c r="CF454" s="23">
        <f t="shared" ref="CF454:CF461" si="15">CC454*CE454</f>
        <v>0.28499999999999998</v>
      </c>
      <c r="CG454" s="23" t="s">
        <v>15</v>
      </c>
      <c r="CH454" s="23">
        <v>18</v>
      </c>
      <c r="CI454" s="23" t="s">
        <v>13</v>
      </c>
      <c r="CJ454" s="23">
        <f>CF454*CH454</f>
        <v>5.13</v>
      </c>
    </row>
    <row r="455" spans="80:90" x14ac:dyDescent="0.25">
      <c r="CB455" s="27" t="s">
        <v>130</v>
      </c>
      <c r="CC455" s="68">
        <f>5621.76</f>
        <v>5621.76</v>
      </c>
      <c r="CD455" s="68" t="s">
        <v>10</v>
      </c>
      <c r="CE455" s="23">
        <f>1/100</f>
        <v>0.01</v>
      </c>
      <c r="CF455" s="23">
        <f t="shared" si="15"/>
        <v>56.217600000000004</v>
      </c>
      <c r="CG455" s="23" t="s">
        <v>16</v>
      </c>
      <c r="CH455" s="23">
        <v>7.7585999999999999E-5</v>
      </c>
      <c r="CI455" s="23" t="s">
        <v>22</v>
      </c>
      <c r="CJ455" s="23">
        <f t="shared" ref="CJ455:CJ457" si="16">CF455*CH455</f>
        <v>4.3616987136000001E-3</v>
      </c>
    </row>
    <row r="456" spans="80:90" x14ac:dyDescent="0.25">
      <c r="CB456" s="27" t="s">
        <v>164</v>
      </c>
      <c r="CC456" s="68">
        <f>210*210*0.3</f>
        <v>13230</v>
      </c>
      <c r="CD456" s="68" t="s">
        <v>26</v>
      </c>
      <c r="CE456" s="23">
        <v>9.9999999999999995E-7</v>
      </c>
      <c r="CF456" s="23">
        <f t="shared" si="15"/>
        <v>1.3229999999999999E-2</v>
      </c>
      <c r="CG456" s="23" t="s">
        <v>15</v>
      </c>
      <c r="CH456" s="23">
        <v>12</v>
      </c>
      <c r="CI456" s="23" t="s">
        <v>13</v>
      </c>
      <c r="CJ456" s="23">
        <f t="shared" si="16"/>
        <v>0.15875999999999998</v>
      </c>
    </row>
    <row r="457" spans="80:90" x14ac:dyDescent="0.25">
      <c r="CB457" s="27" t="s">
        <v>127</v>
      </c>
      <c r="CC457" s="68">
        <f>56000</f>
        <v>56000</v>
      </c>
      <c r="CD457" s="68" t="s">
        <v>9</v>
      </c>
      <c r="CE457" s="23">
        <f>0.0001</f>
        <v>1E-4</v>
      </c>
      <c r="CF457" s="23">
        <f t="shared" si="15"/>
        <v>5.6000000000000005</v>
      </c>
      <c r="CG457" s="23" t="s">
        <v>17</v>
      </c>
      <c r="CH457" s="23">
        <f>20/1000</f>
        <v>0.02</v>
      </c>
      <c r="CI457" s="23" t="s">
        <v>23</v>
      </c>
      <c r="CJ457" s="23">
        <f t="shared" si="16"/>
        <v>0.11200000000000002</v>
      </c>
    </row>
    <row r="458" spans="80:90" x14ac:dyDescent="0.25">
      <c r="CB458" s="27" t="s">
        <v>93</v>
      </c>
      <c r="CC458" s="68">
        <v>100</v>
      </c>
      <c r="CD458" s="68" t="s">
        <v>10</v>
      </c>
      <c r="CE458" s="23">
        <f>1/100</f>
        <v>0.01</v>
      </c>
      <c r="CF458" s="23">
        <f t="shared" si="15"/>
        <v>1</v>
      </c>
      <c r="CG458" s="23" t="s">
        <v>16</v>
      </c>
      <c r="CH458" s="23">
        <f>1/117.5</f>
        <v>8.5106382978723406E-3</v>
      </c>
      <c r="CI458" s="23" t="s">
        <v>22</v>
      </c>
      <c r="CJ458" s="23">
        <f>CF458*CH458</f>
        <v>8.5106382978723406E-3</v>
      </c>
    </row>
    <row r="459" spans="80:90" x14ac:dyDescent="0.25">
      <c r="CB459" s="132" t="s">
        <v>130</v>
      </c>
      <c r="CC459" s="68">
        <f>2400.96</f>
        <v>2400.96</v>
      </c>
      <c r="CD459" s="68" t="s">
        <v>10</v>
      </c>
      <c r="CE459" s="23">
        <f>1/100</f>
        <v>0.01</v>
      </c>
      <c r="CF459" s="23">
        <f t="shared" si="15"/>
        <v>24.009600000000002</v>
      </c>
      <c r="CG459" s="23" t="s">
        <v>16</v>
      </c>
      <c r="CH459" s="23">
        <v>7.7585999999999999E-5</v>
      </c>
      <c r="CI459" s="23" t="s">
        <v>22</v>
      </c>
      <c r="CJ459" s="23">
        <f>CF459*CH459</f>
        <v>1.8628088256000001E-3</v>
      </c>
      <c r="CK459" s="434" t="s">
        <v>163</v>
      </c>
      <c r="CL459" s="435"/>
    </row>
    <row r="460" spans="80:90" x14ac:dyDescent="0.25">
      <c r="CB460" s="132" t="s">
        <v>132</v>
      </c>
      <c r="CC460" s="131">
        <f>227*227</f>
        <v>51529</v>
      </c>
      <c r="CD460" s="131" t="s">
        <v>9</v>
      </c>
      <c r="CE460" s="39">
        <f>0.0001</f>
        <v>1E-4</v>
      </c>
      <c r="CF460" s="39">
        <f t="shared" si="15"/>
        <v>5.1528999999999998</v>
      </c>
      <c r="CG460" s="39" t="s">
        <v>17</v>
      </c>
      <c r="CH460" s="39">
        <v>0.1</v>
      </c>
      <c r="CI460" s="39" t="s">
        <v>23</v>
      </c>
      <c r="CJ460" s="39">
        <f>CF460*CH460</f>
        <v>0.51529000000000003</v>
      </c>
      <c r="CK460" s="4">
        <f>CJ454+CJ455+CJ456+CJ457+CJ458+CJ459+CJ460+CJ461+CJ462+CJ463+CJ465+CJ464</f>
        <v>11.285437300647073</v>
      </c>
      <c r="CL460" s="4" t="s">
        <v>18</v>
      </c>
    </row>
    <row r="461" spans="80:90" x14ac:dyDescent="0.25">
      <c r="CB461" s="108" t="s">
        <v>165</v>
      </c>
      <c r="CC461" s="71">
        <f>0.515*0.515*0.3</f>
        <v>7.9567499999999999E-2</v>
      </c>
      <c r="CD461" s="127" t="s">
        <v>26</v>
      </c>
      <c r="CE461" s="71">
        <v>9.9999999999999995E-7</v>
      </c>
      <c r="CF461" s="71">
        <f t="shared" si="15"/>
        <v>7.9567500000000001E-8</v>
      </c>
      <c r="CG461" s="71" t="s">
        <v>15</v>
      </c>
      <c r="CH461" s="71">
        <v>12</v>
      </c>
      <c r="CI461" s="71" t="s">
        <v>13</v>
      </c>
      <c r="CJ461" s="71">
        <f>CF461*CH461</f>
        <v>9.5481000000000001E-7</v>
      </c>
    </row>
    <row r="462" spans="80:90" x14ac:dyDescent="0.25">
      <c r="CB462" s="134" t="s">
        <v>166</v>
      </c>
      <c r="CC462" s="135"/>
      <c r="CD462" s="135"/>
      <c r="CE462" s="135"/>
      <c r="CF462" s="136">
        <v>1.23</v>
      </c>
      <c r="CG462" s="136" t="s">
        <v>17</v>
      </c>
      <c r="CH462" s="136">
        <v>0.1</v>
      </c>
      <c r="CI462" s="136" t="s">
        <v>22</v>
      </c>
      <c r="CJ462" s="136">
        <f>CF462*CH462</f>
        <v>0.123</v>
      </c>
    </row>
    <row r="463" spans="80:90" x14ac:dyDescent="0.25">
      <c r="CB463" s="137" t="s">
        <v>167</v>
      </c>
      <c r="CC463" s="71">
        <f>6*4</f>
        <v>24</v>
      </c>
      <c r="CD463" s="138" t="s">
        <v>5</v>
      </c>
      <c r="CE463" s="71"/>
      <c r="CF463" s="71"/>
      <c r="CG463" s="71"/>
      <c r="CH463" s="71">
        <f>1/1000</f>
        <v>1E-3</v>
      </c>
      <c r="CI463" s="139" t="s">
        <v>18</v>
      </c>
      <c r="CJ463" s="139">
        <f>CC463*CH463</f>
        <v>2.4E-2</v>
      </c>
    </row>
    <row r="464" spans="80:90" x14ac:dyDescent="0.25">
      <c r="CB464" s="137" t="s">
        <v>182</v>
      </c>
      <c r="CC464" s="14">
        <f>190*100*3</f>
        <v>57000</v>
      </c>
      <c r="CD464" s="68" t="s">
        <v>26</v>
      </c>
      <c r="CE464" s="23">
        <v>9.9999999999999995E-7</v>
      </c>
      <c r="CF464" s="23">
        <f>CC464*CE464</f>
        <v>5.6999999999999995E-2</v>
      </c>
      <c r="CG464" s="23" t="s">
        <v>15</v>
      </c>
      <c r="CH464" s="23">
        <v>80</v>
      </c>
      <c r="CI464" s="133" t="s">
        <v>13</v>
      </c>
      <c r="CJ464" s="133">
        <f>CH464*CF464</f>
        <v>4.5599999999999996</v>
      </c>
    </row>
    <row r="465" spans="67:88" x14ac:dyDescent="0.25">
      <c r="CB465" s="160" t="s">
        <v>12</v>
      </c>
      <c r="CC465" s="68">
        <v>580</v>
      </c>
      <c r="CD465" s="68" t="s">
        <v>14</v>
      </c>
      <c r="CE465" s="23">
        <f>1/1000000</f>
        <v>9.9999999999999995E-7</v>
      </c>
      <c r="CF465" s="23">
        <f t="shared" ref="CF465" si="17">CC465*CE465</f>
        <v>5.8E-4</v>
      </c>
      <c r="CG465" s="23" t="s">
        <v>15</v>
      </c>
      <c r="CH465" s="23">
        <v>1116.6400000000001</v>
      </c>
      <c r="CI465" s="23" t="s">
        <v>13</v>
      </c>
      <c r="CJ465" s="23">
        <f t="shared" ref="CJ465" si="18">CH465*CF465</f>
        <v>0.64765120000000009</v>
      </c>
    </row>
    <row r="470" spans="67:88" x14ac:dyDescent="0.25">
      <c r="BO470" s="18" t="s">
        <v>36</v>
      </c>
    </row>
    <row r="471" spans="67:88" x14ac:dyDescent="0.25">
      <c r="BO471" s="19">
        <v>1E-4</v>
      </c>
    </row>
    <row r="472" spans="67:88" x14ac:dyDescent="0.25">
      <c r="BO472" s="18">
        <f>BO473+BO473*BO471</f>
        <v>5.1471774308176022</v>
      </c>
    </row>
    <row r="473" spans="67:88" x14ac:dyDescent="0.25">
      <c r="BO473" s="130">
        <f>BZ488</f>
        <v>5.1466627645411478</v>
      </c>
      <c r="BV473" s="41" t="s">
        <v>58</v>
      </c>
      <c r="BW473" s="41"/>
    </row>
    <row r="474" spans="67:88" x14ac:dyDescent="0.25">
      <c r="BO474" s="13" t="s">
        <v>34</v>
      </c>
      <c r="BV474" s="25" t="s">
        <v>156</v>
      </c>
      <c r="BW474" s="4"/>
    </row>
    <row r="475" spans="67:88" x14ac:dyDescent="0.25">
      <c r="BO475" s="29" t="s">
        <v>142</v>
      </c>
      <c r="BV475" s="129">
        <f>BZ488</f>
        <v>5.1466627645411478</v>
      </c>
      <c r="BW475" s="4" t="s">
        <v>18</v>
      </c>
    </row>
    <row r="476" spans="67:88" x14ac:dyDescent="0.25">
      <c r="BO476" s="14" t="s">
        <v>35</v>
      </c>
      <c r="BR476" s="404" t="s">
        <v>51</v>
      </c>
      <c r="BS476" s="405"/>
      <c r="BV476" s="12">
        <f>6/1000</f>
        <v>6.0000000000000001E-3</v>
      </c>
      <c r="BW476" s="4" t="s">
        <v>158</v>
      </c>
    </row>
    <row r="477" spans="67:88" x14ac:dyDescent="0.25">
      <c r="BO477" s="130">
        <f>BO473</f>
        <v>5.1466627645411478</v>
      </c>
      <c r="BR477" s="406" t="s">
        <v>159</v>
      </c>
      <c r="BS477" s="407"/>
    </row>
    <row r="478" spans="67:88" x14ac:dyDescent="0.25">
      <c r="BO478" s="15" t="s">
        <v>36</v>
      </c>
      <c r="BR478" s="43">
        <f>IF(CK526-BO473&lt;0,0,CK526-BO473)</f>
        <v>0</v>
      </c>
      <c r="BS478" s="44" t="s">
        <v>18</v>
      </c>
    </row>
    <row r="479" spans="67:88" x14ac:dyDescent="0.25">
      <c r="BO479" s="17">
        <f>BO477-CK526</f>
        <v>2.4346627645411476</v>
      </c>
      <c r="BR479" s="43">
        <f>BR478</f>
        <v>0</v>
      </c>
      <c r="BS479" s="44" t="s">
        <v>18</v>
      </c>
    </row>
    <row r="480" spans="67:88" x14ac:dyDescent="0.25">
      <c r="BO480" s="14" t="s">
        <v>168</v>
      </c>
    </row>
    <row r="484" spans="74:90" x14ac:dyDescent="0.25">
      <c r="BV484" s="10"/>
      <c r="BW484" s="10"/>
      <c r="BX484" s="10"/>
      <c r="BY484" s="10"/>
      <c r="BZ484" s="10"/>
    </row>
    <row r="485" spans="74:90" x14ac:dyDescent="0.25">
      <c r="BV485" s="10"/>
      <c r="BW485" s="10"/>
      <c r="BX485" s="10"/>
      <c r="BY485" s="10"/>
      <c r="BZ485" s="10" t="s">
        <v>141</v>
      </c>
    </row>
    <row r="486" spans="74:90" x14ac:dyDescent="0.25">
      <c r="BV486" s="10"/>
      <c r="BW486" s="10"/>
      <c r="BX486" s="10"/>
      <c r="BY486" s="10"/>
      <c r="BZ486" s="49" t="s">
        <v>36</v>
      </c>
    </row>
    <row r="487" spans="74:90" x14ac:dyDescent="0.25">
      <c r="BV487" s="10"/>
      <c r="BW487" s="10"/>
      <c r="BX487" s="10"/>
      <c r="BY487" s="10"/>
      <c r="BZ487" s="45" t="s">
        <v>54</v>
      </c>
    </row>
    <row r="488" spans="74:90" x14ac:dyDescent="0.25">
      <c r="BV488" s="10"/>
      <c r="BW488" s="10"/>
      <c r="BX488" s="10"/>
      <c r="BY488" s="10"/>
      <c r="BZ488" s="121">
        <f>BZ489-BZ493</f>
        <v>5.1466627645411478</v>
      </c>
    </row>
    <row r="489" spans="74:90" x14ac:dyDescent="0.25">
      <c r="BV489" s="10"/>
      <c r="BW489" s="10"/>
      <c r="BX489" s="10"/>
      <c r="BY489" s="10"/>
      <c r="BZ489" s="113">
        <f>BW495</f>
        <v>108.07991805536395</v>
      </c>
    </row>
    <row r="490" spans="74:90" x14ac:dyDescent="0.25">
      <c r="BV490" s="437" t="s">
        <v>139</v>
      </c>
      <c r="BW490" s="438"/>
      <c r="BX490" s="10"/>
      <c r="BY490" s="10"/>
      <c r="BZ490" s="47" t="s">
        <v>34</v>
      </c>
    </row>
    <row r="491" spans="74:90" x14ac:dyDescent="0.25">
      <c r="BV491" s="439"/>
      <c r="BW491" s="440"/>
      <c r="BX491" s="10"/>
      <c r="BY491" s="10"/>
      <c r="BZ491" s="118" t="s">
        <v>138</v>
      </c>
      <c r="CH491" s="419" t="s">
        <v>51</v>
      </c>
      <c r="CI491" s="420"/>
      <c r="CK491" s="419" t="s">
        <v>51</v>
      </c>
      <c r="CL491" s="420"/>
    </row>
    <row r="492" spans="74:90" x14ac:dyDescent="0.25">
      <c r="BV492" s="115" t="s">
        <v>1</v>
      </c>
      <c r="BW492" s="115" t="s">
        <v>1</v>
      </c>
      <c r="BX492" s="9"/>
      <c r="BY492" s="10"/>
      <c r="BZ492" s="48" t="s">
        <v>35</v>
      </c>
      <c r="CH492" s="142" t="str">
        <f>CI499</f>
        <v>pegante poliuretano</v>
      </c>
      <c r="CI492" s="143">
        <f>CL491</f>
        <v>0</v>
      </c>
      <c r="CK492" s="142" t="str">
        <f>CL499</f>
        <v>cassata</v>
      </c>
      <c r="CL492" s="143"/>
    </row>
    <row r="493" spans="74:90" x14ac:dyDescent="0.25">
      <c r="BV493" s="115">
        <f>BW493</f>
        <v>108.07991805536395</v>
      </c>
      <c r="BW493" s="67">
        <f>BW495</f>
        <v>108.07991805536395</v>
      </c>
      <c r="BX493" s="55"/>
      <c r="BY493" s="10"/>
      <c r="BZ493" s="10">
        <f>CI508</f>
        <v>102.9332552908228</v>
      </c>
      <c r="CH493" s="115">
        <f>CI502</f>
        <v>6.5540000000000001E-2</v>
      </c>
      <c r="CI493" s="141" t="str">
        <f>CI501</f>
        <v>en m^3</v>
      </c>
      <c r="CK493" s="115">
        <f>CL502</f>
        <v>12.882</v>
      </c>
      <c r="CL493" s="141" t="str">
        <f>CL501</f>
        <v>en m^3</v>
      </c>
    </row>
    <row r="494" spans="74:90" x14ac:dyDescent="0.25">
      <c r="BV494" s="422" t="s">
        <v>212</v>
      </c>
      <c r="BW494" s="10"/>
      <c r="BX494" s="10"/>
      <c r="BY494" s="10"/>
      <c r="BZ494" s="50" t="s">
        <v>36</v>
      </c>
      <c r="CH494" s="115">
        <f>CJ502</f>
        <v>73.184585600000005</v>
      </c>
      <c r="CI494" s="141" t="str">
        <f>CJ501</f>
        <v>en kg</v>
      </c>
      <c r="CK494" s="115">
        <f>CM502</f>
        <v>2061.12</v>
      </c>
      <c r="CL494" s="141" t="str">
        <f>CM501</f>
        <v>en kg</v>
      </c>
    </row>
    <row r="495" spans="74:90" x14ac:dyDescent="0.25">
      <c r="BV495" s="423"/>
      <c r="BW495" s="10">
        <f>BZ493+BZ493*0.05</f>
        <v>108.07991805536395</v>
      </c>
      <c r="BX495" s="10"/>
      <c r="BY495" s="10"/>
      <c r="BZ495" s="53" t="s">
        <v>63</v>
      </c>
    </row>
    <row r="496" spans="74:90" x14ac:dyDescent="0.25">
      <c r="BV496" s="10"/>
      <c r="BW496" s="48"/>
      <c r="BX496" s="10"/>
      <c r="BY496" s="10"/>
      <c r="BZ496" s="28"/>
    </row>
    <row r="497" spans="74:94" x14ac:dyDescent="0.25">
      <c r="BV497" s="10"/>
      <c r="BW497" s="10"/>
      <c r="BX497" s="10"/>
      <c r="BY497" s="10"/>
      <c r="BZ497" s="16"/>
    </row>
    <row r="498" spans="74:94" x14ac:dyDescent="0.25">
      <c r="BV498" s="10"/>
      <c r="BW498" s="10"/>
      <c r="BX498" s="10"/>
      <c r="BY498" s="10"/>
      <c r="BZ498" s="10"/>
    </row>
    <row r="499" spans="74:94" x14ac:dyDescent="0.25">
      <c r="BV499" s="10"/>
      <c r="BW499" s="10"/>
      <c r="BX499" s="10"/>
      <c r="BY499" s="48"/>
      <c r="BZ499" s="52">
        <f>BW495-CI508</f>
        <v>5.1466627645411478</v>
      </c>
      <c r="CI499" s="424" t="s">
        <v>183</v>
      </c>
      <c r="CJ499" s="425"/>
      <c r="CL499" s="424" t="s">
        <v>182</v>
      </c>
      <c r="CM499" s="425"/>
    </row>
    <row r="500" spans="74:94" x14ac:dyDescent="0.25">
      <c r="CI500" s="426"/>
      <c r="CJ500" s="427"/>
      <c r="CL500" s="426"/>
      <c r="CM500" s="427"/>
    </row>
    <row r="501" spans="74:94" x14ac:dyDescent="0.25">
      <c r="CI501" s="6" t="s">
        <v>50</v>
      </c>
      <c r="CJ501" s="6" t="s">
        <v>1</v>
      </c>
      <c r="CL501" s="6" t="s">
        <v>50</v>
      </c>
      <c r="CM501" s="6" t="s">
        <v>1</v>
      </c>
    </row>
    <row r="502" spans="74:94" x14ac:dyDescent="0.25">
      <c r="CI502" s="6">
        <f>CF542*CN511</f>
        <v>6.5540000000000001E-2</v>
      </c>
      <c r="CJ502" s="4">
        <f>CN511*CJ542</f>
        <v>73.184585600000005</v>
      </c>
      <c r="CL502" s="6">
        <f>CF541*CN511</f>
        <v>12.882</v>
      </c>
      <c r="CM502" s="4">
        <f>CN511*CJ541</f>
        <v>2061.12</v>
      </c>
    </row>
    <row r="505" spans="74:94" x14ac:dyDescent="0.25">
      <c r="CI505" s="410" t="s">
        <v>141</v>
      </c>
      <c r="CJ505" s="410"/>
    </row>
    <row r="506" spans="74:94" x14ac:dyDescent="0.25">
      <c r="CI506" s="410"/>
      <c r="CJ506" s="410"/>
    </row>
    <row r="507" spans="74:94" x14ac:dyDescent="0.25">
      <c r="CI507" s="6" t="s">
        <v>1</v>
      </c>
      <c r="CJ507" s="6" t="s">
        <v>1</v>
      </c>
    </row>
    <row r="508" spans="74:94" x14ac:dyDescent="0.25">
      <c r="CI508" s="6">
        <f>CJ508</f>
        <v>102.9332552908228</v>
      </c>
      <c r="CJ508" s="4">
        <f>CN511*(CJ533+CJ534+CJ536+CJ537+CJ538+CJ539)</f>
        <v>102.9332552908228</v>
      </c>
    </row>
    <row r="509" spans="74:94" x14ac:dyDescent="0.25">
      <c r="CL509">
        <f>CJ508+CJ514+CJ518+CK522+CK526+CJ502+CM502</f>
        <v>2821.094414973119</v>
      </c>
      <c r="CN509" s="416" t="s">
        <v>52</v>
      </c>
      <c r="CO509" s="416"/>
    </row>
    <row r="510" spans="74:94" x14ac:dyDescent="0.25">
      <c r="CL510" s="13" t="s">
        <v>34</v>
      </c>
      <c r="CN510" s="436" t="s">
        <v>196</v>
      </c>
      <c r="CO510" s="417"/>
      <c r="CP510" s="127" t="s">
        <v>194</v>
      </c>
    </row>
    <row r="511" spans="74:94" x14ac:dyDescent="0.25">
      <c r="CL511" s="109" t="s">
        <v>160</v>
      </c>
      <c r="CN511" s="23">
        <f>'Flujos Planta Final'!CN501</f>
        <v>113</v>
      </c>
      <c r="CO511" s="4" t="s">
        <v>27</v>
      </c>
    </row>
    <row r="512" spans="74:94" x14ac:dyDescent="0.25">
      <c r="CI512" s="410" t="s">
        <v>134</v>
      </c>
      <c r="CJ512" s="410"/>
      <c r="CL512" s="14" t="s">
        <v>35</v>
      </c>
      <c r="CN512" s="4">
        <f>CN511*CK537</f>
        <v>2821.094414973119</v>
      </c>
      <c r="CO512" s="4" t="s">
        <v>28</v>
      </c>
    </row>
    <row r="513" spans="78:93" x14ac:dyDescent="0.25">
      <c r="CI513" s="6" t="s">
        <v>50</v>
      </c>
      <c r="CJ513" s="6" t="s">
        <v>1</v>
      </c>
      <c r="CL513">
        <f>CN512</f>
        <v>2821.094414973119</v>
      </c>
    </row>
    <row r="514" spans="78:93" x14ac:dyDescent="0.25">
      <c r="CI514" s="6">
        <f>CN511*CF531</f>
        <v>32.204999999999998</v>
      </c>
      <c r="CJ514" s="4">
        <f>CN511*(CJ531)</f>
        <v>579.68999999999994</v>
      </c>
      <c r="CL514" s="15" t="s">
        <v>36</v>
      </c>
    </row>
    <row r="515" spans="78:93" x14ac:dyDescent="0.25">
      <c r="CA515" s="419" t="s">
        <v>51</v>
      </c>
      <c r="CB515" s="420"/>
      <c r="CL515" s="1">
        <f>CL509-CL513</f>
        <v>0</v>
      </c>
    </row>
    <row r="516" spans="78:93" x14ac:dyDescent="0.25">
      <c r="BZ516" s="161" t="s">
        <v>185</v>
      </c>
      <c r="CA516" s="142" t="str">
        <f>CI512</f>
        <v xml:space="preserve">Lámina de espuma </v>
      </c>
      <c r="CB516" s="143"/>
      <c r="CI516" s="410" t="s">
        <v>98</v>
      </c>
      <c r="CJ516" s="410"/>
      <c r="CL516" s="28" t="s">
        <v>45</v>
      </c>
    </row>
    <row r="517" spans="78:93" x14ac:dyDescent="0.25">
      <c r="CA517" s="115">
        <f>CI514</f>
        <v>32.204999999999998</v>
      </c>
      <c r="CB517" s="141" t="str">
        <f>CI513</f>
        <v>en m^3</v>
      </c>
      <c r="CI517" s="6" t="s">
        <v>30</v>
      </c>
      <c r="CJ517" s="6" t="s">
        <v>1</v>
      </c>
    </row>
    <row r="518" spans="78:93" x14ac:dyDescent="0.25">
      <c r="CA518" s="115">
        <f>CJ514</f>
        <v>579.68999999999994</v>
      </c>
      <c r="CB518" s="141" t="str">
        <f>CJ513</f>
        <v>en kg</v>
      </c>
      <c r="CI518" s="6">
        <f>CN511*CF535</f>
        <v>113</v>
      </c>
      <c r="CJ518" s="4">
        <f>CN511*(CJ535)</f>
        <v>0.96170212765957452</v>
      </c>
    </row>
    <row r="520" spans="78:93" x14ac:dyDescent="0.25">
      <c r="CF520" s="419" t="s">
        <v>51</v>
      </c>
      <c r="CG520" s="420"/>
      <c r="CH520" s="144"/>
      <c r="CJ520" s="410" t="s">
        <v>137</v>
      </c>
      <c r="CK520" s="410"/>
    </row>
    <row r="521" spans="78:93" x14ac:dyDescent="0.25">
      <c r="CF521" s="142" t="s">
        <v>98</v>
      </c>
      <c r="CG521" s="143" t="str">
        <f>CJ520</f>
        <v>Hilo</v>
      </c>
      <c r="CH521" s="72"/>
      <c r="CJ521" s="6" t="s">
        <v>30</v>
      </c>
      <c r="CK521" s="6" t="s">
        <v>1</v>
      </c>
      <c r="CO521" t="s">
        <v>91</v>
      </c>
    </row>
    <row r="522" spans="78:93" x14ac:dyDescent="0.25">
      <c r="CF522" s="115">
        <f>CJ518</f>
        <v>0.96170212765957452</v>
      </c>
      <c r="CG522" s="141">
        <f>CK522</f>
        <v>0.4928719546368</v>
      </c>
      <c r="CH522" s="4" t="s">
        <v>18</v>
      </c>
      <c r="CJ522" s="6">
        <f>CJ532*CN511</f>
        <v>0.4928719546368</v>
      </c>
      <c r="CK522" s="4">
        <f>CN511*(CJ532)</f>
        <v>0.4928719546368</v>
      </c>
    </row>
    <row r="523" spans="78:93" x14ac:dyDescent="0.25">
      <c r="CF523" s="115">
        <f>CI518</f>
        <v>113</v>
      </c>
      <c r="CG523" s="141">
        <f>CJ522</f>
        <v>0.4928719546368</v>
      </c>
      <c r="CH523" s="4" t="s">
        <v>16</v>
      </c>
    </row>
    <row r="524" spans="78:93" x14ac:dyDescent="0.25">
      <c r="CJ524" s="410" t="s">
        <v>161</v>
      </c>
      <c r="CK524" s="410"/>
    </row>
    <row r="525" spans="78:93" x14ac:dyDescent="0.25">
      <c r="CJ525" s="6" t="s">
        <v>4</v>
      </c>
      <c r="CK525" s="6" t="s">
        <v>1</v>
      </c>
    </row>
    <row r="526" spans="78:93" x14ac:dyDescent="0.25">
      <c r="CJ526" s="6">
        <f>CN511*4</f>
        <v>452</v>
      </c>
      <c r="CK526" s="4">
        <f>CJ540*CN511</f>
        <v>2.7120000000000002</v>
      </c>
    </row>
    <row r="529" spans="80:90" x14ac:dyDescent="0.25">
      <c r="CC529" s="432" t="s">
        <v>195</v>
      </c>
      <c r="CD529" s="433"/>
      <c r="CE529" s="4" t="s">
        <v>19</v>
      </c>
      <c r="CF529" s="6" t="s">
        <v>20</v>
      </c>
      <c r="CG529" s="6" t="s">
        <v>2</v>
      </c>
      <c r="CH529" s="6" t="s">
        <v>21</v>
      </c>
      <c r="CI529" s="6" t="s">
        <v>2</v>
      </c>
      <c r="CJ529" s="11" t="s">
        <v>24</v>
      </c>
    </row>
    <row r="530" spans="80:90" x14ac:dyDescent="0.25">
      <c r="CB530" s="6"/>
      <c r="CC530" s="68"/>
      <c r="CD530" s="68"/>
      <c r="CE530" s="23"/>
      <c r="CF530" s="23"/>
      <c r="CG530" s="23"/>
      <c r="CH530" s="23"/>
      <c r="CI530" s="23"/>
      <c r="CJ530" s="39"/>
    </row>
    <row r="531" spans="80:90" x14ac:dyDescent="0.25">
      <c r="CB531" s="27" t="s">
        <v>128</v>
      </c>
      <c r="CC531" s="68">
        <f>100*190*15</f>
        <v>285000</v>
      </c>
      <c r="CD531" s="68" t="s">
        <v>26</v>
      </c>
      <c r="CE531" s="23">
        <v>9.9999999999999995E-7</v>
      </c>
      <c r="CF531" s="23">
        <f t="shared" ref="CF531:CF538" si="19">CC531*CE531</f>
        <v>0.28499999999999998</v>
      </c>
      <c r="CG531" s="23" t="s">
        <v>15</v>
      </c>
      <c r="CH531" s="23">
        <v>18</v>
      </c>
      <c r="CI531" s="23" t="s">
        <v>13</v>
      </c>
      <c r="CJ531" s="23">
        <f>CF531*CH531</f>
        <v>5.13</v>
      </c>
    </row>
    <row r="532" spans="80:90" x14ac:dyDescent="0.25">
      <c r="CB532" s="27" t="s">
        <v>130</v>
      </c>
      <c r="CC532" s="68">
        <f>5621.76</f>
        <v>5621.76</v>
      </c>
      <c r="CD532" s="68" t="s">
        <v>10</v>
      </c>
      <c r="CE532" s="23">
        <f>1/100</f>
        <v>0.01</v>
      </c>
      <c r="CF532" s="23">
        <f t="shared" si="19"/>
        <v>56.217600000000004</v>
      </c>
      <c r="CG532" s="23" t="s">
        <v>16</v>
      </c>
      <c r="CH532" s="23">
        <v>7.7585999999999999E-5</v>
      </c>
      <c r="CI532" s="23" t="s">
        <v>22</v>
      </c>
      <c r="CJ532" s="23">
        <f t="shared" ref="CJ532:CJ534" si="20">CF532*CH532</f>
        <v>4.3616987136000001E-3</v>
      </c>
    </row>
    <row r="533" spans="80:90" x14ac:dyDescent="0.25">
      <c r="CB533" s="27" t="s">
        <v>164</v>
      </c>
      <c r="CC533" s="68">
        <f>210*210*0.3</f>
        <v>13230</v>
      </c>
      <c r="CD533" s="68" t="s">
        <v>26</v>
      </c>
      <c r="CE533" s="23">
        <v>9.9999999999999995E-7</v>
      </c>
      <c r="CF533" s="23">
        <f t="shared" si="19"/>
        <v>1.3229999999999999E-2</v>
      </c>
      <c r="CG533" s="23" t="s">
        <v>15</v>
      </c>
      <c r="CH533" s="23">
        <v>12</v>
      </c>
      <c r="CI533" s="23" t="s">
        <v>13</v>
      </c>
      <c r="CJ533" s="23">
        <f t="shared" si="20"/>
        <v>0.15875999999999998</v>
      </c>
    </row>
    <row r="534" spans="80:90" x14ac:dyDescent="0.25">
      <c r="CB534" s="27" t="s">
        <v>127</v>
      </c>
      <c r="CC534" s="68">
        <f>56000</f>
        <v>56000</v>
      </c>
      <c r="CD534" s="68" t="s">
        <v>9</v>
      </c>
      <c r="CE534" s="23">
        <f>0.0001</f>
        <v>1E-4</v>
      </c>
      <c r="CF534" s="23">
        <f t="shared" si="19"/>
        <v>5.6000000000000005</v>
      </c>
      <c r="CG534" s="23" t="s">
        <v>17</v>
      </c>
      <c r="CH534" s="23">
        <f>20/1000</f>
        <v>0.02</v>
      </c>
      <c r="CI534" s="23" t="s">
        <v>23</v>
      </c>
      <c r="CJ534" s="23">
        <f t="shared" si="20"/>
        <v>0.11200000000000002</v>
      </c>
    </row>
    <row r="535" spans="80:90" x14ac:dyDescent="0.25">
      <c r="CB535" s="27" t="s">
        <v>93</v>
      </c>
      <c r="CC535" s="68">
        <v>100</v>
      </c>
      <c r="CD535" s="68" t="s">
        <v>10</v>
      </c>
      <c r="CE535" s="23">
        <f>1/100</f>
        <v>0.01</v>
      </c>
      <c r="CF535" s="23">
        <f t="shared" si="19"/>
        <v>1</v>
      </c>
      <c r="CG535" s="23" t="s">
        <v>16</v>
      </c>
      <c r="CH535" s="23">
        <f>1/117.5</f>
        <v>8.5106382978723406E-3</v>
      </c>
      <c r="CI535" s="23" t="s">
        <v>22</v>
      </c>
      <c r="CJ535" s="23">
        <f>CF535*CH535</f>
        <v>8.5106382978723406E-3</v>
      </c>
    </row>
    <row r="536" spans="80:90" x14ac:dyDescent="0.25">
      <c r="CB536" s="132" t="s">
        <v>130</v>
      </c>
      <c r="CC536" s="68">
        <f>2400.96</f>
        <v>2400.96</v>
      </c>
      <c r="CD536" s="68" t="s">
        <v>10</v>
      </c>
      <c r="CE536" s="23">
        <f>1/100</f>
        <v>0.01</v>
      </c>
      <c r="CF536" s="23">
        <f t="shared" si="19"/>
        <v>24.009600000000002</v>
      </c>
      <c r="CG536" s="23" t="s">
        <v>16</v>
      </c>
      <c r="CH536" s="23">
        <v>7.7585999999999999E-5</v>
      </c>
      <c r="CI536" s="23" t="s">
        <v>22</v>
      </c>
      <c r="CJ536" s="23">
        <f>CF536*CH536</f>
        <v>1.8628088256000001E-3</v>
      </c>
      <c r="CK536" s="434" t="s">
        <v>163</v>
      </c>
      <c r="CL536" s="435"/>
    </row>
    <row r="537" spans="80:90" x14ac:dyDescent="0.25">
      <c r="CB537" s="132" t="s">
        <v>132</v>
      </c>
      <c r="CC537" s="131">
        <f>227*227</f>
        <v>51529</v>
      </c>
      <c r="CD537" s="131" t="s">
        <v>9</v>
      </c>
      <c r="CE537" s="39">
        <f>0.0001</f>
        <v>1E-4</v>
      </c>
      <c r="CF537" s="39">
        <f t="shared" si="19"/>
        <v>5.1528999999999998</v>
      </c>
      <c r="CG537" s="39" t="s">
        <v>17</v>
      </c>
      <c r="CH537" s="39">
        <v>0.1</v>
      </c>
      <c r="CI537" s="39" t="s">
        <v>23</v>
      </c>
      <c r="CJ537" s="39">
        <f>CF537*CH537</f>
        <v>0.51529000000000003</v>
      </c>
      <c r="CK537" s="4">
        <f>CJ531+CJ532+CJ533+CJ534+CJ535+CJ536+CJ537+CJ538+CJ539+CJ540+CJ542+CJ541</f>
        <v>24.965437300647071</v>
      </c>
      <c r="CL537" s="4" t="s">
        <v>18</v>
      </c>
    </row>
    <row r="538" spans="80:90" x14ac:dyDescent="0.25">
      <c r="CB538" s="108" t="s">
        <v>165</v>
      </c>
      <c r="CC538" s="71">
        <f>0.515*0.515*0.3</f>
        <v>7.9567499999999999E-2</v>
      </c>
      <c r="CD538" s="127" t="s">
        <v>26</v>
      </c>
      <c r="CE538" s="71">
        <v>9.9999999999999995E-7</v>
      </c>
      <c r="CF538" s="71">
        <f t="shared" si="19"/>
        <v>7.9567500000000001E-8</v>
      </c>
      <c r="CG538" s="71" t="s">
        <v>15</v>
      </c>
      <c r="CH538" s="71">
        <v>12</v>
      </c>
      <c r="CI538" s="71" t="s">
        <v>13</v>
      </c>
      <c r="CJ538" s="71">
        <f>CF538*CH538</f>
        <v>9.5481000000000001E-7</v>
      </c>
    </row>
    <row r="539" spans="80:90" x14ac:dyDescent="0.25">
      <c r="CB539" s="134" t="s">
        <v>166</v>
      </c>
      <c r="CC539" s="135"/>
      <c r="CD539" s="135"/>
      <c r="CE539" s="135"/>
      <c r="CF539" s="136">
        <v>1.23</v>
      </c>
      <c r="CG539" s="136" t="s">
        <v>17</v>
      </c>
      <c r="CH539" s="136">
        <v>0.1</v>
      </c>
      <c r="CI539" s="136" t="s">
        <v>22</v>
      </c>
      <c r="CJ539" s="136">
        <f>CF539*CH539</f>
        <v>0.123</v>
      </c>
    </row>
    <row r="540" spans="80:90" x14ac:dyDescent="0.25">
      <c r="CB540" s="137" t="s">
        <v>167</v>
      </c>
      <c r="CC540" s="71">
        <f>6*4</f>
        <v>24</v>
      </c>
      <c r="CD540" s="138" t="s">
        <v>5</v>
      </c>
      <c r="CE540" s="71"/>
      <c r="CF540" s="71"/>
      <c r="CG540" s="71"/>
      <c r="CH540" s="71">
        <f>1/1000</f>
        <v>1E-3</v>
      </c>
      <c r="CI540" s="139" t="s">
        <v>18</v>
      </c>
      <c r="CJ540" s="139">
        <f>CC540*CH540</f>
        <v>2.4E-2</v>
      </c>
    </row>
    <row r="541" spans="80:90" x14ac:dyDescent="0.25">
      <c r="CB541" s="137" t="s">
        <v>182</v>
      </c>
      <c r="CC541" s="14">
        <f>(190*100*3)*2</f>
        <v>114000</v>
      </c>
      <c r="CD541" s="68" t="s">
        <v>26</v>
      </c>
      <c r="CE541" s="23">
        <v>9.9999999999999995E-7</v>
      </c>
      <c r="CF541" s="23">
        <f>CC541*CE541</f>
        <v>0.11399999999999999</v>
      </c>
      <c r="CG541" s="23" t="s">
        <v>15</v>
      </c>
      <c r="CH541" s="23">
        <v>80</v>
      </c>
      <c r="CI541" s="133" t="s">
        <v>13</v>
      </c>
      <c r="CJ541" s="133">
        <f>CH541*CF541*2</f>
        <v>18.239999999999998</v>
      </c>
    </row>
    <row r="542" spans="80:90" x14ac:dyDescent="0.25">
      <c r="CB542" s="160" t="s">
        <v>12</v>
      </c>
      <c r="CC542" s="68">
        <v>580</v>
      </c>
      <c r="CD542" s="68" t="s">
        <v>14</v>
      </c>
      <c r="CE542" s="23">
        <f>1/1000000</f>
        <v>9.9999999999999995E-7</v>
      </c>
      <c r="CF542" s="23">
        <f t="shared" ref="CF542" si="21">CC542*CE542</f>
        <v>5.8E-4</v>
      </c>
      <c r="CG542" s="23" t="s">
        <v>15</v>
      </c>
      <c r="CH542" s="23">
        <v>1116.6400000000001</v>
      </c>
      <c r="CI542" s="23" t="s">
        <v>13</v>
      </c>
      <c r="CJ542" s="23">
        <f t="shared" ref="CJ542" si="22">CH542*CF542</f>
        <v>0.64765120000000009</v>
      </c>
    </row>
    <row r="548" spans="66:74" x14ac:dyDescent="0.25">
      <c r="BN548" s="18" t="s">
        <v>36</v>
      </c>
    </row>
    <row r="549" spans="66:74" x14ac:dyDescent="0.25">
      <c r="BN549" s="19">
        <v>1E-4</v>
      </c>
    </row>
    <row r="550" spans="66:74" x14ac:dyDescent="0.25">
      <c r="BN550" s="18">
        <f>BN551+BN551*BN549</f>
        <v>4.9005706477207722</v>
      </c>
    </row>
    <row r="551" spans="66:74" x14ac:dyDescent="0.25">
      <c r="BN551" s="130">
        <f>BY566</f>
        <v>4.9000806396568066</v>
      </c>
      <c r="BU551" s="41" t="s">
        <v>58</v>
      </c>
      <c r="BV551" s="41"/>
    </row>
    <row r="552" spans="66:74" x14ac:dyDescent="0.25">
      <c r="BN552" s="13" t="s">
        <v>34</v>
      </c>
      <c r="BU552" s="25" t="s">
        <v>156</v>
      </c>
      <c r="BV552" s="4"/>
    </row>
    <row r="553" spans="66:74" x14ac:dyDescent="0.25">
      <c r="BN553" s="29" t="s">
        <v>142</v>
      </c>
      <c r="BU553" s="129">
        <f>BY566</f>
        <v>4.9000806396568066</v>
      </c>
      <c r="BV553" s="4" t="s">
        <v>18</v>
      </c>
    </row>
    <row r="554" spans="66:74" x14ac:dyDescent="0.25">
      <c r="BN554" s="14" t="s">
        <v>35</v>
      </c>
      <c r="BQ554" s="404" t="s">
        <v>51</v>
      </c>
      <c r="BR554" s="405"/>
      <c r="BU554" s="12">
        <f>6/1000</f>
        <v>6.0000000000000001E-3</v>
      </c>
      <c r="BV554" s="4" t="s">
        <v>158</v>
      </c>
    </row>
    <row r="555" spans="66:74" x14ac:dyDescent="0.25">
      <c r="BN555" s="130">
        <f>BN551</f>
        <v>4.9000806396568066</v>
      </c>
      <c r="BQ555" s="406" t="s">
        <v>159</v>
      </c>
      <c r="BR555" s="407"/>
    </row>
    <row r="556" spans="66:74" x14ac:dyDescent="0.25">
      <c r="BN556" s="15" t="s">
        <v>36</v>
      </c>
      <c r="BQ556" s="43">
        <f>IF(CJ604-BN551&lt;0,0,CJ604-BN551)</f>
        <v>0</v>
      </c>
      <c r="BR556" s="44" t="s">
        <v>18</v>
      </c>
    </row>
    <row r="557" spans="66:74" x14ac:dyDescent="0.25">
      <c r="BN557" s="17">
        <f>BN555-CJ604</f>
        <v>1.6520806396568064</v>
      </c>
      <c r="BQ557" s="43">
        <f>BQ556</f>
        <v>0</v>
      </c>
      <c r="BR557" s="44" t="s">
        <v>18</v>
      </c>
    </row>
    <row r="558" spans="66:74" x14ac:dyDescent="0.25">
      <c r="BN558" s="14" t="s">
        <v>168</v>
      </c>
    </row>
    <row r="562" spans="73:86" x14ac:dyDescent="0.25">
      <c r="BU562" s="10"/>
      <c r="BV562" s="10"/>
      <c r="BW562" s="10"/>
      <c r="BX562" s="10"/>
      <c r="BY562" s="10"/>
    </row>
    <row r="563" spans="73:86" x14ac:dyDescent="0.25">
      <c r="BU563" s="10"/>
      <c r="BV563" s="10"/>
      <c r="BW563" s="10"/>
      <c r="BX563" s="10"/>
      <c r="BY563" s="10" t="s">
        <v>141</v>
      </c>
    </row>
    <row r="564" spans="73:86" x14ac:dyDescent="0.25">
      <c r="BU564" s="10"/>
      <c r="BV564" s="10"/>
      <c r="BW564" s="10"/>
      <c r="BX564" s="10"/>
      <c r="BY564" s="49" t="s">
        <v>36</v>
      </c>
    </row>
    <row r="565" spans="73:86" x14ac:dyDescent="0.25">
      <c r="BU565" s="10"/>
      <c r="BV565" s="10"/>
      <c r="BW565" s="10"/>
      <c r="BX565" s="10"/>
      <c r="BY565" s="45" t="s">
        <v>54</v>
      </c>
    </row>
    <row r="566" spans="73:86" x14ac:dyDescent="0.25">
      <c r="BU566" s="10"/>
      <c r="BV566" s="10"/>
      <c r="BW566" s="10"/>
      <c r="BX566" s="10"/>
      <c r="BY566" s="121">
        <f>BY567-BY571</f>
        <v>4.9000806396568066</v>
      </c>
    </row>
    <row r="567" spans="73:86" x14ac:dyDescent="0.25">
      <c r="BU567" s="10"/>
      <c r="BV567" s="10"/>
      <c r="BW567" s="10"/>
      <c r="BX567" s="10"/>
      <c r="BY567" s="113">
        <f>BV573</f>
        <v>102.90169343279281</v>
      </c>
    </row>
    <row r="568" spans="73:86" x14ac:dyDescent="0.25">
      <c r="BU568" s="421" t="s">
        <v>139</v>
      </c>
      <c r="BV568" s="421"/>
      <c r="BW568" s="10"/>
      <c r="BX568" s="10"/>
      <c r="BY568" s="47" t="s">
        <v>34</v>
      </c>
    </row>
    <row r="569" spans="73:86" x14ac:dyDescent="0.25">
      <c r="BU569" s="421"/>
      <c r="BV569" s="421"/>
      <c r="BW569" s="10"/>
      <c r="BX569" s="10"/>
      <c r="BY569" s="118" t="s">
        <v>138</v>
      </c>
      <c r="CG569" s="409" t="s">
        <v>51</v>
      </c>
      <c r="CH569" s="409"/>
    </row>
    <row r="570" spans="73:86" x14ac:dyDescent="0.25">
      <c r="BU570" s="115" t="s">
        <v>1</v>
      </c>
      <c r="BV570" s="115" t="s">
        <v>1</v>
      </c>
      <c r="BW570" s="9"/>
      <c r="BX570" s="10"/>
      <c r="BY570" s="48" t="s">
        <v>35</v>
      </c>
      <c r="CG570" s="142" t="str">
        <f>CH577</f>
        <v>unidad resortada</v>
      </c>
      <c r="CH570" s="143">
        <f>CK569</f>
        <v>0</v>
      </c>
    </row>
    <row r="571" spans="73:86" x14ac:dyDescent="0.25">
      <c r="BU571" s="162">
        <f>BV571</f>
        <v>102.90169343279281</v>
      </c>
      <c r="BV571" s="67">
        <f>BV573</f>
        <v>102.90169343279281</v>
      </c>
      <c r="BW571" s="55"/>
      <c r="BX571" s="10"/>
      <c r="BY571" s="10">
        <f>CH586</f>
        <v>98.001612793136005</v>
      </c>
      <c r="CG571" s="115">
        <f>CH580</f>
        <v>116</v>
      </c>
      <c r="CH571" s="141" t="str">
        <f>CH579</f>
        <v>en unidades</v>
      </c>
    </row>
    <row r="572" spans="73:86" x14ac:dyDescent="0.25">
      <c r="BU572" s="423" t="s">
        <v>206</v>
      </c>
      <c r="BV572" s="10"/>
      <c r="BW572" s="10"/>
      <c r="BX572" s="10"/>
      <c r="BY572" s="50" t="s">
        <v>36</v>
      </c>
      <c r="CG572" s="115">
        <f>CI580</f>
        <v>2152.0320000000002</v>
      </c>
      <c r="CH572" s="141" t="str">
        <f>CI579</f>
        <v>en kg</v>
      </c>
    </row>
    <row r="573" spans="73:86" x14ac:dyDescent="0.25">
      <c r="BU573" s="423"/>
      <c r="BV573" s="10">
        <f>BY571+BY571*0.05</f>
        <v>102.90169343279281</v>
      </c>
      <c r="BW573" s="10"/>
      <c r="BX573" s="10"/>
      <c r="BY573" s="53" t="s">
        <v>63</v>
      </c>
    </row>
    <row r="574" spans="73:86" x14ac:dyDescent="0.25">
      <c r="BU574" s="53"/>
      <c r="BV574" s="48"/>
      <c r="BW574" s="10"/>
      <c r="BX574" s="10"/>
      <c r="BY574" s="28"/>
    </row>
    <row r="575" spans="73:86" x14ac:dyDescent="0.25">
      <c r="BU575" s="53"/>
      <c r="BV575" s="10"/>
      <c r="BW575" s="10"/>
      <c r="BX575" s="10"/>
      <c r="BY575" s="16"/>
    </row>
    <row r="576" spans="73:86" x14ac:dyDescent="0.25">
      <c r="BU576" s="10"/>
      <c r="BV576" s="10"/>
      <c r="BW576" s="10"/>
      <c r="BX576" s="10"/>
      <c r="BY576" s="10"/>
    </row>
    <row r="577" spans="73:93" x14ac:dyDescent="0.25">
      <c r="BU577" s="10"/>
      <c r="BV577" s="10"/>
      <c r="BW577" s="10"/>
      <c r="BX577" s="48"/>
      <c r="BY577" s="52">
        <f>BV573-CH586</f>
        <v>4.9000806396568066</v>
      </c>
      <c r="CH577" s="410" t="s">
        <v>174</v>
      </c>
      <c r="CI577" s="410"/>
    </row>
    <row r="578" spans="73:93" x14ac:dyDescent="0.25">
      <c r="CH578" s="410"/>
      <c r="CI578" s="410"/>
    </row>
    <row r="579" spans="73:93" x14ac:dyDescent="0.25">
      <c r="CH579" s="6" t="s">
        <v>4</v>
      </c>
      <c r="CI579" s="6" t="s">
        <v>1</v>
      </c>
    </row>
    <row r="580" spans="73:93" x14ac:dyDescent="0.25">
      <c r="CH580" s="6">
        <f>CM589*CB617</f>
        <v>116</v>
      </c>
      <c r="CI580" s="4">
        <f>CM589*CI617</f>
        <v>2152.0320000000002</v>
      </c>
    </row>
    <row r="583" spans="73:93" x14ac:dyDescent="0.25">
      <c r="CH583" s="424" t="s">
        <v>141</v>
      </c>
      <c r="CI583" s="425"/>
    </row>
    <row r="584" spans="73:93" x14ac:dyDescent="0.25">
      <c r="CH584" s="426"/>
      <c r="CI584" s="427"/>
    </row>
    <row r="585" spans="73:93" x14ac:dyDescent="0.25">
      <c r="CH585" s="6" t="s">
        <v>1</v>
      </c>
      <c r="CI585" s="6" t="s">
        <v>1</v>
      </c>
    </row>
    <row r="586" spans="73:93" x14ac:dyDescent="0.25">
      <c r="CH586" s="6">
        <f>CI586</f>
        <v>98.001612793136005</v>
      </c>
      <c r="CI586" s="4">
        <f>CM589*(CI611+CI612+CI614+CI615+CI616)</f>
        <v>98.001612793136005</v>
      </c>
    </row>
    <row r="587" spans="73:93" x14ac:dyDescent="0.25">
      <c r="CK587">
        <f>CI586+CI592+CI596+CJ600+CJ604+CI580</f>
        <v>2373.8052974478173</v>
      </c>
      <c r="CM587" s="430" t="s">
        <v>52</v>
      </c>
      <c r="CN587" s="431"/>
    </row>
    <row r="588" spans="73:93" x14ac:dyDescent="0.25">
      <c r="CK588" s="13" t="s">
        <v>34</v>
      </c>
      <c r="CM588" s="417" t="s">
        <v>202</v>
      </c>
      <c r="CN588" s="418"/>
      <c r="CO588" s="127" t="s">
        <v>200</v>
      </c>
    </row>
    <row r="589" spans="73:93" x14ac:dyDescent="0.25">
      <c r="CK589" s="109" t="s">
        <v>179</v>
      </c>
      <c r="CM589" s="23">
        <f>'Flujos Planta Final'!CN579</f>
        <v>116</v>
      </c>
      <c r="CN589" s="4" t="s">
        <v>27</v>
      </c>
    </row>
    <row r="590" spans="73:93" x14ac:dyDescent="0.25">
      <c r="CB590" s="409" t="s">
        <v>51</v>
      </c>
      <c r="CC590" s="409"/>
      <c r="CH590" s="428" t="s">
        <v>134</v>
      </c>
      <c r="CI590" s="429"/>
      <c r="CK590" s="14" t="s">
        <v>35</v>
      </c>
      <c r="CM590" s="4">
        <f>CM589*CJ615</f>
        <v>2373.8052974478169</v>
      </c>
      <c r="CN590" s="4" t="s">
        <v>28</v>
      </c>
    </row>
    <row r="591" spans="73:93" x14ac:dyDescent="0.25">
      <c r="CA591" s="161" t="s">
        <v>185</v>
      </c>
      <c r="CB591" s="142" t="str">
        <f>CH590</f>
        <v xml:space="preserve">Lámina de espuma </v>
      </c>
      <c r="CC591" s="143"/>
      <c r="CH591" s="6" t="s">
        <v>50</v>
      </c>
      <c r="CI591" s="6" t="s">
        <v>1</v>
      </c>
      <c r="CK591">
        <f>CM590</f>
        <v>2373.8052974478169</v>
      </c>
    </row>
    <row r="592" spans="73:93" x14ac:dyDescent="0.25">
      <c r="CB592" s="115">
        <f>CH592</f>
        <v>6.6119999999999992</v>
      </c>
      <c r="CC592" s="141" t="str">
        <f>CH591</f>
        <v>en m^3</v>
      </c>
      <c r="CH592" s="6">
        <f>CM589*CE609</f>
        <v>6.6119999999999992</v>
      </c>
      <c r="CI592" s="4">
        <f>CM589*(CI609)</f>
        <v>119.01599999999998</v>
      </c>
      <c r="CK592" s="15" t="s">
        <v>36</v>
      </c>
    </row>
    <row r="593" spans="79:92" x14ac:dyDescent="0.25">
      <c r="CB593" s="115">
        <f>CI592</f>
        <v>119.01599999999998</v>
      </c>
      <c r="CC593" s="141">
        <f>CI592</f>
        <v>119.01599999999998</v>
      </c>
      <c r="CK593" s="1">
        <f>CK587-CK591</f>
        <v>0</v>
      </c>
    </row>
    <row r="594" spans="79:92" x14ac:dyDescent="0.25">
      <c r="CH594" s="428" t="s">
        <v>98</v>
      </c>
      <c r="CI594" s="429"/>
      <c r="CK594" s="28" t="s">
        <v>45</v>
      </c>
    </row>
    <row r="595" spans="79:92" x14ac:dyDescent="0.25">
      <c r="CH595" s="6" t="s">
        <v>30</v>
      </c>
      <c r="CI595" s="6" t="s">
        <v>1</v>
      </c>
    </row>
    <row r="596" spans="79:92" x14ac:dyDescent="0.25">
      <c r="CH596" s="6">
        <f>CM589*CE613</f>
        <v>116</v>
      </c>
      <c r="CI596" s="4">
        <f>CM589*(CI613)</f>
        <v>0.98723404255319147</v>
      </c>
    </row>
    <row r="598" spans="79:92" x14ac:dyDescent="0.25">
      <c r="CE598" s="409" t="s">
        <v>51</v>
      </c>
      <c r="CF598" s="409"/>
      <c r="CG598" s="144"/>
      <c r="CI598" s="428" t="s">
        <v>137</v>
      </c>
      <c r="CJ598" s="429"/>
    </row>
    <row r="599" spans="79:92" x14ac:dyDescent="0.25">
      <c r="CE599" s="142" t="s">
        <v>98</v>
      </c>
      <c r="CF599" s="143" t="str">
        <f>CI598</f>
        <v>Hilo</v>
      </c>
      <c r="CG599" s="72"/>
      <c r="CI599" s="6" t="s">
        <v>30</v>
      </c>
      <c r="CJ599" s="6" t="s">
        <v>1</v>
      </c>
      <c r="CN599" t="s">
        <v>91</v>
      </c>
    </row>
    <row r="600" spans="79:92" x14ac:dyDescent="0.25">
      <c r="CE600" s="115">
        <f>CI596</f>
        <v>0.98723404255319147</v>
      </c>
      <c r="CF600" s="141">
        <f>CJ600</f>
        <v>0.52045061212800003</v>
      </c>
      <c r="CG600" s="4" t="s">
        <v>18</v>
      </c>
      <c r="CI600" s="6">
        <f>CE610*CM589</f>
        <v>6708.0480000000007</v>
      </c>
      <c r="CJ600" s="4">
        <f>CM589*(CI610)</f>
        <v>0.52045061212800003</v>
      </c>
    </row>
    <row r="601" spans="79:92" x14ac:dyDescent="0.25">
      <c r="CE601" s="115">
        <f>CH596</f>
        <v>116</v>
      </c>
      <c r="CF601" s="141">
        <f>CI600</f>
        <v>6708.0480000000007</v>
      </c>
      <c r="CG601" s="4" t="s">
        <v>16</v>
      </c>
    </row>
    <row r="602" spans="79:92" x14ac:dyDescent="0.25">
      <c r="CI602" s="428" t="s">
        <v>161</v>
      </c>
      <c r="CJ602" s="429"/>
    </row>
    <row r="603" spans="79:92" x14ac:dyDescent="0.25">
      <c r="CI603" s="6" t="s">
        <v>4</v>
      </c>
      <c r="CJ603" s="6" t="s">
        <v>1</v>
      </c>
    </row>
    <row r="604" spans="79:92" x14ac:dyDescent="0.25">
      <c r="CI604" s="6">
        <f>CM589*4</f>
        <v>464</v>
      </c>
      <c r="CJ604" s="4">
        <f>CI618*CM589</f>
        <v>3.2480000000000002</v>
      </c>
    </row>
    <row r="607" spans="79:92" x14ac:dyDescent="0.25">
      <c r="CB607" s="415" t="s">
        <v>188</v>
      </c>
      <c r="CC607" s="415"/>
      <c r="CD607" s="4" t="s">
        <v>19</v>
      </c>
      <c r="CE607" s="6" t="s">
        <v>20</v>
      </c>
      <c r="CF607" s="6" t="s">
        <v>2</v>
      </c>
      <c r="CG607" s="6" t="s">
        <v>21</v>
      </c>
      <c r="CH607" s="6" t="s">
        <v>2</v>
      </c>
      <c r="CI607" s="11" t="s">
        <v>24</v>
      </c>
    </row>
    <row r="608" spans="79:92" x14ac:dyDescent="0.25">
      <c r="CA608" s="153"/>
      <c r="CB608" s="68"/>
      <c r="CC608" s="68"/>
      <c r="CD608" s="23"/>
      <c r="CE608" s="23"/>
      <c r="CF608" s="23"/>
      <c r="CG608" s="23"/>
      <c r="CH608" s="23"/>
      <c r="CI608" s="39"/>
    </row>
    <row r="609" spans="79:89" x14ac:dyDescent="0.25">
      <c r="CA609" s="149" t="s">
        <v>128</v>
      </c>
      <c r="CB609" s="150">
        <f>100*190*3</f>
        <v>57000</v>
      </c>
      <c r="CC609" s="68" t="s">
        <v>26</v>
      </c>
      <c r="CD609" s="23">
        <v>9.9999999999999995E-7</v>
      </c>
      <c r="CE609" s="23">
        <f t="shared" ref="CE609:CE616" si="23">CB609*CD609</f>
        <v>5.6999999999999995E-2</v>
      </c>
      <c r="CF609" s="23" t="s">
        <v>15</v>
      </c>
      <c r="CG609" s="23">
        <v>18</v>
      </c>
      <c r="CH609" s="23" t="s">
        <v>13</v>
      </c>
      <c r="CI609" s="23">
        <f>CE609*CG609</f>
        <v>1.0259999999999998</v>
      </c>
    </row>
    <row r="610" spans="79:89" x14ac:dyDescent="0.25">
      <c r="CA610" s="149" t="s">
        <v>130</v>
      </c>
      <c r="CB610" s="150">
        <f>5782.8</f>
        <v>5782.8</v>
      </c>
      <c r="CC610" s="68" t="s">
        <v>10</v>
      </c>
      <c r="CD610" s="23">
        <f>1/100</f>
        <v>0.01</v>
      </c>
      <c r="CE610" s="23">
        <f t="shared" si="23"/>
        <v>57.828000000000003</v>
      </c>
      <c r="CF610" s="23" t="s">
        <v>16</v>
      </c>
      <c r="CG610" s="23">
        <v>7.7585999999999999E-5</v>
      </c>
      <c r="CH610" s="23" t="s">
        <v>22</v>
      </c>
      <c r="CI610" s="23">
        <f t="shared" ref="CI610:CI612" si="24">CE610*CG610</f>
        <v>4.4866432080000003E-3</v>
      </c>
    </row>
    <row r="611" spans="79:89" x14ac:dyDescent="0.25">
      <c r="CA611" s="149" t="s">
        <v>164</v>
      </c>
      <c r="CB611" s="150">
        <f>230*230*0.3</f>
        <v>15870</v>
      </c>
      <c r="CC611" s="68" t="s">
        <v>26</v>
      </c>
      <c r="CD611" s="23">
        <v>9.9999999999999995E-7</v>
      </c>
      <c r="CE611" s="23">
        <f t="shared" si="23"/>
        <v>1.5869999999999999E-2</v>
      </c>
      <c r="CF611" s="23" t="s">
        <v>15</v>
      </c>
      <c r="CG611" s="23">
        <v>12</v>
      </c>
      <c r="CH611" s="23" t="s">
        <v>13</v>
      </c>
      <c r="CI611" s="23">
        <f t="shared" si="24"/>
        <v>0.19044</v>
      </c>
    </row>
    <row r="612" spans="79:89" x14ac:dyDescent="0.25">
      <c r="CA612" s="149" t="s">
        <v>127</v>
      </c>
      <c r="CB612" s="150">
        <v>59400</v>
      </c>
      <c r="CC612" s="68" t="s">
        <v>9</v>
      </c>
      <c r="CD612" s="23">
        <f>0.0001</f>
        <v>1E-4</v>
      </c>
      <c r="CE612" s="23">
        <f t="shared" si="23"/>
        <v>5.94</v>
      </c>
      <c r="CF612" s="23" t="s">
        <v>17</v>
      </c>
      <c r="CG612" s="23">
        <f>20/1000</f>
        <v>0.02</v>
      </c>
      <c r="CH612" s="23" t="s">
        <v>23</v>
      </c>
      <c r="CI612" s="23">
        <f t="shared" si="24"/>
        <v>0.11880000000000002</v>
      </c>
    </row>
    <row r="613" spans="79:89" x14ac:dyDescent="0.25">
      <c r="CA613" s="149" t="s">
        <v>93</v>
      </c>
      <c r="CB613" s="150">
        <v>100</v>
      </c>
      <c r="CC613" s="68" t="s">
        <v>10</v>
      </c>
      <c r="CD613" s="23">
        <f>1/100</f>
        <v>0.01</v>
      </c>
      <c r="CE613" s="23">
        <f t="shared" si="23"/>
        <v>1</v>
      </c>
      <c r="CF613" s="23" t="s">
        <v>16</v>
      </c>
      <c r="CG613" s="23">
        <f>1/117.5</f>
        <v>8.5106382978723406E-3</v>
      </c>
      <c r="CH613" s="23" t="s">
        <v>22</v>
      </c>
      <c r="CI613" s="23">
        <f>CE613*CG613</f>
        <v>8.5106382978723406E-3</v>
      </c>
    </row>
    <row r="614" spans="79:89" x14ac:dyDescent="0.25">
      <c r="CA614" s="137" t="s">
        <v>130</v>
      </c>
      <c r="CB614" s="150">
        <f>26177.96</f>
        <v>26177.96</v>
      </c>
      <c r="CC614" s="68" t="s">
        <v>10</v>
      </c>
      <c r="CD614" s="23">
        <f>1/100</f>
        <v>0.01</v>
      </c>
      <c r="CE614" s="23">
        <f t="shared" si="23"/>
        <v>261.77960000000002</v>
      </c>
      <c r="CF614" s="23" t="s">
        <v>16</v>
      </c>
      <c r="CG614" s="23">
        <v>7.7585999999999999E-5</v>
      </c>
      <c r="CH614" s="23" t="s">
        <v>22</v>
      </c>
      <c r="CI614" s="23">
        <f>CE614*CG614</f>
        <v>2.0310432045599999E-2</v>
      </c>
      <c r="CJ614" s="408" t="s">
        <v>203</v>
      </c>
      <c r="CK614" s="408"/>
    </row>
    <row r="615" spans="79:89" x14ac:dyDescent="0.25">
      <c r="CA615" s="137" t="s">
        <v>132</v>
      </c>
      <c r="CB615" s="151">
        <f>227*227</f>
        <v>51529</v>
      </c>
      <c r="CC615" s="131" t="s">
        <v>9</v>
      </c>
      <c r="CD615" s="39">
        <f>0.0001</f>
        <v>1E-4</v>
      </c>
      <c r="CE615" s="39">
        <f t="shared" si="23"/>
        <v>5.1528999999999998</v>
      </c>
      <c r="CF615" s="39" t="s">
        <v>17</v>
      </c>
      <c r="CG615" s="39">
        <v>0.1</v>
      </c>
      <c r="CH615" s="39" t="s">
        <v>23</v>
      </c>
      <c r="CI615" s="39">
        <f>CE615*CG615</f>
        <v>0.51529000000000003</v>
      </c>
      <c r="CJ615" s="4">
        <f>CI609+CI610+CI611+CI612+CI613+CI614+CI615+CI616+CI617+CI618</f>
        <v>20.463838771101869</v>
      </c>
      <c r="CK615" s="4" t="s">
        <v>18</v>
      </c>
    </row>
    <row r="616" spans="79:89" x14ac:dyDescent="0.25">
      <c r="CA616" s="149" t="s">
        <v>165</v>
      </c>
      <c r="CB616" s="152">
        <f>0.542*0.542*0.3</f>
        <v>8.8129200000000005E-2</v>
      </c>
      <c r="CC616" s="127" t="s">
        <v>26</v>
      </c>
      <c r="CD616" s="71">
        <v>9.9999999999999995E-7</v>
      </c>
      <c r="CE616" s="71">
        <f t="shared" si="23"/>
        <v>8.8129200000000005E-8</v>
      </c>
      <c r="CF616" s="71" t="s">
        <v>15</v>
      </c>
      <c r="CG616" s="71">
        <v>12</v>
      </c>
      <c r="CH616" s="71" t="s">
        <v>13</v>
      </c>
      <c r="CI616" s="71">
        <f>CE616*CG616</f>
        <v>1.0575504000000001E-6</v>
      </c>
    </row>
    <row r="617" spans="79:89" x14ac:dyDescent="0.25">
      <c r="CA617" s="137" t="s">
        <v>174</v>
      </c>
      <c r="CB617" s="155">
        <v>1</v>
      </c>
      <c r="CC617" s="156" t="s">
        <v>2</v>
      </c>
      <c r="CD617" s="67"/>
      <c r="CE617" s="67"/>
      <c r="CF617" s="139" t="s">
        <v>18</v>
      </c>
      <c r="CG617" s="67"/>
      <c r="CH617" s="139" t="s">
        <v>18</v>
      </c>
      <c r="CI617" s="71">
        <f>18.552</f>
        <v>18.552</v>
      </c>
    </row>
    <row r="618" spans="79:89" x14ac:dyDescent="0.25">
      <c r="CA618" s="137" t="s">
        <v>175</v>
      </c>
      <c r="CB618" s="152">
        <f>7*4</f>
        <v>28</v>
      </c>
      <c r="CC618" s="138" t="s">
        <v>5</v>
      </c>
      <c r="CD618" s="71"/>
      <c r="CE618" s="71"/>
      <c r="CF618" s="71"/>
      <c r="CG618" s="71">
        <f>1/1000</f>
        <v>1E-3</v>
      </c>
      <c r="CH618" s="139" t="s">
        <v>18</v>
      </c>
      <c r="CI618" s="139">
        <f>CB618*CG618</f>
        <v>2.8000000000000001E-2</v>
      </c>
    </row>
  </sheetData>
  <mergeCells count="156">
    <mergeCell ref="U346:V346"/>
    <mergeCell ref="BC346:BC347"/>
    <mergeCell ref="BO346:BO347"/>
    <mergeCell ref="T347:T354"/>
    <mergeCell ref="AB350:AC351"/>
    <mergeCell ref="AG350:AH351"/>
    <mergeCell ref="AG339:AH344"/>
    <mergeCell ref="AN339:AO339"/>
    <mergeCell ref="AN340:AO340"/>
    <mergeCell ref="BC342:BD343"/>
    <mergeCell ref="BO342:BP343"/>
    <mergeCell ref="AW344:AX345"/>
    <mergeCell ref="CE598:CF598"/>
    <mergeCell ref="CI598:CJ598"/>
    <mergeCell ref="CI602:CJ602"/>
    <mergeCell ref="CB607:CC607"/>
    <mergeCell ref="CJ614:CK614"/>
    <mergeCell ref="CH590:CI590"/>
    <mergeCell ref="CH594:CI594"/>
    <mergeCell ref="CB590:CC590"/>
    <mergeCell ref="BU572:BU573"/>
    <mergeCell ref="CH577:CI578"/>
    <mergeCell ref="CH583:CI584"/>
    <mergeCell ref="CM587:CN587"/>
    <mergeCell ref="CM588:CN588"/>
    <mergeCell ref="CK536:CL536"/>
    <mergeCell ref="BQ554:BR554"/>
    <mergeCell ref="BQ555:BR555"/>
    <mergeCell ref="BU568:BV569"/>
    <mergeCell ref="CG569:CH569"/>
    <mergeCell ref="CI516:CJ516"/>
    <mergeCell ref="CF520:CG520"/>
    <mergeCell ref="CJ520:CK520"/>
    <mergeCell ref="CJ524:CK524"/>
    <mergeCell ref="CC529:CD529"/>
    <mergeCell ref="CI505:CJ506"/>
    <mergeCell ref="CN509:CO509"/>
    <mergeCell ref="CN510:CO510"/>
    <mergeCell ref="CI512:CJ512"/>
    <mergeCell ref="CA515:CB515"/>
    <mergeCell ref="BV490:BW491"/>
    <mergeCell ref="CH491:CI491"/>
    <mergeCell ref="CK491:CL491"/>
    <mergeCell ref="BV494:BV495"/>
    <mergeCell ref="CI499:CJ500"/>
    <mergeCell ref="CL499:CM500"/>
    <mergeCell ref="CJ447:CK447"/>
    <mergeCell ref="CC452:CD452"/>
    <mergeCell ref="CK459:CL459"/>
    <mergeCell ref="BR476:BS476"/>
    <mergeCell ref="BR477:BS477"/>
    <mergeCell ref="CN433:CO433"/>
    <mergeCell ref="CI435:CJ435"/>
    <mergeCell ref="CA438:CB438"/>
    <mergeCell ref="CI439:CJ439"/>
    <mergeCell ref="CF443:CG443"/>
    <mergeCell ref="CJ443:CK443"/>
    <mergeCell ref="BV417:BV418"/>
    <mergeCell ref="CI422:CJ423"/>
    <mergeCell ref="CL422:CM423"/>
    <mergeCell ref="CI428:CJ429"/>
    <mergeCell ref="CN432:CO432"/>
    <mergeCell ref="BR399:BS399"/>
    <mergeCell ref="BR400:BS400"/>
    <mergeCell ref="BV413:BW414"/>
    <mergeCell ref="CH414:CI414"/>
    <mergeCell ref="CK414:CL414"/>
    <mergeCell ref="CJ373:CK373"/>
    <mergeCell ref="CC378:CD378"/>
    <mergeCell ref="CK385:CL385"/>
    <mergeCell ref="CC361:CD361"/>
    <mergeCell ref="CI361:CJ361"/>
    <mergeCell ref="CI365:CJ365"/>
    <mergeCell ref="CF369:CG369"/>
    <mergeCell ref="CJ369:CK369"/>
    <mergeCell ref="CI348:CJ349"/>
    <mergeCell ref="CI354:CJ355"/>
    <mergeCell ref="CN358:CO358"/>
    <mergeCell ref="CN359:CO359"/>
    <mergeCell ref="BR325:BS325"/>
    <mergeCell ref="BR326:BS326"/>
    <mergeCell ref="BV339:BW340"/>
    <mergeCell ref="CH340:CI340"/>
    <mergeCell ref="CJ297:CK297"/>
    <mergeCell ref="CC302:CD302"/>
    <mergeCell ref="CK309:CL309"/>
    <mergeCell ref="BV343:BV344"/>
    <mergeCell ref="CC291:CD291"/>
    <mergeCell ref="CI285:CJ285"/>
    <mergeCell ref="CI289:CJ289"/>
    <mergeCell ref="CF293:CG293"/>
    <mergeCell ref="CJ293:CK293"/>
    <mergeCell ref="BV263:BW264"/>
    <mergeCell ref="BV267:BV268"/>
    <mergeCell ref="CI278:CJ279"/>
    <mergeCell ref="CN282:CO282"/>
    <mergeCell ref="CN283:CO283"/>
    <mergeCell ref="CB194:CC194"/>
    <mergeCell ref="BV177:BW177"/>
    <mergeCell ref="BV178:BW178"/>
    <mergeCell ref="BR249:BS249"/>
    <mergeCell ref="BR250:BS250"/>
    <mergeCell ref="BP160:BQ160"/>
    <mergeCell ref="BZ163:CA164"/>
    <mergeCell ref="CE167:CF167"/>
    <mergeCell ref="CE168:CF168"/>
    <mergeCell ref="BZ170:CA170"/>
    <mergeCell ref="BS149:BT150"/>
    <mergeCell ref="BT187:BU187"/>
    <mergeCell ref="CB140:CC140"/>
    <mergeCell ref="BM148:BN149"/>
    <mergeCell ref="BM152:BM153"/>
    <mergeCell ref="BR154:BS155"/>
    <mergeCell ref="BM157:BN157"/>
    <mergeCell ref="BM158:BN158"/>
    <mergeCell ref="BP159:BQ159"/>
    <mergeCell ref="BS159:BT160"/>
    <mergeCell ref="BT133:BU133"/>
    <mergeCell ref="BP111:BQ111"/>
    <mergeCell ref="CE113:CF113"/>
    <mergeCell ref="CE114:CF114"/>
    <mergeCell ref="BM104:BN104"/>
    <mergeCell ref="BP105:BQ105"/>
    <mergeCell ref="BS105:BT106"/>
    <mergeCell ref="BP106:BQ106"/>
    <mergeCell ref="BZ109:CA110"/>
    <mergeCell ref="BP110:BQ110"/>
    <mergeCell ref="BM94:BN95"/>
    <mergeCell ref="BS95:BT96"/>
    <mergeCell ref="BM98:BM99"/>
    <mergeCell ref="BR100:BS101"/>
    <mergeCell ref="BM103:BN103"/>
    <mergeCell ref="CA67:CB67"/>
    <mergeCell ref="CI74:CJ74"/>
    <mergeCell ref="CG43:CH44"/>
    <mergeCell ref="CL48:CM48"/>
    <mergeCell ref="BZ50:CA51"/>
    <mergeCell ref="BZ60:CA61"/>
    <mergeCell ref="CL47:CM47"/>
    <mergeCell ref="CG50:CH50"/>
    <mergeCell ref="BW73:BX73"/>
    <mergeCell ref="BW72:BX72"/>
    <mergeCell ref="BF48:BF49"/>
    <mergeCell ref="BU50:BV51"/>
    <mergeCell ref="BU60:BV61"/>
    <mergeCell ref="BN45:BO46"/>
    <mergeCell ref="BN55:BO56"/>
    <mergeCell ref="BZ29:CA30"/>
    <mergeCell ref="BZ39:CA40"/>
    <mergeCell ref="BW40:BX40"/>
    <mergeCell ref="BW39:BX39"/>
    <mergeCell ref="BF44:BG45"/>
    <mergeCell ref="BT28:BU29"/>
    <mergeCell ref="BT32:BT33"/>
    <mergeCell ref="BW45:BX45"/>
    <mergeCell ref="BW44:BX4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opLeftCell="A28" zoomScale="50" zoomScaleNormal="50" workbookViewId="0">
      <selection activeCell="T64" sqref="T64"/>
    </sheetView>
  </sheetViews>
  <sheetFormatPr baseColWidth="10" defaultRowHeight="15" x14ac:dyDescent="0.25"/>
  <cols>
    <col min="1" max="1" width="32.85546875" customWidth="1"/>
    <col min="2" max="2" width="37.7109375" customWidth="1"/>
    <col min="3" max="6" width="11.5703125" bestFit="1" customWidth="1"/>
    <col min="7" max="7" width="13.85546875" bestFit="1" customWidth="1"/>
    <col min="8" max="10" width="11.5703125" bestFit="1" customWidth="1"/>
    <col min="11" max="11" width="14.140625" bestFit="1" customWidth="1"/>
    <col min="12" max="24" width="11.5703125" bestFit="1" customWidth="1"/>
    <col min="25" max="25" width="17.42578125" customWidth="1"/>
    <col min="26" max="26" width="13.5703125" bestFit="1" customWidth="1"/>
    <col min="27" max="27" width="14.42578125" customWidth="1"/>
    <col min="29" max="29" width="16.42578125" customWidth="1"/>
    <col min="30" max="30" width="13.85546875" bestFit="1" customWidth="1"/>
    <col min="43" max="43" width="14" customWidth="1"/>
  </cols>
  <sheetData>
    <row r="1" spans="1:29" x14ac:dyDescent="0.25">
      <c r="A1" s="347" t="s">
        <v>227</v>
      </c>
      <c r="B1" s="336" t="s">
        <v>3</v>
      </c>
      <c r="C1" s="336" t="s">
        <v>29</v>
      </c>
      <c r="D1" s="336" t="s">
        <v>60</v>
      </c>
      <c r="E1" s="336" t="s">
        <v>65</v>
      </c>
      <c r="F1" s="336" t="s">
        <v>229</v>
      </c>
      <c r="G1" s="336" t="s">
        <v>119</v>
      </c>
      <c r="H1" s="336" t="s">
        <v>235</v>
      </c>
      <c r="I1" s="336" t="s">
        <v>142</v>
      </c>
      <c r="J1" s="336" t="s">
        <v>241</v>
      </c>
      <c r="K1" s="336" t="s">
        <v>213</v>
      </c>
      <c r="L1" s="336" t="s">
        <v>218</v>
      </c>
      <c r="M1" s="336" t="s">
        <v>222</v>
      </c>
      <c r="N1" s="336" t="s">
        <v>265</v>
      </c>
      <c r="O1" s="336" t="s">
        <v>294</v>
      </c>
      <c r="P1" s="336" t="s">
        <v>295</v>
      </c>
      <c r="Q1" s="336" t="s">
        <v>291</v>
      </c>
      <c r="R1" s="336" t="s">
        <v>292</v>
      </c>
      <c r="S1" s="336" t="s">
        <v>296</v>
      </c>
      <c r="T1" s="336" t="s">
        <v>237</v>
      </c>
      <c r="U1" s="336" t="s">
        <v>85</v>
      </c>
      <c r="V1" s="336" t="s">
        <v>84</v>
      </c>
      <c r="W1" s="336" t="s">
        <v>72</v>
      </c>
      <c r="X1" s="336" t="s">
        <v>239</v>
      </c>
      <c r="Y1" s="336" t="s">
        <v>226</v>
      </c>
      <c r="Z1" s="336" t="s">
        <v>52</v>
      </c>
      <c r="AA1" s="336" t="s">
        <v>51</v>
      </c>
      <c r="AB1" s="336"/>
      <c r="AC1" s="337" t="s">
        <v>232</v>
      </c>
    </row>
    <row r="2" spans="1:29" x14ac:dyDescent="0.25">
      <c r="A2" s="338" t="s">
        <v>3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>
        <v>2766.0058408396603</v>
      </c>
      <c r="AA2" s="331"/>
      <c r="AB2" s="331"/>
      <c r="AC2" s="339"/>
    </row>
    <row r="3" spans="1:29" x14ac:dyDescent="0.25">
      <c r="A3" s="338" t="s">
        <v>29</v>
      </c>
      <c r="B3" s="331">
        <v>99.313684884648012</v>
      </c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9"/>
    </row>
    <row r="4" spans="1:29" x14ac:dyDescent="0.25">
      <c r="A4" s="338" t="s">
        <v>60</v>
      </c>
      <c r="B4" s="331">
        <v>412.64815595501244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2">
        <v>0.84169691615856013</v>
      </c>
      <c r="Z4" s="331"/>
      <c r="AA4" s="331"/>
      <c r="AB4" s="331"/>
      <c r="AC4" s="340"/>
    </row>
    <row r="5" spans="1:29" x14ac:dyDescent="0.25">
      <c r="A5" s="338" t="s">
        <v>65</v>
      </c>
      <c r="B5" s="331"/>
      <c r="C5" s="331"/>
      <c r="D5" s="331">
        <v>404.67414309728008</v>
      </c>
      <c r="E5" s="331"/>
      <c r="F5" s="331"/>
      <c r="G5" s="331"/>
      <c r="H5" s="331"/>
      <c r="I5" s="331"/>
      <c r="J5" s="331"/>
      <c r="K5" s="331"/>
      <c r="L5" s="331"/>
      <c r="M5" s="331"/>
      <c r="N5" s="331">
        <v>634.98830850000002</v>
      </c>
      <c r="O5" s="331"/>
      <c r="P5" s="331"/>
      <c r="Q5" s="331"/>
      <c r="R5" s="331"/>
      <c r="S5" s="331"/>
      <c r="T5" s="331">
        <v>833.12839781595403</v>
      </c>
      <c r="U5" s="331"/>
      <c r="V5" s="331"/>
      <c r="W5" s="331">
        <v>9.255374999999999</v>
      </c>
      <c r="X5" s="331"/>
      <c r="Y5" s="332">
        <v>12.470400000000003</v>
      </c>
      <c r="Z5" s="331"/>
      <c r="AA5" s="331"/>
      <c r="AB5" s="331"/>
      <c r="AC5" s="340">
        <f>72.5253270456617+6.293655</f>
        <v>78.818982045661699</v>
      </c>
    </row>
    <row r="6" spans="1:29" x14ac:dyDescent="0.25">
      <c r="A6" s="338" t="s">
        <v>229</v>
      </c>
      <c r="B6" s="331"/>
      <c r="C6" s="331">
        <v>99.239910840000007</v>
      </c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9"/>
    </row>
    <row r="7" spans="1:29" x14ac:dyDescent="0.25">
      <c r="A7" s="338" t="s">
        <v>119</v>
      </c>
      <c r="B7" s="331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>
        <v>4638.5555276987398</v>
      </c>
      <c r="W7" s="331"/>
      <c r="X7" s="331"/>
      <c r="Y7" s="331"/>
      <c r="Z7" s="331"/>
      <c r="AA7" s="331"/>
      <c r="AB7" s="331"/>
      <c r="AC7" s="339"/>
    </row>
    <row r="8" spans="1:29" x14ac:dyDescent="0.25">
      <c r="A8" s="338" t="s">
        <v>235</v>
      </c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9"/>
    </row>
    <row r="9" spans="1:29" x14ac:dyDescent="0.25">
      <c r="A9" s="338" t="s">
        <v>142</v>
      </c>
      <c r="B9" s="331">
        <v>2000.7</v>
      </c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>
        <v>1993.5179999999998</v>
      </c>
      <c r="U9" s="331"/>
      <c r="V9" s="331"/>
      <c r="W9" s="331"/>
      <c r="X9" s="331"/>
      <c r="Y9" s="331"/>
      <c r="Z9" s="331"/>
      <c r="AA9" s="331"/>
      <c r="AB9" s="331"/>
      <c r="AC9" s="339"/>
    </row>
    <row r="10" spans="1:29" x14ac:dyDescent="0.25">
      <c r="A10" s="338" t="s">
        <v>241</v>
      </c>
      <c r="B10" s="331"/>
      <c r="C10" s="331"/>
      <c r="D10" s="331"/>
      <c r="E10" s="331"/>
      <c r="F10" s="331"/>
      <c r="G10" s="331"/>
      <c r="H10" s="331"/>
      <c r="I10" s="331">
        <v>3994.2179999999998</v>
      </c>
      <c r="J10" s="331"/>
      <c r="K10" s="331"/>
      <c r="L10" s="331"/>
      <c r="M10" s="331">
        <v>320.63094624999997</v>
      </c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9"/>
    </row>
    <row r="11" spans="1:29" x14ac:dyDescent="0.25">
      <c r="A11" s="338" t="s">
        <v>213</v>
      </c>
      <c r="B11" s="331"/>
      <c r="C11" s="331"/>
      <c r="D11" s="331"/>
      <c r="E11" s="331">
        <v>1261.1918979588959</v>
      </c>
      <c r="F11" s="331"/>
      <c r="G11" s="331"/>
      <c r="H11" s="331"/>
      <c r="I11" s="331"/>
      <c r="J11" s="331"/>
      <c r="K11" s="331"/>
      <c r="L11" s="331"/>
      <c r="M11" s="331"/>
      <c r="N11" s="331"/>
      <c r="O11" s="331"/>
      <c r="P11" s="331"/>
      <c r="Q11" s="331"/>
      <c r="R11" s="331"/>
      <c r="S11" s="331"/>
      <c r="T11" s="331"/>
      <c r="U11" s="331"/>
      <c r="V11" s="331"/>
      <c r="W11" s="331"/>
      <c r="X11" s="331"/>
      <c r="Y11" s="331">
        <v>0.33391831679015999</v>
      </c>
      <c r="Z11" s="331"/>
      <c r="AA11" s="331"/>
      <c r="AB11" s="331"/>
      <c r="AC11" s="339"/>
    </row>
    <row r="12" spans="1:29" x14ac:dyDescent="0.25">
      <c r="A12" s="338" t="s">
        <v>218</v>
      </c>
      <c r="B12" s="331"/>
      <c r="C12" s="331"/>
      <c r="D12" s="331"/>
      <c r="E12" s="331"/>
      <c r="F12" s="331"/>
      <c r="G12" s="331"/>
      <c r="H12" s="331"/>
      <c r="I12" s="331"/>
      <c r="J12" s="333">
        <v>57.241101581608007</v>
      </c>
      <c r="K12" s="331">
        <v>263.38984466839196</v>
      </c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41"/>
    </row>
    <row r="13" spans="1:29" x14ac:dyDescent="0.25">
      <c r="A13" s="338" t="s">
        <v>222</v>
      </c>
      <c r="B13" s="331"/>
      <c r="C13" s="331"/>
      <c r="D13" s="331"/>
      <c r="E13" s="331"/>
      <c r="F13" s="331"/>
      <c r="G13" s="331"/>
      <c r="H13" s="331"/>
      <c r="I13" s="331"/>
      <c r="J13" s="331"/>
      <c r="K13" s="331"/>
      <c r="L13" s="331">
        <v>320.63094624999997</v>
      </c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41">
        <v>5.67E-2</v>
      </c>
    </row>
    <row r="14" spans="1:29" x14ac:dyDescent="0.25">
      <c r="A14" s="338" t="s">
        <v>265</v>
      </c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>
        <v>8710.6889999999985</v>
      </c>
      <c r="AA14" s="331"/>
      <c r="AB14" s="331"/>
      <c r="AC14" s="339"/>
    </row>
    <row r="15" spans="1:29" x14ac:dyDescent="0.25">
      <c r="A15" s="338" t="s">
        <v>294</v>
      </c>
      <c r="B15" s="331"/>
      <c r="C15" s="331"/>
      <c r="D15" s="331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>
        <v>5847.9506010000005</v>
      </c>
      <c r="Q15" s="331"/>
      <c r="R15" s="331">
        <v>86.145120000000006</v>
      </c>
      <c r="S15" s="331">
        <v>225.018</v>
      </c>
      <c r="T15" s="331"/>
      <c r="U15" s="331"/>
      <c r="V15" s="331"/>
      <c r="W15" s="331"/>
      <c r="X15" s="331"/>
      <c r="Y15" s="331"/>
      <c r="Z15" s="331"/>
      <c r="AA15" s="331"/>
      <c r="AB15" s="331"/>
      <c r="AC15" s="339"/>
    </row>
    <row r="16" spans="1:29" x14ac:dyDescent="0.25">
      <c r="A16" s="338" t="s">
        <v>295</v>
      </c>
      <c r="B16" s="331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>
        <v>57.900501000000077</v>
      </c>
      <c r="P16" s="331"/>
      <c r="Q16" s="331">
        <v>5790.0501000000004</v>
      </c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9"/>
    </row>
    <row r="17" spans="1:29" x14ac:dyDescent="0.25">
      <c r="A17" s="338" t="s">
        <v>291</v>
      </c>
      <c r="B17" s="331"/>
      <c r="C17" s="331"/>
      <c r="D17" s="331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>
        <v>5789.47109499</v>
      </c>
      <c r="S17" s="331"/>
      <c r="T17" s="331"/>
      <c r="U17" s="331"/>
      <c r="V17" s="331"/>
      <c r="W17" s="331"/>
      <c r="X17" s="331"/>
      <c r="Y17" s="331">
        <v>0.57900501000040094</v>
      </c>
      <c r="Z17" s="331"/>
      <c r="AA17" s="331"/>
      <c r="AB17" s="331"/>
      <c r="AC17" s="339"/>
    </row>
    <row r="18" spans="1:29" x14ac:dyDescent="0.25">
      <c r="A18" s="338" t="s">
        <v>292</v>
      </c>
      <c r="B18" s="331"/>
      <c r="C18" s="331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>
        <v>5875.6162149900001</v>
      </c>
      <c r="T18" s="331"/>
      <c r="U18" s="331"/>
      <c r="V18" s="331"/>
      <c r="W18" s="331"/>
      <c r="X18" s="331"/>
      <c r="Y18" s="331"/>
      <c r="Z18" s="331"/>
      <c r="AA18" s="331"/>
      <c r="AB18" s="331"/>
      <c r="AC18" s="339"/>
    </row>
    <row r="19" spans="1:29" x14ac:dyDescent="0.25">
      <c r="A19" s="338" t="s">
        <v>296</v>
      </c>
      <c r="B19" s="331"/>
      <c r="C19" s="331"/>
      <c r="D19" s="331"/>
      <c r="E19" s="331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>
        <v>6100.6342149900001</v>
      </c>
      <c r="AA19" s="331"/>
      <c r="AB19" s="331"/>
      <c r="AC19" s="339"/>
    </row>
    <row r="20" spans="1:29" x14ac:dyDescent="0.25">
      <c r="A20" s="338" t="s">
        <v>237</v>
      </c>
      <c r="B20" s="331"/>
      <c r="C20" s="331"/>
      <c r="D20" s="331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>
        <v>15377.29811542937</v>
      </c>
      <c r="AA20" s="331"/>
      <c r="AB20" s="331"/>
      <c r="AC20" s="339"/>
    </row>
    <row r="21" spans="1:29" x14ac:dyDescent="0.25">
      <c r="A21" s="338" t="s">
        <v>85</v>
      </c>
      <c r="B21" s="331">
        <v>253.34399999999999</v>
      </c>
      <c r="C21" s="331"/>
      <c r="D21" s="331"/>
      <c r="E21" s="331"/>
      <c r="F21" s="331"/>
      <c r="G21" s="331"/>
      <c r="H21" s="331">
        <v>324.15161386632229</v>
      </c>
      <c r="I21" s="331"/>
      <c r="J21" s="331">
        <v>4404.0067739414171</v>
      </c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9"/>
    </row>
    <row r="22" spans="1:29" x14ac:dyDescent="0.25">
      <c r="A22" s="338" t="s">
        <v>84</v>
      </c>
      <c r="B22" s="331"/>
      <c r="C22" s="331"/>
      <c r="D22" s="331"/>
      <c r="E22" s="331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>
        <v>4981.50238780774</v>
      </c>
      <c r="V22" s="331"/>
      <c r="W22" s="331"/>
      <c r="X22" s="331"/>
      <c r="Y22" s="331"/>
      <c r="Z22" s="331"/>
      <c r="AA22" s="331"/>
      <c r="AB22" s="331"/>
      <c r="AC22" s="339"/>
    </row>
    <row r="23" spans="1:29" x14ac:dyDescent="0.25">
      <c r="A23" s="338" t="s">
        <v>72</v>
      </c>
      <c r="B23" s="331"/>
      <c r="C23" s="331"/>
      <c r="D23" s="331"/>
      <c r="E23" s="331"/>
      <c r="F23" s="331">
        <v>12.639910839999999</v>
      </c>
      <c r="G23" s="331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  <c r="AC23" s="339"/>
    </row>
    <row r="24" spans="1:29" x14ac:dyDescent="0.25">
      <c r="A24" s="338" t="s">
        <v>239</v>
      </c>
      <c r="B24" s="331"/>
      <c r="C24" s="331"/>
      <c r="D24" s="331"/>
      <c r="E24" s="331"/>
      <c r="F24" s="333">
        <v>6.3503549999999995</v>
      </c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42">
        <v>23.248000000000001</v>
      </c>
      <c r="U24" s="331"/>
      <c r="V24" s="331"/>
      <c r="W24" s="331"/>
      <c r="X24" s="331"/>
      <c r="Y24" s="331"/>
      <c r="Z24" s="331"/>
      <c r="AA24" s="331"/>
      <c r="AB24" s="331"/>
      <c r="AC24" s="339"/>
    </row>
    <row r="25" spans="1:29" x14ac:dyDescent="0.25">
      <c r="A25" s="338" t="s">
        <v>226</v>
      </c>
      <c r="B25" s="331"/>
      <c r="C25" s="331"/>
      <c r="D25" s="331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  <c r="AA25" s="331"/>
      <c r="AB25" s="331"/>
      <c r="AC25" s="339"/>
    </row>
    <row r="26" spans="1:29" x14ac:dyDescent="0.25">
      <c r="A26" s="338" t="s">
        <v>52</v>
      </c>
      <c r="B26" s="331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  <c r="AC26" s="339"/>
    </row>
    <row r="27" spans="1:29" x14ac:dyDescent="0.25">
      <c r="A27" s="338" t="s">
        <v>51</v>
      </c>
      <c r="B27" s="331"/>
      <c r="C27" s="331">
        <v>7.3774044648000012E-2</v>
      </c>
      <c r="D27" s="331">
        <v>25.161857218530983</v>
      </c>
      <c r="E27" s="331">
        <v>712.15070850000006</v>
      </c>
      <c r="F27" s="331">
        <v>80.249645000000015</v>
      </c>
      <c r="G27" s="331">
        <v>4638.5555276987398</v>
      </c>
      <c r="H27" s="331"/>
      <c r="I27" s="331"/>
      <c r="J27" s="331"/>
      <c r="K27" s="331">
        <v>997.80205329050386</v>
      </c>
      <c r="L27" s="331"/>
      <c r="M27" s="331"/>
      <c r="N27" s="331">
        <v>18.066444499999999</v>
      </c>
      <c r="O27" s="331"/>
      <c r="P27" s="331"/>
      <c r="Q27" s="331"/>
      <c r="R27" s="331"/>
      <c r="S27" s="331"/>
      <c r="T27" s="331">
        <v>12527.403717613415</v>
      </c>
      <c r="U27" s="331"/>
      <c r="V27" s="331"/>
      <c r="W27" s="331">
        <v>3.3845358400000003</v>
      </c>
      <c r="X27" s="334"/>
      <c r="Y27" s="331"/>
      <c r="Z27" s="331"/>
      <c r="AA27" s="331"/>
      <c r="AB27" s="331"/>
      <c r="AC27" s="339"/>
    </row>
    <row r="28" spans="1:29" ht="15.75" thickBot="1" x14ac:dyDescent="0.3">
      <c r="A28" s="343" t="s">
        <v>232</v>
      </c>
      <c r="B28" s="344"/>
      <c r="C28" s="344"/>
      <c r="D28" s="344"/>
      <c r="E28" s="344">
        <v>13.200000000000001</v>
      </c>
      <c r="F28" s="344"/>
      <c r="G28" s="344"/>
      <c r="H28" s="344"/>
      <c r="I28" s="344"/>
      <c r="J28" s="344"/>
      <c r="K28" s="344"/>
      <c r="L28" s="344"/>
      <c r="M28" s="344"/>
      <c r="N28" s="344"/>
      <c r="O28" s="344"/>
      <c r="P28" s="344"/>
      <c r="Q28" s="344"/>
      <c r="R28" s="344"/>
      <c r="S28" s="344"/>
      <c r="T28" s="344"/>
      <c r="U28" s="344"/>
      <c r="V28" s="344"/>
      <c r="W28" s="344"/>
      <c r="X28" s="345">
        <v>29.598355000000002</v>
      </c>
      <c r="Y28" s="344"/>
      <c r="Z28" s="344"/>
      <c r="AA28" s="344"/>
      <c r="AB28" s="344"/>
      <c r="AC28" s="346"/>
    </row>
    <row r="32" spans="1:29" ht="15.75" thickBot="1" x14ac:dyDescent="0.3"/>
    <row r="33" spans="1:30" x14ac:dyDescent="0.25">
      <c r="A33" s="189"/>
      <c r="B33" s="347" t="s">
        <v>227</v>
      </c>
      <c r="C33" s="336" t="s">
        <v>3</v>
      </c>
      <c r="D33" s="336" t="s">
        <v>29</v>
      </c>
      <c r="E33" s="336" t="s">
        <v>60</v>
      </c>
      <c r="F33" s="336" t="s">
        <v>65</v>
      </c>
      <c r="G33" s="336" t="s">
        <v>229</v>
      </c>
      <c r="H33" s="336" t="s">
        <v>119</v>
      </c>
      <c r="I33" s="336" t="s">
        <v>235</v>
      </c>
      <c r="J33" s="336" t="s">
        <v>142</v>
      </c>
      <c r="K33" s="336" t="s">
        <v>241</v>
      </c>
      <c r="L33" s="336" t="s">
        <v>213</v>
      </c>
      <c r="M33" s="336" t="s">
        <v>218</v>
      </c>
      <c r="N33" s="336" t="s">
        <v>222</v>
      </c>
      <c r="O33" s="336" t="s">
        <v>265</v>
      </c>
      <c r="P33" s="336" t="s">
        <v>294</v>
      </c>
      <c r="Q33" s="336" t="s">
        <v>295</v>
      </c>
      <c r="R33" s="336" t="s">
        <v>291</v>
      </c>
      <c r="S33" s="336" t="s">
        <v>292</v>
      </c>
      <c r="T33" s="336" t="s">
        <v>296</v>
      </c>
      <c r="U33" s="336" t="s">
        <v>237</v>
      </c>
      <c r="V33" s="336" t="s">
        <v>85</v>
      </c>
      <c r="W33" s="336" t="s">
        <v>84</v>
      </c>
      <c r="X33" s="336" t="s">
        <v>72</v>
      </c>
      <c r="Y33" s="336" t="s">
        <v>239</v>
      </c>
      <c r="Z33" s="336" t="s">
        <v>226</v>
      </c>
      <c r="AA33" s="336" t="s">
        <v>52</v>
      </c>
      <c r="AB33" s="336" t="s">
        <v>51</v>
      </c>
      <c r="AC33" s="336"/>
      <c r="AD33" s="337" t="s">
        <v>232</v>
      </c>
    </row>
    <row r="34" spans="1:30" x14ac:dyDescent="0.25">
      <c r="A34" s="193"/>
      <c r="B34" s="338" t="s">
        <v>3</v>
      </c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>
        <v>2766.0058408396603</v>
      </c>
      <c r="AB34" s="331"/>
      <c r="AC34" s="331"/>
      <c r="AD34" s="339"/>
    </row>
    <row r="35" spans="1:30" x14ac:dyDescent="0.25">
      <c r="A35" s="193"/>
      <c r="B35" s="338" t="s">
        <v>29</v>
      </c>
      <c r="C35" s="331">
        <v>99.313684884648012</v>
      </c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9"/>
    </row>
    <row r="36" spans="1:30" x14ac:dyDescent="0.25">
      <c r="A36" s="193"/>
      <c r="B36" s="338" t="s">
        <v>60</v>
      </c>
      <c r="C36" s="331">
        <v>412.64815595501244</v>
      </c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2">
        <v>0.84169691615856013</v>
      </c>
      <c r="AA36" s="331"/>
      <c r="AB36" s="331"/>
      <c r="AC36" s="331"/>
      <c r="AD36" s="340"/>
    </row>
    <row r="37" spans="1:30" x14ac:dyDescent="0.25">
      <c r="A37" s="203"/>
      <c r="B37" s="338" t="s">
        <v>65</v>
      </c>
      <c r="C37" s="331"/>
      <c r="D37" s="331"/>
      <c r="E37" s="331">
        <v>404.67414309728008</v>
      </c>
      <c r="F37" s="331"/>
      <c r="G37" s="331"/>
      <c r="H37" s="331"/>
      <c r="I37" s="331"/>
      <c r="J37" s="331"/>
      <c r="K37" s="331"/>
      <c r="L37" s="331"/>
      <c r="M37" s="331"/>
      <c r="N37" s="331"/>
      <c r="O37" s="331">
        <v>634.98830850000002</v>
      </c>
      <c r="P37" s="331"/>
      <c r="Q37" s="331"/>
      <c r="R37" s="331"/>
      <c r="S37" s="331"/>
      <c r="T37" s="331"/>
      <c r="U37" s="331">
        <v>833.12839781595403</v>
      </c>
      <c r="V37" s="331"/>
      <c r="W37" s="331"/>
      <c r="X37" s="331">
        <v>9.2553750000000008</v>
      </c>
      <c r="Y37" s="331"/>
      <c r="Z37" s="332">
        <v>12.470400000000003</v>
      </c>
      <c r="AA37" s="331"/>
      <c r="AB37" s="331"/>
      <c r="AC37" s="331"/>
      <c r="AD37" s="340">
        <f>72.5253270456617+6.293655</f>
        <v>78.818982045661699</v>
      </c>
    </row>
    <row r="38" spans="1:30" x14ac:dyDescent="0.25">
      <c r="A38" s="193"/>
      <c r="B38" s="338" t="s">
        <v>229</v>
      </c>
      <c r="C38" s="331"/>
      <c r="D38" s="331">
        <v>99.239910840000007</v>
      </c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  <c r="AC38" s="331"/>
      <c r="AD38" s="339"/>
    </row>
    <row r="39" spans="1:30" x14ac:dyDescent="0.25">
      <c r="A39" s="203"/>
      <c r="B39" s="338" t="s">
        <v>119</v>
      </c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>
        <v>4638.5555276987398</v>
      </c>
      <c r="X39" s="331"/>
      <c r="Y39" s="331"/>
      <c r="Z39" s="331"/>
      <c r="AA39" s="331"/>
      <c r="AB39" s="331"/>
      <c r="AC39" s="331"/>
      <c r="AD39" s="339"/>
    </row>
    <row r="40" spans="1:30" s="219" customFormat="1" x14ac:dyDescent="0.25">
      <c r="B40" s="360" t="s">
        <v>235</v>
      </c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  <c r="AA40" s="357"/>
      <c r="AB40" s="357"/>
      <c r="AC40" s="357"/>
      <c r="AD40" s="361"/>
    </row>
    <row r="41" spans="1:30" x14ac:dyDescent="0.25">
      <c r="B41" s="338" t="s">
        <v>142</v>
      </c>
      <c r="C41" s="331">
        <v>2000.7</v>
      </c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>
        <v>1993.5179999999998</v>
      </c>
      <c r="V41" s="331"/>
      <c r="W41" s="331"/>
      <c r="X41" s="331"/>
      <c r="Y41" s="331"/>
      <c r="Z41" s="331"/>
      <c r="AA41" s="331"/>
      <c r="AB41" s="331"/>
      <c r="AC41" s="331"/>
      <c r="AD41" s="339"/>
    </row>
    <row r="42" spans="1:30" s="219" customFormat="1" x14ac:dyDescent="0.25">
      <c r="B42" s="360" t="s">
        <v>241</v>
      </c>
      <c r="C42" s="357"/>
      <c r="D42" s="357"/>
      <c r="E42" s="357"/>
      <c r="F42" s="357"/>
      <c r="G42" s="357"/>
      <c r="H42" s="357"/>
      <c r="I42" s="357"/>
      <c r="J42" s="357">
        <v>3994.2179999999998</v>
      </c>
      <c r="K42" s="357"/>
      <c r="L42" s="357"/>
      <c r="M42" s="357"/>
      <c r="N42" s="357">
        <v>320.63094624999997</v>
      </c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  <c r="AA42" s="357"/>
      <c r="AB42" s="357"/>
      <c r="AC42" s="357"/>
      <c r="AD42" s="361"/>
    </row>
    <row r="43" spans="1:30" x14ac:dyDescent="0.25">
      <c r="B43" s="338" t="s">
        <v>213</v>
      </c>
      <c r="C43" s="331"/>
      <c r="D43" s="331"/>
      <c r="E43" s="331"/>
      <c r="F43" s="331">
        <v>1261.1918979588959</v>
      </c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>
        <v>0.33391831679015999</v>
      </c>
      <c r="AA43" s="331"/>
      <c r="AB43" s="331"/>
      <c r="AC43" s="331"/>
      <c r="AD43" s="339"/>
    </row>
    <row r="44" spans="1:30" x14ac:dyDescent="0.25">
      <c r="B44" s="338" t="s">
        <v>218</v>
      </c>
      <c r="C44" s="331"/>
      <c r="D44" s="331"/>
      <c r="E44" s="331"/>
      <c r="F44" s="331"/>
      <c r="G44" s="331"/>
      <c r="H44" s="331"/>
      <c r="I44" s="331"/>
      <c r="J44" s="331"/>
      <c r="K44" s="333">
        <v>57.241101581608007</v>
      </c>
      <c r="L44" s="331">
        <v>263.38984466839196</v>
      </c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41"/>
    </row>
    <row r="45" spans="1:30" x14ac:dyDescent="0.25">
      <c r="B45" s="338" t="s">
        <v>222</v>
      </c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>
        <v>320.63094624999997</v>
      </c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41">
        <v>5.67E-2</v>
      </c>
    </row>
    <row r="46" spans="1:30" x14ac:dyDescent="0.25">
      <c r="B46" s="338" t="s">
        <v>265</v>
      </c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>
        <v>8710.6889999999985</v>
      </c>
      <c r="AB46" s="331"/>
      <c r="AC46" s="331"/>
      <c r="AD46" s="339"/>
    </row>
    <row r="47" spans="1:30" s="219" customFormat="1" x14ac:dyDescent="0.25">
      <c r="B47" s="360" t="s">
        <v>294</v>
      </c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>
        <v>5847.9506010000005</v>
      </c>
      <c r="R47" s="357"/>
      <c r="S47" s="357">
        <v>86.145120000000006</v>
      </c>
      <c r="T47" s="357">
        <v>225.018</v>
      </c>
      <c r="U47" s="357"/>
      <c r="V47" s="357"/>
      <c r="W47" s="357"/>
      <c r="X47" s="357"/>
      <c r="Y47" s="357"/>
      <c r="Z47" s="357"/>
      <c r="AA47" s="357"/>
      <c r="AB47" s="357"/>
      <c r="AC47" s="357"/>
      <c r="AD47" s="361"/>
    </row>
    <row r="48" spans="1:30" x14ac:dyDescent="0.25">
      <c r="B48" s="338" t="s">
        <v>295</v>
      </c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>
        <v>57.900501000000077</v>
      </c>
      <c r="Q48" s="331"/>
      <c r="R48" s="331">
        <v>5790.0501000000004</v>
      </c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9"/>
    </row>
    <row r="49" spans="1:30" x14ac:dyDescent="0.25">
      <c r="B49" s="338" t="s">
        <v>291</v>
      </c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>
        <v>5789.47109499</v>
      </c>
      <c r="T49" s="331"/>
      <c r="U49" s="331"/>
      <c r="V49" s="331"/>
      <c r="W49" s="331"/>
      <c r="X49" s="331"/>
      <c r="Y49" s="331"/>
      <c r="Z49" s="331">
        <v>0.57900501000040094</v>
      </c>
      <c r="AA49" s="331"/>
      <c r="AB49" s="331"/>
      <c r="AC49" s="331"/>
      <c r="AD49" s="339"/>
    </row>
    <row r="50" spans="1:30" x14ac:dyDescent="0.25">
      <c r="B50" s="338" t="s">
        <v>292</v>
      </c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>
        <v>5875.6162149900001</v>
      </c>
      <c r="U50" s="331"/>
      <c r="V50" s="331"/>
      <c r="W50" s="331"/>
      <c r="X50" s="331"/>
      <c r="Y50" s="331"/>
      <c r="Z50" s="331"/>
      <c r="AA50" s="331"/>
      <c r="AB50" s="331"/>
      <c r="AC50" s="331"/>
      <c r="AD50" s="339"/>
    </row>
    <row r="51" spans="1:30" x14ac:dyDescent="0.25">
      <c r="B51" s="338" t="s">
        <v>296</v>
      </c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>
        <v>6100.6342149900001</v>
      </c>
      <c r="AB51" s="331"/>
      <c r="AC51" s="331"/>
      <c r="AD51" s="339"/>
    </row>
    <row r="52" spans="1:30" x14ac:dyDescent="0.25">
      <c r="B52" s="338" t="s">
        <v>237</v>
      </c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>
        <v>15377.29811542937</v>
      </c>
      <c r="AB52" s="331"/>
      <c r="AC52" s="331"/>
      <c r="AD52" s="339"/>
    </row>
    <row r="53" spans="1:30" x14ac:dyDescent="0.25">
      <c r="B53" s="338" t="s">
        <v>85</v>
      </c>
      <c r="C53" s="331">
        <v>253.34399999999999</v>
      </c>
      <c r="D53" s="331"/>
      <c r="E53" s="331"/>
      <c r="F53" s="331"/>
      <c r="G53" s="331"/>
      <c r="H53" s="331"/>
      <c r="I53" s="331">
        <v>324.15161386632229</v>
      </c>
      <c r="J53" s="331"/>
      <c r="K53" s="331">
        <v>4404.0067739414171</v>
      </c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9"/>
    </row>
    <row r="54" spans="1:30" x14ac:dyDescent="0.25">
      <c r="A54" s="193"/>
      <c r="B54" s="338" t="s">
        <v>84</v>
      </c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>
        <v>4981.50238780774</v>
      </c>
      <c r="W54" s="331"/>
      <c r="X54" s="331"/>
      <c r="Y54" s="331"/>
      <c r="Z54" s="331"/>
      <c r="AA54" s="331"/>
      <c r="AB54" s="331"/>
      <c r="AC54" s="331"/>
      <c r="AD54" s="339"/>
    </row>
    <row r="55" spans="1:30" x14ac:dyDescent="0.25">
      <c r="A55" s="205"/>
      <c r="B55" s="338" t="s">
        <v>72</v>
      </c>
      <c r="C55" s="331"/>
      <c r="D55" s="331"/>
      <c r="E55" s="331"/>
      <c r="F55" s="331"/>
      <c r="G55" s="331">
        <v>12.639910839999999</v>
      </c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  <c r="AA55" s="331"/>
      <c r="AB55" s="331"/>
      <c r="AC55" s="331"/>
      <c r="AD55" s="339"/>
    </row>
    <row r="56" spans="1:30" x14ac:dyDescent="0.25">
      <c r="A56" s="193"/>
      <c r="B56" s="338" t="s">
        <v>239</v>
      </c>
      <c r="C56" s="331"/>
      <c r="D56" s="331"/>
      <c r="E56" s="331"/>
      <c r="F56" s="331"/>
      <c r="G56" s="333">
        <v>6.3503549999999995</v>
      </c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42">
        <v>23.248000000000001</v>
      </c>
      <c r="V56" s="331"/>
      <c r="W56" s="331"/>
      <c r="X56" s="331"/>
      <c r="Y56" s="331"/>
      <c r="Z56" s="331"/>
      <c r="AA56" s="331"/>
      <c r="AB56" s="331"/>
      <c r="AC56" s="331"/>
      <c r="AD56" s="339"/>
    </row>
    <row r="57" spans="1:30" s="219" customFormat="1" x14ac:dyDescent="0.25">
      <c r="A57" s="359"/>
      <c r="B57" s="360" t="s">
        <v>226</v>
      </c>
      <c r="C57" s="357"/>
      <c r="D57" s="357"/>
      <c r="E57" s="357"/>
      <c r="F57" s="357"/>
      <c r="G57" s="357"/>
      <c r="H57" s="357"/>
      <c r="I57" s="357"/>
      <c r="J57" s="357"/>
      <c r="K57" s="357"/>
      <c r="L57" s="357"/>
      <c r="M57" s="357"/>
      <c r="N57" s="357"/>
      <c r="O57" s="357"/>
      <c r="P57" s="357"/>
      <c r="Q57" s="357"/>
      <c r="R57" s="357"/>
      <c r="S57" s="357"/>
      <c r="T57" s="357"/>
      <c r="U57" s="357"/>
      <c r="V57" s="357"/>
      <c r="W57" s="357"/>
      <c r="X57" s="357"/>
      <c r="Y57" s="357"/>
      <c r="Z57" s="357"/>
      <c r="AA57" s="357"/>
      <c r="AB57" s="357"/>
      <c r="AC57" s="357"/>
      <c r="AD57" s="361"/>
    </row>
    <row r="58" spans="1:30" s="219" customFormat="1" x14ac:dyDescent="0.25">
      <c r="A58" s="359"/>
      <c r="B58" s="360" t="s">
        <v>52</v>
      </c>
      <c r="C58" s="357"/>
      <c r="D58" s="357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57"/>
      <c r="P58" s="357"/>
      <c r="Q58" s="357"/>
      <c r="R58" s="357"/>
      <c r="S58" s="357"/>
      <c r="T58" s="357"/>
      <c r="U58" s="357"/>
      <c r="V58" s="357"/>
      <c r="W58" s="357"/>
      <c r="X58" s="357"/>
      <c r="Y58" s="357"/>
      <c r="Z58" s="357"/>
      <c r="AA58" s="357"/>
      <c r="AB58" s="357"/>
      <c r="AC58" s="357"/>
      <c r="AD58" s="361"/>
    </row>
    <row r="59" spans="1:30" s="219" customFormat="1" x14ac:dyDescent="0.25">
      <c r="A59" s="359"/>
      <c r="B59" s="360" t="s">
        <v>51</v>
      </c>
      <c r="C59" s="357"/>
      <c r="D59" s="357">
        <v>7.3774044648000012E-2</v>
      </c>
      <c r="E59" s="357">
        <v>25.161857218530983</v>
      </c>
      <c r="F59" s="357">
        <v>712.15070850000006</v>
      </c>
      <c r="G59" s="357">
        <v>80.249645000000015</v>
      </c>
      <c r="H59" s="357">
        <v>4638.5555276987398</v>
      </c>
      <c r="I59" s="357"/>
      <c r="J59" s="357"/>
      <c r="K59" s="357"/>
      <c r="L59" s="357">
        <v>997.80205329050386</v>
      </c>
      <c r="M59" s="357"/>
      <c r="N59" s="357"/>
      <c r="O59" s="357">
        <v>8075.7006915000002</v>
      </c>
      <c r="P59" s="357"/>
      <c r="Q59" s="357"/>
      <c r="R59" s="357"/>
      <c r="S59" s="357"/>
      <c r="T59" s="357"/>
      <c r="U59" s="357">
        <v>12527.403717613415</v>
      </c>
      <c r="V59" s="357"/>
      <c r="W59" s="357"/>
      <c r="X59" s="357">
        <v>3.3845358400000003</v>
      </c>
      <c r="Y59" s="358"/>
      <c r="Z59" s="357"/>
      <c r="AA59" s="357"/>
      <c r="AB59" s="357"/>
      <c r="AC59" s="357"/>
      <c r="AD59" s="361"/>
    </row>
    <row r="60" spans="1:30" s="219" customFormat="1" ht="15.75" thickBot="1" x14ac:dyDescent="0.3">
      <c r="A60" s="359"/>
      <c r="B60" s="362" t="s">
        <v>232</v>
      </c>
      <c r="C60" s="363"/>
      <c r="D60" s="363"/>
      <c r="E60" s="363"/>
      <c r="F60" s="363">
        <v>13.200000000000001</v>
      </c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4">
        <v>29.598355000000002</v>
      </c>
      <c r="Z60" s="363"/>
      <c r="AA60" s="363"/>
      <c r="AB60" s="363"/>
      <c r="AC60" s="363"/>
      <c r="AD60" s="365"/>
    </row>
    <row r="61" spans="1:30" x14ac:dyDescent="0.25">
      <c r="A61" s="196"/>
    </row>
    <row r="64" spans="1:30" ht="15.75" thickBot="1" x14ac:dyDescent="0.3"/>
    <row r="65" spans="37:58" x14ac:dyDescent="0.25">
      <c r="AK65" s="189"/>
      <c r="AL65" s="347" t="s">
        <v>227</v>
      </c>
      <c r="AM65" s="336" t="s">
        <v>3</v>
      </c>
      <c r="AN65" s="336" t="s">
        <v>29</v>
      </c>
      <c r="AO65" s="336" t="s">
        <v>60</v>
      </c>
      <c r="AP65" s="336" t="s">
        <v>65</v>
      </c>
      <c r="AQ65" s="336" t="s">
        <v>229</v>
      </c>
      <c r="AR65" s="336" t="s">
        <v>119</v>
      </c>
      <c r="AS65" s="336" t="s">
        <v>142</v>
      </c>
      <c r="AT65" s="336" t="s">
        <v>213</v>
      </c>
      <c r="AU65" s="336" t="s">
        <v>218</v>
      </c>
      <c r="AV65" s="336" t="s">
        <v>222</v>
      </c>
      <c r="AW65" s="336" t="s">
        <v>265</v>
      </c>
      <c r="AX65" s="336" t="s">
        <v>295</v>
      </c>
      <c r="AY65" s="336" t="s">
        <v>291</v>
      </c>
      <c r="AZ65" s="336" t="s">
        <v>292</v>
      </c>
      <c r="BA65" s="336" t="s">
        <v>296</v>
      </c>
      <c r="BB65" s="336" t="s">
        <v>237</v>
      </c>
      <c r="BC65" s="336" t="s">
        <v>85</v>
      </c>
      <c r="BD65" s="336" t="s">
        <v>84</v>
      </c>
      <c r="BE65" s="336" t="s">
        <v>72</v>
      </c>
      <c r="BF65" s="336" t="s">
        <v>239</v>
      </c>
    </row>
    <row r="66" spans="37:58" x14ac:dyDescent="0.25">
      <c r="AK66" s="193"/>
      <c r="AL66" s="338" t="s">
        <v>3</v>
      </c>
      <c r="AM66" s="331"/>
      <c r="AN66" s="331"/>
      <c r="AO66" s="331"/>
      <c r="AP66" s="331"/>
      <c r="AQ66" s="331"/>
      <c r="AR66" s="331"/>
      <c r="AS66" s="331"/>
      <c r="AT66" s="331"/>
      <c r="AU66" s="331"/>
      <c r="AV66" s="331"/>
      <c r="AW66" s="331"/>
      <c r="AX66" s="331"/>
      <c r="AY66" s="331"/>
      <c r="AZ66" s="331"/>
      <c r="BA66" s="331"/>
      <c r="BB66" s="331"/>
      <c r="BC66" s="331"/>
      <c r="BD66" s="331"/>
      <c r="BE66" s="331"/>
      <c r="BF66" s="331"/>
    </row>
    <row r="67" spans="37:58" x14ac:dyDescent="0.25">
      <c r="AK67" s="193"/>
      <c r="AL67" s="338" t="s">
        <v>29</v>
      </c>
      <c r="AM67" s="331">
        <v>99.313684884648012</v>
      </c>
      <c r="AN67" s="331"/>
      <c r="AO67" s="331"/>
      <c r="AP67" s="331"/>
      <c r="AQ67" s="331"/>
      <c r="AR67" s="331"/>
      <c r="AS67" s="331"/>
      <c r="AT67" s="331"/>
      <c r="AU67" s="331"/>
      <c r="AV67" s="331"/>
      <c r="AW67" s="331"/>
      <c r="AX67" s="331"/>
      <c r="AY67" s="331"/>
      <c r="AZ67" s="331"/>
      <c r="BA67" s="331"/>
      <c r="BB67" s="331"/>
      <c r="BC67" s="331"/>
      <c r="BD67" s="331"/>
      <c r="BE67" s="331"/>
      <c r="BF67" s="331"/>
    </row>
    <row r="68" spans="37:58" x14ac:dyDescent="0.25">
      <c r="AK68" s="193"/>
      <c r="AL68" s="338" t="s">
        <v>60</v>
      </c>
      <c r="AM68" s="331">
        <v>412.64815595501244</v>
      </c>
      <c r="AN68" s="331"/>
      <c r="AO68" s="331"/>
      <c r="AP68" s="331"/>
      <c r="AQ68" s="331"/>
      <c r="AR68" s="331"/>
      <c r="AS68" s="331"/>
      <c r="AT68" s="331"/>
      <c r="AU68" s="331"/>
      <c r="AV68" s="331"/>
      <c r="AW68" s="331"/>
      <c r="AX68" s="331"/>
      <c r="AY68" s="331"/>
      <c r="AZ68" s="331"/>
      <c r="BA68" s="331"/>
      <c r="BB68" s="331"/>
      <c r="BC68" s="331"/>
      <c r="BD68" s="331"/>
      <c r="BE68" s="331"/>
      <c r="BF68" s="331"/>
    </row>
    <row r="69" spans="37:58" x14ac:dyDescent="0.25">
      <c r="AK69" s="203"/>
      <c r="AL69" s="338" t="s">
        <v>65</v>
      </c>
      <c r="AM69" s="331"/>
      <c r="AN69" s="331"/>
      <c r="AO69" s="331">
        <v>404.67414309728008</v>
      </c>
      <c r="AP69" s="331"/>
      <c r="AQ69" s="331"/>
      <c r="AR69" s="331"/>
      <c r="AS69" s="331"/>
      <c r="AT69" s="331"/>
      <c r="AU69" s="331"/>
      <c r="AV69" s="331"/>
      <c r="AW69" s="331">
        <v>634.98830850000002</v>
      </c>
      <c r="AX69" s="331"/>
      <c r="AY69" s="331"/>
      <c r="AZ69" s="331"/>
      <c r="BA69" s="331"/>
      <c r="BB69" s="331">
        <v>833.12839781595403</v>
      </c>
      <c r="BC69" s="331"/>
      <c r="BD69" s="331"/>
      <c r="BE69" s="331">
        <v>9.2553750000000008</v>
      </c>
      <c r="BF69" s="331"/>
    </row>
    <row r="70" spans="37:58" x14ac:dyDescent="0.25">
      <c r="AK70" s="193"/>
      <c r="AL70" s="338" t="s">
        <v>229</v>
      </c>
      <c r="AM70" s="331"/>
      <c r="AN70" s="331">
        <v>99.239910840000007</v>
      </c>
      <c r="AO70" s="331"/>
      <c r="AP70" s="331"/>
      <c r="AQ70" s="331"/>
      <c r="AR70" s="331"/>
      <c r="AS70" s="331"/>
      <c r="AT70" s="331"/>
      <c r="AU70" s="331"/>
      <c r="AV70" s="331"/>
      <c r="AW70" s="331"/>
      <c r="AX70" s="331"/>
      <c r="AY70" s="331"/>
      <c r="AZ70" s="331"/>
      <c r="BA70" s="331"/>
      <c r="BB70" s="331"/>
      <c r="BC70" s="331"/>
      <c r="BD70" s="331"/>
      <c r="BE70" s="331"/>
      <c r="BF70" s="331"/>
    </row>
    <row r="71" spans="37:58" x14ac:dyDescent="0.25">
      <c r="AK71" s="203"/>
      <c r="AL71" s="338" t="s">
        <v>119</v>
      </c>
      <c r="AM71" s="331"/>
      <c r="AN71" s="331"/>
      <c r="AO71" s="331"/>
      <c r="AP71" s="331"/>
      <c r="AQ71" s="331"/>
      <c r="AR71" s="331"/>
      <c r="AS71" s="331"/>
      <c r="AT71" s="331"/>
      <c r="AU71" s="331"/>
      <c r="AV71" s="331"/>
      <c r="AW71" s="331"/>
      <c r="AX71" s="331"/>
      <c r="AY71" s="331"/>
      <c r="AZ71" s="331"/>
      <c r="BA71" s="331"/>
      <c r="BB71" s="331"/>
      <c r="BC71" s="331"/>
      <c r="BD71" s="331">
        <v>4638.5555276987398</v>
      </c>
      <c r="BE71" s="331"/>
      <c r="BF71" s="331"/>
    </row>
    <row r="72" spans="37:58" x14ac:dyDescent="0.25">
      <c r="AL72" s="338" t="s">
        <v>142</v>
      </c>
      <c r="AM72" s="331">
        <v>2000.7</v>
      </c>
      <c r="AN72" s="331"/>
      <c r="AO72" s="331"/>
      <c r="AP72" s="331"/>
      <c r="AQ72" s="331"/>
      <c r="AR72" s="331"/>
      <c r="AS72" s="331"/>
      <c r="AT72" s="331"/>
      <c r="AU72" s="331"/>
      <c r="AV72" s="331"/>
      <c r="AW72" s="331"/>
      <c r="AX72" s="331"/>
      <c r="AY72" s="331"/>
      <c r="AZ72" s="331"/>
      <c r="BA72" s="331"/>
      <c r="BB72" s="331">
        <v>1993.5179999999998</v>
      </c>
      <c r="BC72" s="331"/>
      <c r="BD72" s="331"/>
      <c r="BE72" s="331"/>
      <c r="BF72" s="331"/>
    </row>
    <row r="73" spans="37:58" x14ac:dyDescent="0.25">
      <c r="AL73" s="338" t="s">
        <v>213</v>
      </c>
      <c r="AM73" s="331"/>
      <c r="AN73" s="331"/>
      <c r="AO73" s="331"/>
      <c r="AP73" s="331">
        <v>1261.1918979588959</v>
      </c>
      <c r="AQ73" s="331"/>
      <c r="AR73" s="331"/>
      <c r="AS73" s="331"/>
      <c r="AT73" s="331"/>
      <c r="AU73" s="331"/>
      <c r="AV73" s="331"/>
      <c r="AW73" s="331"/>
      <c r="AX73" s="331"/>
      <c r="AY73" s="331"/>
      <c r="AZ73" s="331"/>
      <c r="BA73" s="331"/>
      <c r="BB73" s="331"/>
      <c r="BC73" s="331"/>
      <c r="BD73" s="331"/>
      <c r="BE73" s="331"/>
      <c r="BF73" s="331"/>
    </row>
    <row r="74" spans="37:58" x14ac:dyDescent="0.25">
      <c r="AL74" s="338" t="s">
        <v>218</v>
      </c>
      <c r="AM74" s="331"/>
      <c r="AN74" s="331"/>
      <c r="AO74" s="331"/>
      <c r="AP74" s="331"/>
      <c r="AQ74" s="331"/>
      <c r="AR74" s="331"/>
      <c r="AS74" s="331"/>
      <c r="AT74" s="331">
        <v>263.38984466839196</v>
      </c>
      <c r="AU74" s="331"/>
      <c r="AV74" s="331"/>
      <c r="AW74" s="331"/>
      <c r="AX74" s="331"/>
      <c r="AY74" s="331"/>
      <c r="AZ74" s="331"/>
      <c r="BA74" s="331"/>
      <c r="BB74" s="331"/>
      <c r="BC74" s="331"/>
      <c r="BD74" s="331"/>
      <c r="BE74" s="331"/>
      <c r="BF74" s="331"/>
    </row>
    <row r="75" spans="37:58" x14ac:dyDescent="0.25">
      <c r="AL75" s="338" t="s">
        <v>222</v>
      </c>
      <c r="AM75" s="331"/>
      <c r="AN75" s="331"/>
      <c r="AO75" s="331"/>
      <c r="AP75" s="331"/>
      <c r="AQ75" s="331"/>
      <c r="AR75" s="331"/>
      <c r="AS75" s="331"/>
      <c r="AT75" s="331"/>
      <c r="AU75" s="331">
        <v>320.63094624999997</v>
      </c>
      <c r="AV75" s="331"/>
      <c r="AW75" s="331"/>
      <c r="AX75" s="331"/>
      <c r="AY75" s="331"/>
      <c r="AZ75" s="331"/>
      <c r="BA75" s="331"/>
      <c r="BB75" s="331"/>
      <c r="BC75" s="331"/>
      <c r="BD75" s="331"/>
      <c r="BE75" s="331"/>
      <c r="BF75" s="331"/>
    </row>
    <row r="76" spans="37:58" x14ac:dyDescent="0.25">
      <c r="AL76" s="338" t="s">
        <v>265</v>
      </c>
      <c r="AM76" s="331"/>
      <c r="AN76" s="331"/>
      <c r="AO76" s="331"/>
      <c r="AP76" s="331"/>
      <c r="AQ76" s="331"/>
      <c r="AR76" s="331"/>
      <c r="AS76" s="331"/>
      <c r="AT76" s="331"/>
      <c r="AU76" s="331"/>
      <c r="AV76" s="331"/>
      <c r="AW76" s="331"/>
      <c r="AX76" s="331"/>
      <c r="AY76" s="331"/>
      <c r="AZ76" s="331"/>
      <c r="BA76" s="331"/>
      <c r="BB76" s="331"/>
      <c r="BC76" s="331"/>
      <c r="BD76" s="331"/>
      <c r="BE76" s="331"/>
      <c r="BF76" s="331"/>
    </row>
    <row r="77" spans="37:58" x14ac:dyDescent="0.25">
      <c r="AL77" s="338" t="s">
        <v>295</v>
      </c>
      <c r="AM77" s="331"/>
      <c r="AN77" s="331"/>
      <c r="AO77" s="331"/>
      <c r="AP77" s="331"/>
      <c r="AQ77" s="331"/>
      <c r="AR77" s="331"/>
      <c r="AS77" s="331"/>
      <c r="AT77" s="331"/>
      <c r="AU77" s="331"/>
      <c r="AV77" s="331"/>
      <c r="AW77" s="331"/>
      <c r="AX77" s="331"/>
      <c r="AY77" s="331">
        <v>5790.0501000000004</v>
      </c>
      <c r="AZ77" s="331"/>
      <c r="BA77" s="331"/>
      <c r="BB77" s="331"/>
      <c r="BC77" s="331"/>
      <c r="BD77" s="331"/>
      <c r="BE77" s="331"/>
      <c r="BF77" s="331"/>
    </row>
    <row r="78" spans="37:58" x14ac:dyDescent="0.25">
      <c r="AL78" s="338" t="s">
        <v>291</v>
      </c>
      <c r="AM78" s="331"/>
      <c r="AN78" s="331"/>
      <c r="AO78" s="331"/>
      <c r="AP78" s="331"/>
      <c r="AQ78" s="331"/>
      <c r="AR78" s="331"/>
      <c r="AS78" s="331"/>
      <c r="AT78" s="331"/>
      <c r="AU78" s="331"/>
      <c r="AV78" s="331"/>
      <c r="AW78" s="331"/>
      <c r="AX78" s="331"/>
      <c r="AY78" s="331"/>
      <c r="AZ78" s="331">
        <v>5789.47109499</v>
      </c>
      <c r="BA78" s="331"/>
      <c r="BB78" s="331"/>
      <c r="BC78" s="331"/>
      <c r="BD78" s="331"/>
      <c r="BE78" s="331"/>
      <c r="BF78" s="331"/>
    </row>
    <row r="79" spans="37:58" x14ac:dyDescent="0.25">
      <c r="AL79" s="338" t="s">
        <v>292</v>
      </c>
      <c r="AM79" s="331"/>
      <c r="AN79" s="331"/>
      <c r="AO79" s="331"/>
      <c r="AP79" s="331"/>
      <c r="AQ79" s="331"/>
      <c r="AR79" s="331"/>
      <c r="AS79" s="331"/>
      <c r="AT79" s="331"/>
      <c r="AU79" s="331"/>
      <c r="AV79" s="331"/>
      <c r="AW79" s="331"/>
      <c r="AX79" s="331"/>
      <c r="AY79" s="331"/>
      <c r="AZ79" s="331"/>
      <c r="BA79" s="331">
        <v>5875.6162149900001</v>
      </c>
      <c r="BB79" s="331"/>
      <c r="BC79" s="331"/>
      <c r="BD79" s="331"/>
      <c r="BE79" s="331"/>
      <c r="BF79" s="331"/>
    </row>
    <row r="80" spans="37:58" x14ac:dyDescent="0.25">
      <c r="AL80" s="338" t="s">
        <v>296</v>
      </c>
      <c r="AM80" s="331"/>
      <c r="AN80" s="331"/>
      <c r="AO80" s="331"/>
      <c r="AP80" s="331"/>
      <c r="AQ80" s="331"/>
      <c r="AR80" s="331"/>
      <c r="AS80" s="331"/>
      <c r="AT80" s="331"/>
      <c r="AU80" s="331"/>
      <c r="AV80" s="331"/>
      <c r="AW80" s="331"/>
      <c r="AX80" s="331"/>
      <c r="AY80" s="331"/>
      <c r="AZ80" s="331"/>
      <c r="BA80" s="331"/>
      <c r="BB80" s="331"/>
      <c r="BC80" s="331"/>
      <c r="BD80" s="331"/>
      <c r="BE80" s="331"/>
      <c r="BF80" s="331"/>
    </row>
    <row r="81" spans="37:58" x14ac:dyDescent="0.25">
      <c r="AL81" s="338" t="s">
        <v>237</v>
      </c>
      <c r="AM81" s="331"/>
      <c r="AN81" s="331"/>
      <c r="AO81" s="331"/>
      <c r="AP81" s="331"/>
      <c r="AQ81" s="331"/>
      <c r="AR81" s="331"/>
      <c r="AS81" s="331"/>
      <c r="AT81" s="331"/>
      <c r="AU81" s="331"/>
      <c r="AV81" s="331"/>
      <c r="AW81" s="331"/>
      <c r="AX81" s="331"/>
      <c r="AY81" s="331"/>
      <c r="AZ81" s="331"/>
      <c r="BA81" s="331"/>
      <c r="BB81" s="331"/>
      <c r="BC81" s="331"/>
      <c r="BD81" s="331"/>
      <c r="BE81" s="331"/>
      <c r="BF81" s="331"/>
    </row>
    <row r="82" spans="37:58" x14ac:dyDescent="0.25">
      <c r="AL82" s="338" t="s">
        <v>85</v>
      </c>
      <c r="AM82" s="331">
        <v>253.34399999999999</v>
      </c>
      <c r="AN82" s="331"/>
      <c r="AO82" s="331"/>
      <c r="AP82" s="331"/>
      <c r="AQ82" s="331"/>
      <c r="AR82" s="331"/>
      <c r="AS82" s="331"/>
      <c r="AT82" s="331"/>
      <c r="AU82" s="331"/>
      <c r="AV82" s="331"/>
      <c r="AW82" s="331"/>
      <c r="AX82" s="331"/>
      <c r="AY82" s="331"/>
      <c r="AZ82" s="331"/>
      <c r="BA82" s="331"/>
      <c r="BB82" s="331"/>
      <c r="BC82" s="331"/>
      <c r="BD82" s="331"/>
      <c r="BE82" s="331"/>
      <c r="BF82" s="331"/>
    </row>
    <row r="83" spans="37:58" x14ac:dyDescent="0.25">
      <c r="AK83" s="193"/>
      <c r="AL83" s="338" t="s">
        <v>84</v>
      </c>
      <c r="AM83" s="331"/>
      <c r="AN83" s="331"/>
      <c r="AO83" s="331"/>
      <c r="AP83" s="331"/>
      <c r="AQ83" s="331"/>
      <c r="AR83" s="331"/>
      <c r="AS83" s="331"/>
      <c r="AT83" s="331"/>
      <c r="AU83" s="331"/>
      <c r="AV83" s="331"/>
      <c r="AW83" s="331"/>
      <c r="AX83" s="331"/>
      <c r="AY83" s="331"/>
      <c r="AZ83" s="331"/>
      <c r="BA83" s="331"/>
      <c r="BB83" s="331"/>
      <c r="BC83" s="331">
        <v>4981.50238780774</v>
      </c>
      <c r="BD83" s="331"/>
      <c r="BE83" s="331"/>
      <c r="BF83" s="331"/>
    </row>
    <row r="84" spans="37:58" x14ac:dyDescent="0.25">
      <c r="AK84" s="205"/>
      <c r="AL84" s="338" t="s">
        <v>72</v>
      </c>
      <c r="AM84" s="331"/>
      <c r="AN84" s="331"/>
      <c r="AO84" s="331"/>
      <c r="AP84" s="331"/>
      <c r="AQ84" s="331">
        <v>12.639910839999999</v>
      </c>
      <c r="AR84" s="331"/>
      <c r="AS84" s="331"/>
      <c r="AT84" s="331"/>
      <c r="AU84" s="331"/>
      <c r="AV84" s="331"/>
      <c r="AW84" s="331"/>
      <c r="AX84" s="331"/>
      <c r="AY84" s="331"/>
      <c r="AZ84" s="331"/>
      <c r="BA84" s="331"/>
      <c r="BB84" s="331"/>
      <c r="BC84" s="331"/>
      <c r="BD84" s="331"/>
      <c r="BE84" s="331"/>
      <c r="BF84" s="331"/>
    </row>
    <row r="85" spans="37:58" x14ac:dyDescent="0.25">
      <c r="AK85" s="193"/>
      <c r="AL85" s="338" t="s">
        <v>239</v>
      </c>
      <c r="AM85" s="331"/>
      <c r="AN85" s="331"/>
      <c r="AO85" s="331"/>
      <c r="AP85" s="331"/>
      <c r="AQ85" s="333">
        <v>6.3503549999999995</v>
      </c>
      <c r="AR85" s="331"/>
      <c r="AS85" s="331"/>
      <c r="AT85" s="331"/>
      <c r="AU85" s="331"/>
      <c r="AV85" s="331"/>
      <c r="AW85" s="331"/>
      <c r="AX85" s="331"/>
      <c r="AY85" s="331"/>
      <c r="AZ85" s="331"/>
      <c r="BA85" s="331"/>
      <c r="BB85" s="342">
        <v>23.248000000000001</v>
      </c>
      <c r="BC85" s="331"/>
      <c r="BD85" s="331"/>
      <c r="BE85" s="331"/>
      <c r="BF85" s="3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Flujos Planta Colchones(2)</vt:lpstr>
      <vt:lpstr>Flujos Planta Final</vt:lpstr>
      <vt:lpstr>Entrada metodo triangular num</vt:lpstr>
      <vt:lpstr>Entrada metodo triangular no nu</vt:lpstr>
      <vt:lpstr>Flujos Planta Espuma(2)</vt:lpstr>
      <vt:lpstr>Normativas</vt:lpstr>
      <vt:lpstr>MC tefect</vt:lpstr>
      <vt:lpstr>MC nj y zi</vt:lpstr>
      <vt:lpstr>--</vt:lpstr>
      <vt:lpstr>Flujos Planta Espuma </vt:lpstr>
      <vt:lpstr>Flujos Planta Colchones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PCMASTER</dc:creator>
  <cp:lastModifiedBy>PCMASTER</cp:lastModifiedBy>
  <dcterms:created xsi:type="dcterms:W3CDTF">2020-03-23T02:08:20Z</dcterms:created>
  <dcterms:modified xsi:type="dcterms:W3CDTF">2020-04-01T22:17:31Z</dcterms:modified>
</cp:coreProperties>
</file>