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3.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24.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mc:AlternateContent xmlns:mc="http://schemas.openxmlformats.org/markup-compatibility/2006">
    <mc:Choice Requires="x15">
      <x15ac:absPath xmlns:x15ac="http://schemas.microsoft.com/office/spreadsheetml/2010/11/ac" url="/Users/jairoonatebarrios/Downloads/"/>
    </mc:Choice>
  </mc:AlternateContent>
  <xr:revisionPtr revIDLastSave="0" documentId="8_{C8CE4826-A79A-124F-9F30-6FD79BF3B187}" xr6:coauthVersionLast="47" xr6:coauthVersionMax="47" xr10:uidLastSave="{00000000-0000-0000-0000-000000000000}"/>
  <bookViews>
    <workbookView xWindow="160" yWindow="900" windowWidth="29080" windowHeight="16720" xr2:uid="{00000000-000D-0000-FFFF-FFFF00000000}"/>
  </bookViews>
  <sheets>
    <sheet name="DCF Model" sheetId="13" r:id="rId1"/>
    <sheet name="Relative Val" sheetId="14" r:id="rId2"/>
    <sheet name="Projected Tables" sheetId="8" r:id="rId3"/>
    <sheet name="Competitors BS &amp; IS" sheetId="9" r:id="rId4"/>
    <sheet name="Income Statement" sheetId="1" r:id="rId5"/>
    <sheet name="Balance Sheet" sheetId="3" r:id="rId6"/>
    <sheet name="Common Size Income Statement" sheetId="2" r:id="rId7"/>
    <sheet name="CS Balance Sheet Assets" sheetId="4" r:id="rId8"/>
    <sheet name="CS Balance Sheet Sales" sheetId="5" r:id="rId9"/>
    <sheet name="Stock Prices" sheetId="11" r:id="rId10"/>
    <sheet name="HD &amp; S&amp;P500" sheetId="15" r:id="rId11"/>
    <sheet name="FND Income Statement" sheetId="16" r:id="rId12"/>
    <sheet name="FND CS Income Statement" sheetId="17" r:id="rId13"/>
    <sheet name="FND Balance Sheet" sheetId="18" r:id="rId14"/>
    <sheet name="FND CS Balance Sheet" sheetId="19" r:id="rId15"/>
    <sheet name="LOW Income Statement" sheetId="20" r:id="rId16"/>
    <sheet name="LOW CS Income Statement" sheetId="21" r:id="rId17"/>
    <sheet name="LOW Balance Sheet" sheetId="22" r:id="rId18"/>
    <sheet name="LOW CS Balance Sheet " sheetId="23" r:id="rId19"/>
    <sheet name="WMT Income Statement" sheetId="24" r:id="rId20"/>
    <sheet name="WMT CS Income Statement" sheetId="25" r:id="rId21"/>
    <sheet name="WMT Balance Sheet" sheetId="26" r:id="rId22"/>
    <sheet name="WMT CS Balance Sheet" sheetId="27" r:id="rId23"/>
    <sheet name="Consolidated Ratios" sheetId="28" r:id="rId24"/>
    <sheet name="PPT Graphs" sheetId="29" r:id="rId25"/>
    <sheet name="Paper Graphs" sheetId="30" r:id="rId26"/>
  </sheets>
  <externalReferences>
    <externalReference r:id="rId2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29" l="1"/>
  <c r="K46" i="27"/>
  <c r="J46" i="27"/>
  <c r="I46" i="27"/>
  <c r="H46" i="27"/>
  <c r="G46" i="27"/>
  <c r="F46" i="27"/>
  <c r="E46" i="27"/>
  <c r="D46" i="27"/>
  <c r="C46" i="27"/>
  <c r="B46" i="27"/>
  <c r="K45" i="27"/>
  <c r="J45" i="27"/>
  <c r="I45" i="27"/>
  <c r="H45" i="27"/>
  <c r="G45" i="27"/>
  <c r="F45" i="27"/>
  <c r="E45" i="27"/>
  <c r="D45" i="27"/>
  <c r="D56" i="27" s="1"/>
  <c r="C45" i="27"/>
  <c r="B45" i="27"/>
  <c r="K44" i="27"/>
  <c r="J44" i="27"/>
  <c r="I44" i="27"/>
  <c r="H44" i="27"/>
  <c r="G44" i="27"/>
  <c r="F44" i="27"/>
  <c r="E44" i="27"/>
  <c r="D44" i="27"/>
  <c r="C44" i="27"/>
  <c r="B44" i="27"/>
  <c r="K43" i="27"/>
  <c r="J43" i="27"/>
  <c r="I43" i="27"/>
  <c r="H43" i="27"/>
  <c r="G43" i="27"/>
  <c r="F43" i="27"/>
  <c r="E43" i="27"/>
  <c r="D43" i="27"/>
  <c r="C43" i="27"/>
  <c r="B43" i="27"/>
  <c r="K42" i="27"/>
  <c r="J42" i="27"/>
  <c r="I42" i="27"/>
  <c r="H42" i="27"/>
  <c r="G42" i="27"/>
  <c r="F42" i="27"/>
  <c r="E42" i="27"/>
  <c r="D42" i="27"/>
  <c r="C42" i="27"/>
  <c r="B42" i="27"/>
  <c r="K41" i="27"/>
  <c r="J41" i="27"/>
  <c r="I41" i="27"/>
  <c r="H41" i="27"/>
  <c r="G41" i="27"/>
  <c r="F41" i="27"/>
  <c r="E41" i="27"/>
  <c r="D41" i="27"/>
  <c r="C41" i="27"/>
  <c r="B41" i="27"/>
  <c r="K40" i="27"/>
  <c r="J40" i="27"/>
  <c r="I40" i="27"/>
  <c r="H40" i="27"/>
  <c r="G40" i="27"/>
  <c r="F40" i="27"/>
  <c r="E40" i="27"/>
  <c r="D40" i="27"/>
  <c r="C40" i="27"/>
  <c r="B40" i="27"/>
  <c r="K39" i="27"/>
  <c r="J39" i="27"/>
  <c r="I39" i="27"/>
  <c r="H39" i="27"/>
  <c r="G39" i="27"/>
  <c r="F39" i="27"/>
  <c r="E39" i="27"/>
  <c r="D39" i="27"/>
  <c r="C39" i="27"/>
  <c r="B39" i="27"/>
  <c r="K38" i="27"/>
  <c r="K56" i="27" s="1"/>
  <c r="J38" i="27"/>
  <c r="J56" i="27" s="1"/>
  <c r="I38" i="27"/>
  <c r="I56" i="27" s="1"/>
  <c r="H38" i="27"/>
  <c r="H56" i="27" s="1"/>
  <c r="G38" i="27"/>
  <c r="G56" i="27" s="1"/>
  <c r="F38" i="27"/>
  <c r="F55" i="27" s="1"/>
  <c r="E38" i="27"/>
  <c r="E55" i="27" s="1"/>
  <c r="D38" i="27"/>
  <c r="D55" i="27" s="1"/>
  <c r="C38" i="27"/>
  <c r="C56" i="27" s="1"/>
  <c r="B38" i="27"/>
  <c r="B56" i="27" s="1"/>
  <c r="K37" i="27"/>
  <c r="J37" i="27"/>
  <c r="I37" i="27"/>
  <c r="H37" i="27"/>
  <c r="G37" i="27"/>
  <c r="F37" i="27"/>
  <c r="E37" i="27"/>
  <c r="D37" i="27"/>
  <c r="C37" i="27"/>
  <c r="B37" i="27"/>
  <c r="K36" i="27"/>
  <c r="J36" i="27"/>
  <c r="I36" i="27"/>
  <c r="H36" i="27"/>
  <c r="G36" i="27"/>
  <c r="F36" i="27"/>
  <c r="E36" i="27"/>
  <c r="D36" i="27"/>
  <c r="C36" i="27"/>
  <c r="B36" i="27"/>
  <c r="K35" i="27"/>
  <c r="J35" i="27"/>
  <c r="I35" i="27"/>
  <c r="H35" i="27"/>
  <c r="G35" i="27"/>
  <c r="F35" i="27"/>
  <c r="E35" i="27"/>
  <c r="D35" i="27"/>
  <c r="C35" i="27"/>
  <c r="B35" i="27"/>
  <c r="K34" i="27"/>
  <c r="J34" i="27"/>
  <c r="I34" i="27"/>
  <c r="H34" i="27"/>
  <c r="G34" i="27"/>
  <c r="F34" i="27"/>
  <c r="E34" i="27"/>
  <c r="D34" i="27"/>
  <c r="C34" i="27"/>
  <c r="B34" i="27"/>
  <c r="K33" i="27"/>
  <c r="J33" i="27"/>
  <c r="I33" i="27"/>
  <c r="H33" i="27"/>
  <c r="G33" i="27"/>
  <c r="F33" i="27"/>
  <c r="E33" i="27"/>
  <c r="D33" i="27"/>
  <c r="C33" i="27"/>
  <c r="B33" i="27"/>
  <c r="K32" i="27"/>
  <c r="J32" i="27"/>
  <c r="I32" i="27"/>
  <c r="H32" i="27"/>
  <c r="G32" i="27"/>
  <c r="F32" i="27"/>
  <c r="E32" i="27"/>
  <c r="D32" i="27"/>
  <c r="C32" i="27"/>
  <c r="B32" i="27"/>
  <c r="K31" i="27"/>
  <c r="J31" i="27"/>
  <c r="I31" i="27"/>
  <c r="H31" i="27"/>
  <c r="G31" i="27"/>
  <c r="F31" i="27"/>
  <c r="E31" i="27"/>
  <c r="D31" i="27"/>
  <c r="C31" i="27"/>
  <c r="B31" i="27"/>
  <c r="K30" i="27"/>
  <c r="J30" i="27"/>
  <c r="I30" i="27"/>
  <c r="H30" i="27"/>
  <c r="G30" i="27"/>
  <c r="F30" i="27"/>
  <c r="E30" i="27"/>
  <c r="D30" i="27"/>
  <c r="C30" i="27"/>
  <c r="B30" i="27"/>
  <c r="K29" i="27"/>
  <c r="J29" i="27"/>
  <c r="I29" i="27"/>
  <c r="H29" i="27"/>
  <c r="G29" i="27"/>
  <c r="F29" i="27"/>
  <c r="E29" i="27"/>
  <c r="D29" i="27"/>
  <c r="C29" i="27"/>
  <c r="B29" i="27"/>
  <c r="K28" i="27"/>
  <c r="J28" i="27"/>
  <c r="I28" i="27"/>
  <c r="H28" i="27"/>
  <c r="G28" i="27"/>
  <c r="F28" i="27"/>
  <c r="E28" i="27"/>
  <c r="D28" i="27"/>
  <c r="C28" i="27"/>
  <c r="B28" i="27"/>
  <c r="K27" i="27"/>
  <c r="J27" i="27"/>
  <c r="I27" i="27"/>
  <c r="H27" i="27"/>
  <c r="G27" i="27"/>
  <c r="F27" i="27"/>
  <c r="E27" i="27"/>
  <c r="D27" i="27"/>
  <c r="C27" i="27"/>
  <c r="B27" i="27"/>
  <c r="K26" i="27"/>
  <c r="J26" i="27"/>
  <c r="I26" i="27"/>
  <c r="H26" i="27"/>
  <c r="G26" i="27"/>
  <c r="F26" i="27"/>
  <c r="E26" i="27"/>
  <c r="D26" i="27"/>
  <c r="C26" i="27"/>
  <c r="B26" i="27"/>
  <c r="K25" i="27"/>
  <c r="J25" i="27"/>
  <c r="I25" i="27"/>
  <c r="H25" i="27"/>
  <c r="G25" i="27"/>
  <c r="F25" i="27"/>
  <c r="E25" i="27"/>
  <c r="D25" i="27"/>
  <c r="C25" i="27"/>
  <c r="B25" i="27"/>
  <c r="K24" i="27"/>
  <c r="J24" i="27"/>
  <c r="I24" i="27"/>
  <c r="H24" i="27"/>
  <c r="G24" i="27"/>
  <c r="F24" i="27"/>
  <c r="E24" i="27"/>
  <c r="D24" i="27"/>
  <c r="C24" i="27"/>
  <c r="B24" i="27"/>
  <c r="K23" i="27"/>
  <c r="J23" i="27"/>
  <c r="I23" i="27"/>
  <c r="H23" i="27"/>
  <c r="G23" i="27"/>
  <c r="F23" i="27"/>
  <c r="E23" i="27"/>
  <c r="D23" i="27"/>
  <c r="C23" i="27"/>
  <c r="B23" i="27"/>
  <c r="K22" i="27"/>
  <c r="J22" i="27"/>
  <c r="I22" i="27"/>
  <c r="H22" i="27"/>
  <c r="G22" i="27"/>
  <c r="F22" i="27"/>
  <c r="E22" i="27"/>
  <c r="D22" i="27"/>
  <c r="C22" i="27"/>
  <c r="B22" i="27"/>
  <c r="K21" i="27"/>
  <c r="K50" i="27" s="1"/>
  <c r="J21" i="27"/>
  <c r="J51" i="27" s="1"/>
  <c r="I21" i="27"/>
  <c r="I51" i="27" s="1"/>
  <c r="H21" i="27"/>
  <c r="H51" i="27" s="1"/>
  <c r="G21" i="27"/>
  <c r="G50" i="27" s="1"/>
  <c r="F21" i="27"/>
  <c r="F51" i="27" s="1"/>
  <c r="E21" i="27"/>
  <c r="E51" i="27" s="1"/>
  <c r="D21" i="27"/>
  <c r="D50" i="27" s="1"/>
  <c r="C21" i="27"/>
  <c r="C50" i="27" s="1"/>
  <c r="B21" i="27"/>
  <c r="B51" i="27" s="1"/>
  <c r="K20" i="27"/>
  <c r="J20" i="27"/>
  <c r="I20" i="27"/>
  <c r="H20" i="27"/>
  <c r="G20" i="27"/>
  <c r="F20" i="27"/>
  <c r="E20" i="27"/>
  <c r="D20" i="27"/>
  <c r="C20" i="27"/>
  <c r="B20" i="27"/>
  <c r="K19" i="27"/>
  <c r="J19" i="27"/>
  <c r="I19" i="27"/>
  <c r="H19" i="27"/>
  <c r="G19" i="27"/>
  <c r="G51" i="27" s="1"/>
  <c r="F19" i="27"/>
  <c r="E19" i="27"/>
  <c r="D19" i="27"/>
  <c r="C19" i="27"/>
  <c r="B19" i="27"/>
  <c r="K18" i="27"/>
  <c r="J18" i="27"/>
  <c r="I18" i="27"/>
  <c r="H18" i="27"/>
  <c r="G18" i="27"/>
  <c r="F18" i="27"/>
  <c r="E18" i="27"/>
  <c r="D18" i="27"/>
  <c r="C18" i="27"/>
  <c r="B18" i="27"/>
  <c r="K17" i="27"/>
  <c r="K52" i="27" s="1"/>
  <c r="J17" i="27"/>
  <c r="J52" i="27" s="1"/>
  <c r="I17" i="27"/>
  <c r="I52" i="27" s="1"/>
  <c r="H17" i="27"/>
  <c r="H52" i="27" s="1"/>
  <c r="G17" i="27"/>
  <c r="G52" i="27" s="1"/>
  <c r="F17" i="27"/>
  <c r="F52" i="27" s="1"/>
  <c r="E17" i="27"/>
  <c r="E52" i="27" s="1"/>
  <c r="D17" i="27"/>
  <c r="D52" i="27" s="1"/>
  <c r="C17" i="27"/>
  <c r="C52" i="27" s="1"/>
  <c r="B17" i="27"/>
  <c r="B52" i="27" s="1"/>
  <c r="K16" i="27"/>
  <c r="J16" i="27"/>
  <c r="I16" i="27"/>
  <c r="H16" i="27"/>
  <c r="G16" i="27"/>
  <c r="F16" i="27"/>
  <c r="E16" i="27"/>
  <c r="D16" i="27"/>
  <c r="C16" i="27"/>
  <c r="B16" i="27"/>
  <c r="K38" i="25"/>
  <c r="J38" i="25"/>
  <c r="I38" i="25"/>
  <c r="H38" i="25"/>
  <c r="G38" i="25"/>
  <c r="F38" i="25"/>
  <c r="E38" i="25"/>
  <c r="D38" i="25"/>
  <c r="C38" i="25"/>
  <c r="B38" i="25"/>
  <c r="K37" i="25"/>
  <c r="J37" i="25"/>
  <c r="I37" i="25"/>
  <c r="H37" i="25"/>
  <c r="G37" i="25"/>
  <c r="F37" i="25"/>
  <c r="E37" i="25"/>
  <c r="D37" i="25"/>
  <c r="C37" i="25"/>
  <c r="B37" i="25"/>
  <c r="K36" i="25"/>
  <c r="J36" i="25"/>
  <c r="I36" i="25"/>
  <c r="H36" i="25"/>
  <c r="G36" i="25"/>
  <c r="F36" i="25"/>
  <c r="E36" i="25"/>
  <c r="D36" i="25"/>
  <c r="C36" i="25"/>
  <c r="B36" i="25"/>
  <c r="K35" i="25"/>
  <c r="J35" i="25"/>
  <c r="I35" i="25"/>
  <c r="H35" i="25"/>
  <c r="G35" i="25"/>
  <c r="F35" i="25"/>
  <c r="E35" i="25"/>
  <c r="D35" i="25"/>
  <c r="C35" i="25"/>
  <c r="B35" i="25"/>
  <c r="K34" i="25"/>
  <c r="J34" i="25"/>
  <c r="I34" i="25"/>
  <c r="H34" i="25"/>
  <c r="G34" i="25"/>
  <c r="F34" i="25"/>
  <c r="E34" i="25"/>
  <c r="D34" i="25"/>
  <c r="C34" i="25"/>
  <c r="B34" i="25"/>
  <c r="K33" i="25"/>
  <c r="J33" i="25"/>
  <c r="I33" i="25"/>
  <c r="H33" i="25"/>
  <c r="G33" i="25"/>
  <c r="F33" i="25"/>
  <c r="E33" i="25"/>
  <c r="D33" i="25"/>
  <c r="C33" i="25"/>
  <c r="B33" i="25"/>
  <c r="K32" i="25"/>
  <c r="J32" i="25"/>
  <c r="I32" i="25"/>
  <c r="H32" i="25"/>
  <c r="G32" i="25"/>
  <c r="F32" i="25"/>
  <c r="E32" i="25"/>
  <c r="D32" i="25"/>
  <c r="C32" i="25"/>
  <c r="B32" i="25"/>
  <c r="K31" i="25"/>
  <c r="J31" i="25"/>
  <c r="I31" i="25"/>
  <c r="H31" i="25"/>
  <c r="G31" i="25"/>
  <c r="F31" i="25"/>
  <c r="E31" i="25"/>
  <c r="D31" i="25"/>
  <c r="C31" i="25"/>
  <c r="B31" i="25"/>
  <c r="K30" i="25"/>
  <c r="K65" i="27" s="1"/>
  <c r="J30" i="25"/>
  <c r="J65" i="27" s="1"/>
  <c r="I30" i="25"/>
  <c r="I65" i="27" s="1"/>
  <c r="H30" i="25"/>
  <c r="H65" i="27" s="1"/>
  <c r="G30" i="25"/>
  <c r="G65" i="27" s="1"/>
  <c r="F30" i="25"/>
  <c r="F65" i="27" s="1"/>
  <c r="E30" i="25"/>
  <c r="E65" i="27" s="1"/>
  <c r="D30" i="25"/>
  <c r="D65" i="27" s="1"/>
  <c r="C30" i="25"/>
  <c r="C65" i="27" s="1"/>
  <c r="B30" i="25"/>
  <c r="B65" i="27" s="1"/>
  <c r="K29" i="25"/>
  <c r="J29" i="25"/>
  <c r="I29" i="25"/>
  <c r="H29" i="25"/>
  <c r="G29" i="25"/>
  <c r="F29" i="25"/>
  <c r="E29" i="25"/>
  <c r="D29" i="25"/>
  <c r="C29" i="25"/>
  <c r="B29" i="25"/>
  <c r="K28" i="25"/>
  <c r="J28" i="25"/>
  <c r="I28" i="25"/>
  <c r="H28" i="25"/>
  <c r="G28" i="25"/>
  <c r="F28" i="25"/>
  <c r="E28" i="25"/>
  <c r="D28" i="25"/>
  <c r="C28" i="25"/>
  <c r="B28" i="25"/>
  <c r="K27" i="25"/>
  <c r="J27" i="25"/>
  <c r="I27" i="25"/>
  <c r="H27" i="25"/>
  <c r="G27" i="25"/>
  <c r="F27" i="25"/>
  <c r="E27" i="25"/>
  <c r="D27" i="25"/>
  <c r="C27" i="25"/>
  <c r="B27" i="25"/>
  <c r="K26" i="25"/>
  <c r="J26" i="25"/>
  <c r="I26" i="25"/>
  <c r="H26" i="25"/>
  <c r="G26" i="25"/>
  <c r="F26" i="25"/>
  <c r="E26" i="25"/>
  <c r="D26" i="25"/>
  <c r="C26" i="25"/>
  <c r="B26" i="25"/>
  <c r="K25" i="25"/>
  <c r="J25" i="25"/>
  <c r="I25" i="25"/>
  <c r="H25" i="25"/>
  <c r="G25" i="25"/>
  <c r="F25" i="25"/>
  <c r="E25" i="25"/>
  <c r="D25" i="25"/>
  <c r="C25" i="25"/>
  <c r="B25" i="25"/>
  <c r="K24" i="25"/>
  <c r="J24" i="25"/>
  <c r="I24" i="25"/>
  <c r="H24" i="25"/>
  <c r="G24" i="25"/>
  <c r="F24" i="25"/>
  <c r="E24" i="25"/>
  <c r="D24" i="25"/>
  <c r="C24" i="25"/>
  <c r="B24" i="25"/>
  <c r="K23" i="25"/>
  <c r="J23" i="25"/>
  <c r="I23" i="25"/>
  <c r="H23" i="25"/>
  <c r="G23" i="25"/>
  <c r="F23" i="25"/>
  <c r="E23" i="25"/>
  <c r="D23" i="25"/>
  <c r="C23" i="25"/>
  <c r="B23" i="25"/>
  <c r="K22" i="25"/>
  <c r="J22" i="25"/>
  <c r="I22" i="25"/>
  <c r="H22" i="25"/>
  <c r="G22" i="25"/>
  <c r="F22" i="25"/>
  <c r="E22" i="25"/>
  <c r="D22" i="25"/>
  <c r="C22" i="25"/>
  <c r="B22" i="25"/>
  <c r="K21" i="25"/>
  <c r="J21" i="25"/>
  <c r="I21" i="25"/>
  <c r="H21" i="25"/>
  <c r="G21" i="25"/>
  <c r="F21" i="25"/>
  <c r="E21" i="25"/>
  <c r="D21" i="25"/>
  <c r="C21" i="25"/>
  <c r="B21" i="25"/>
  <c r="K20" i="25"/>
  <c r="J20" i="25"/>
  <c r="I20" i="25"/>
  <c r="H20" i="25"/>
  <c r="G20" i="25"/>
  <c r="F20" i="25"/>
  <c r="E20" i="25"/>
  <c r="D20" i="25"/>
  <c r="C20" i="25"/>
  <c r="B20" i="25"/>
  <c r="K19" i="25"/>
  <c r="K59" i="27" s="1"/>
  <c r="K60" i="27" s="1"/>
  <c r="J19" i="25"/>
  <c r="J59" i="27" s="1"/>
  <c r="J60" i="27" s="1"/>
  <c r="I19" i="25"/>
  <c r="I59" i="27" s="1"/>
  <c r="I60" i="27" s="1"/>
  <c r="H19" i="25"/>
  <c r="H59" i="27" s="1"/>
  <c r="H60" i="27" s="1"/>
  <c r="G19" i="25"/>
  <c r="G59" i="27" s="1"/>
  <c r="G60" i="27" s="1"/>
  <c r="F19" i="25"/>
  <c r="F59" i="27" s="1"/>
  <c r="F60" i="27" s="1"/>
  <c r="E19" i="25"/>
  <c r="E59" i="27" s="1"/>
  <c r="E60" i="27" s="1"/>
  <c r="D19" i="25"/>
  <c r="D59" i="27" s="1"/>
  <c r="D60" i="27" s="1"/>
  <c r="C19" i="25"/>
  <c r="C59" i="27" s="1"/>
  <c r="C60" i="27" s="1"/>
  <c r="B19" i="25"/>
  <c r="B59" i="27" s="1"/>
  <c r="B60" i="27" s="1"/>
  <c r="K18" i="25"/>
  <c r="K61" i="27" s="1"/>
  <c r="J18" i="25"/>
  <c r="J61" i="27" s="1"/>
  <c r="I18" i="25"/>
  <c r="I61" i="27" s="1"/>
  <c r="H18" i="25"/>
  <c r="H61" i="27" s="1"/>
  <c r="G18" i="25"/>
  <c r="G61" i="27" s="1"/>
  <c r="F18" i="25"/>
  <c r="F61" i="27" s="1"/>
  <c r="E18" i="25"/>
  <c r="E61" i="27" s="1"/>
  <c r="D18" i="25"/>
  <c r="D61" i="27" s="1"/>
  <c r="C18" i="25"/>
  <c r="C61" i="27" s="1"/>
  <c r="B18" i="25"/>
  <c r="B61" i="27" s="1"/>
  <c r="K17" i="25"/>
  <c r="J17" i="25"/>
  <c r="I17" i="25"/>
  <c r="H17" i="25"/>
  <c r="G17" i="25"/>
  <c r="F17" i="25"/>
  <c r="E17" i="25"/>
  <c r="D17" i="25"/>
  <c r="C17" i="25"/>
  <c r="B17" i="25"/>
  <c r="K16" i="25"/>
  <c r="J16" i="25"/>
  <c r="I16" i="25"/>
  <c r="H16" i="25"/>
  <c r="G16" i="25"/>
  <c r="F16" i="25"/>
  <c r="E16" i="25"/>
  <c r="D16" i="25"/>
  <c r="C16" i="25"/>
  <c r="B16" i="25"/>
  <c r="K63" i="23"/>
  <c r="D63" i="23"/>
  <c r="C63" i="23"/>
  <c r="J57" i="23"/>
  <c r="J58" i="23" s="1"/>
  <c r="I57" i="23"/>
  <c r="I58" i="23" s="1"/>
  <c r="B57" i="23"/>
  <c r="B58" i="23" s="1"/>
  <c r="K54" i="23"/>
  <c r="F54" i="23"/>
  <c r="E54" i="23"/>
  <c r="D54" i="23"/>
  <c r="C54" i="23"/>
  <c r="F53" i="23"/>
  <c r="E53" i="23"/>
  <c r="K48" i="23"/>
  <c r="F48" i="23"/>
  <c r="E48" i="23"/>
  <c r="D48" i="23"/>
  <c r="C48" i="23"/>
  <c r="K43" i="23"/>
  <c r="J43" i="23"/>
  <c r="I43" i="23"/>
  <c r="H43" i="23"/>
  <c r="G43" i="23"/>
  <c r="F43" i="23"/>
  <c r="E43" i="23"/>
  <c r="D43" i="23"/>
  <c r="C43" i="23"/>
  <c r="B43" i="23"/>
  <c r="K42" i="23"/>
  <c r="J42" i="23"/>
  <c r="I42" i="23"/>
  <c r="H42" i="23"/>
  <c r="G42" i="23"/>
  <c r="F42" i="23"/>
  <c r="E42" i="23"/>
  <c r="D42" i="23"/>
  <c r="C42" i="23"/>
  <c r="B42" i="23"/>
  <c r="K41" i="23"/>
  <c r="J41" i="23"/>
  <c r="I41" i="23"/>
  <c r="H41" i="23"/>
  <c r="G41" i="23"/>
  <c r="F41" i="23"/>
  <c r="E41" i="23"/>
  <c r="D41" i="23"/>
  <c r="C41" i="23"/>
  <c r="B41" i="23"/>
  <c r="K40" i="23"/>
  <c r="J40" i="23"/>
  <c r="I40" i="23"/>
  <c r="H40" i="23"/>
  <c r="G40" i="23"/>
  <c r="F40" i="23"/>
  <c r="E40" i="23"/>
  <c r="D40" i="23"/>
  <c r="C40" i="23"/>
  <c r="B40" i="23"/>
  <c r="K39" i="23"/>
  <c r="J39" i="23"/>
  <c r="I39" i="23"/>
  <c r="H39" i="23"/>
  <c r="G39" i="23"/>
  <c r="F39" i="23"/>
  <c r="E39" i="23"/>
  <c r="D39" i="23"/>
  <c r="C39" i="23"/>
  <c r="B39" i="23"/>
  <c r="K38" i="23"/>
  <c r="K53" i="23" s="1"/>
  <c r="J38" i="23"/>
  <c r="J54" i="23" s="1"/>
  <c r="I38" i="23"/>
  <c r="I54" i="23" s="1"/>
  <c r="H38" i="23"/>
  <c r="H54" i="23" s="1"/>
  <c r="G38" i="23"/>
  <c r="G54" i="23" s="1"/>
  <c r="F38" i="23"/>
  <c r="E38" i="23"/>
  <c r="D38" i="23"/>
  <c r="C38" i="23"/>
  <c r="C53" i="23" s="1"/>
  <c r="B38" i="23"/>
  <c r="B54" i="23" s="1"/>
  <c r="K37" i="23"/>
  <c r="J37" i="23"/>
  <c r="I37" i="23"/>
  <c r="H37" i="23"/>
  <c r="G37" i="23"/>
  <c r="F37" i="23"/>
  <c r="E37" i="23"/>
  <c r="D37" i="23"/>
  <c r="C37" i="23"/>
  <c r="B37" i="23"/>
  <c r="K36" i="23"/>
  <c r="J36" i="23"/>
  <c r="I36" i="23"/>
  <c r="H36" i="23"/>
  <c r="G36" i="23"/>
  <c r="F36" i="23"/>
  <c r="E36" i="23"/>
  <c r="D36" i="23"/>
  <c r="C36" i="23"/>
  <c r="B36" i="23"/>
  <c r="K35" i="23"/>
  <c r="J35" i="23"/>
  <c r="I35" i="23"/>
  <c r="H35" i="23"/>
  <c r="G35" i="23"/>
  <c r="F35" i="23"/>
  <c r="E35" i="23"/>
  <c r="D35" i="23"/>
  <c r="C35" i="23"/>
  <c r="B35" i="23"/>
  <c r="K34" i="23"/>
  <c r="J34" i="23"/>
  <c r="I34" i="23"/>
  <c r="H34" i="23"/>
  <c r="G34" i="23"/>
  <c r="G48" i="23" s="1"/>
  <c r="F34" i="23"/>
  <c r="E34" i="23"/>
  <c r="D34" i="23"/>
  <c r="C34" i="23"/>
  <c r="B34" i="23"/>
  <c r="K33" i="23"/>
  <c r="J33" i="23"/>
  <c r="I33" i="23"/>
  <c r="H33" i="23"/>
  <c r="G33" i="23"/>
  <c r="F33" i="23"/>
  <c r="E33" i="23"/>
  <c r="D33" i="23"/>
  <c r="C33" i="23"/>
  <c r="B33" i="23"/>
  <c r="K32" i="23"/>
  <c r="J32" i="23"/>
  <c r="I32" i="23"/>
  <c r="H32" i="23"/>
  <c r="G32" i="23"/>
  <c r="F32" i="23"/>
  <c r="E32" i="23"/>
  <c r="D32" i="23"/>
  <c r="C32" i="23"/>
  <c r="B32" i="23"/>
  <c r="K31" i="23"/>
  <c r="J31" i="23"/>
  <c r="I31" i="23"/>
  <c r="H31" i="23"/>
  <c r="G31" i="23"/>
  <c r="F31" i="23"/>
  <c r="E31" i="23"/>
  <c r="D31" i="23"/>
  <c r="C31" i="23"/>
  <c r="B31" i="23"/>
  <c r="K30" i="23"/>
  <c r="J30" i="23"/>
  <c r="I30" i="23"/>
  <c r="H30" i="23"/>
  <c r="G30" i="23"/>
  <c r="F30" i="23"/>
  <c r="E30" i="23"/>
  <c r="D30" i="23"/>
  <c r="C30" i="23"/>
  <c r="B30" i="23"/>
  <c r="K29" i="23"/>
  <c r="J29" i="23"/>
  <c r="I29" i="23"/>
  <c r="H29" i="23"/>
  <c r="G29" i="23"/>
  <c r="F29" i="23"/>
  <c r="E29" i="23"/>
  <c r="D29" i="23"/>
  <c r="C29" i="23"/>
  <c r="B29" i="23"/>
  <c r="K28" i="23"/>
  <c r="J28" i="23"/>
  <c r="I28" i="23"/>
  <c r="H28" i="23"/>
  <c r="G28" i="23"/>
  <c r="F28" i="23"/>
  <c r="E28" i="23"/>
  <c r="D28" i="23"/>
  <c r="D53" i="23" s="1"/>
  <c r="C28" i="23"/>
  <c r="B28" i="23"/>
  <c r="K27" i="23"/>
  <c r="J27" i="23"/>
  <c r="I27" i="23"/>
  <c r="H27" i="23"/>
  <c r="G27" i="23"/>
  <c r="F27" i="23"/>
  <c r="E27" i="23"/>
  <c r="D27" i="23"/>
  <c r="C27" i="23"/>
  <c r="B27" i="23"/>
  <c r="K26" i="23"/>
  <c r="J26" i="23"/>
  <c r="I26" i="23"/>
  <c r="H26" i="23"/>
  <c r="G26" i="23"/>
  <c r="F26" i="23"/>
  <c r="E26" i="23"/>
  <c r="D26" i="23"/>
  <c r="C26" i="23"/>
  <c r="B26" i="23"/>
  <c r="K25" i="23"/>
  <c r="J25" i="23"/>
  <c r="I25" i="23"/>
  <c r="H25" i="23"/>
  <c r="G25" i="23"/>
  <c r="F25" i="23"/>
  <c r="E25" i="23"/>
  <c r="D25" i="23"/>
  <c r="C25" i="23"/>
  <c r="B25" i="23"/>
  <c r="K24" i="23"/>
  <c r="J24" i="23"/>
  <c r="I24" i="23"/>
  <c r="H24" i="23"/>
  <c r="G24" i="23"/>
  <c r="F24" i="23"/>
  <c r="E24" i="23"/>
  <c r="D24" i="23"/>
  <c r="C24" i="23"/>
  <c r="B24" i="23"/>
  <c r="K23" i="23"/>
  <c r="J23" i="23"/>
  <c r="I23" i="23"/>
  <c r="H23" i="23"/>
  <c r="G23" i="23"/>
  <c r="F23" i="23"/>
  <c r="E23" i="23"/>
  <c r="D23" i="23"/>
  <c r="C23" i="23"/>
  <c r="B23" i="23"/>
  <c r="K22" i="23"/>
  <c r="J22" i="23"/>
  <c r="I22" i="23"/>
  <c r="H22" i="23"/>
  <c r="G22" i="23"/>
  <c r="F22" i="23"/>
  <c r="E22" i="23"/>
  <c r="D22" i="23"/>
  <c r="C22" i="23"/>
  <c r="B22" i="23"/>
  <c r="K21" i="23"/>
  <c r="K49" i="23" s="1"/>
  <c r="J21" i="23"/>
  <c r="J48" i="23" s="1"/>
  <c r="I21" i="23"/>
  <c r="I48" i="23" s="1"/>
  <c r="H21" i="23"/>
  <c r="H49" i="23" s="1"/>
  <c r="G21" i="23"/>
  <c r="G49" i="23" s="1"/>
  <c r="F21" i="23"/>
  <c r="F49" i="23" s="1"/>
  <c r="E21" i="23"/>
  <c r="E49" i="23" s="1"/>
  <c r="D21" i="23"/>
  <c r="D49" i="23" s="1"/>
  <c r="C21" i="23"/>
  <c r="C49" i="23" s="1"/>
  <c r="B21" i="23"/>
  <c r="B48" i="23" s="1"/>
  <c r="K20" i="23"/>
  <c r="J20" i="23"/>
  <c r="I20" i="23"/>
  <c r="H20" i="23"/>
  <c r="G20" i="23"/>
  <c r="F20" i="23"/>
  <c r="E20" i="23"/>
  <c r="D20" i="23"/>
  <c r="C20" i="23"/>
  <c r="B20" i="23"/>
  <c r="K19" i="23"/>
  <c r="J19" i="23"/>
  <c r="I19" i="23"/>
  <c r="H19" i="23"/>
  <c r="H57" i="23" s="1"/>
  <c r="H58" i="23" s="1"/>
  <c r="G19" i="23"/>
  <c r="F19" i="23"/>
  <c r="E19" i="23"/>
  <c r="D19" i="23"/>
  <c r="C19" i="23"/>
  <c r="B19" i="23"/>
  <c r="K18" i="23"/>
  <c r="K50" i="23" s="1"/>
  <c r="J18" i="23"/>
  <c r="J50" i="23" s="1"/>
  <c r="I18" i="23"/>
  <c r="I50" i="23" s="1"/>
  <c r="H18" i="23"/>
  <c r="H50" i="23" s="1"/>
  <c r="G18" i="23"/>
  <c r="G50" i="23" s="1"/>
  <c r="F18" i="23"/>
  <c r="F50" i="23" s="1"/>
  <c r="E18" i="23"/>
  <c r="E50" i="23" s="1"/>
  <c r="D18" i="23"/>
  <c r="D50" i="23" s="1"/>
  <c r="C18" i="23"/>
  <c r="C50" i="23" s="1"/>
  <c r="B18" i="23"/>
  <c r="B50" i="23" s="1"/>
  <c r="K17" i="23"/>
  <c r="J17" i="23"/>
  <c r="I17" i="23"/>
  <c r="H17" i="23"/>
  <c r="G17" i="23"/>
  <c r="F17" i="23"/>
  <c r="E17" i="23"/>
  <c r="D17" i="23"/>
  <c r="C17" i="23"/>
  <c r="B17" i="23"/>
  <c r="K16" i="23"/>
  <c r="J16" i="23"/>
  <c r="I16" i="23"/>
  <c r="H16" i="23"/>
  <c r="G16" i="23"/>
  <c r="F16" i="23"/>
  <c r="E16" i="23"/>
  <c r="D16" i="23"/>
  <c r="C16" i="23"/>
  <c r="B16" i="23"/>
  <c r="K37" i="21"/>
  <c r="J37" i="21"/>
  <c r="I37" i="21"/>
  <c r="H37" i="21"/>
  <c r="G37" i="21"/>
  <c r="F37" i="21"/>
  <c r="E37" i="21"/>
  <c r="D37" i="21"/>
  <c r="C37" i="21"/>
  <c r="B37" i="21"/>
  <c r="K36" i="21"/>
  <c r="J36" i="21"/>
  <c r="I36" i="21"/>
  <c r="H36" i="21"/>
  <c r="G36" i="21"/>
  <c r="F36" i="21"/>
  <c r="E36" i="21"/>
  <c r="D36" i="21"/>
  <c r="C36" i="21"/>
  <c r="B36" i="21"/>
  <c r="K35" i="21"/>
  <c r="J35" i="21"/>
  <c r="I35" i="21"/>
  <c r="H35" i="21"/>
  <c r="G35" i="21"/>
  <c r="F35" i="21"/>
  <c r="E35" i="21"/>
  <c r="D35" i="21"/>
  <c r="C35" i="21"/>
  <c r="B35" i="21"/>
  <c r="K34" i="21"/>
  <c r="J34" i="21"/>
  <c r="I34" i="21"/>
  <c r="H34" i="21"/>
  <c r="G34" i="21"/>
  <c r="F34" i="21"/>
  <c r="E34" i="21"/>
  <c r="D34" i="21"/>
  <c r="C34" i="21"/>
  <c r="B34" i="21"/>
  <c r="K33" i="21"/>
  <c r="J33" i="21"/>
  <c r="I33" i="21"/>
  <c r="H33" i="21"/>
  <c r="G33" i="21"/>
  <c r="F33" i="21"/>
  <c r="E33" i="21"/>
  <c r="D33" i="21"/>
  <c r="C33" i="21"/>
  <c r="B33" i="21"/>
  <c r="K32" i="21"/>
  <c r="J32" i="21"/>
  <c r="I32" i="21"/>
  <c r="H32" i="21"/>
  <c r="G32" i="21"/>
  <c r="F32" i="21"/>
  <c r="E32" i="21"/>
  <c r="D32" i="21"/>
  <c r="C32" i="21"/>
  <c r="B32" i="21"/>
  <c r="K31" i="21"/>
  <c r="J31" i="21"/>
  <c r="I31" i="21"/>
  <c r="H31" i="21"/>
  <c r="G31" i="21"/>
  <c r="F31" i="21"/>
  <c r="E31" i="21"/>
  <c r="D31" i="21"/>
  <c r="C31" i="21"/>
  <c r="B31" i="21"/>
  <c r="K30" i="21"/>
  <c r="J30" i="21"/>
  <c r="I30" i="21"/>
  <c r="H30" i="21"/>
  <c r="G30" i="21"/>
  <c r="F30" i="21"/>
  <c r="E30" i="21"/>
  <c r="D30" i="21"/>
  <c r="C30" i="21"/>
  <c r="B30" i="21"/>
  <c r="K29" i="21"/>
  <c r="J29" i="21"/>
  <c r="I29" i="21"/>
  <c r="H29" i="21"/>
  <c r="G29" i="21"/>
  <c r="F29" i="21"/>
  <c r="E29" i="21"/>
  <c r="D29" i="21"/>
  <c r="C29" i="21"/>
  <c r="B29" i="21"/>
  <c r="K28" i="21"/>
  <c r="J28" i="21"/>
  <c r="J63" i="23" s="1"/>
  <c r="I28" i="21"/>
  <c r="I63" i="23" s="1"/>
  <c r="H28" i="21"/>
  <c r="H63" i="23" s="1"/>
  <c r="G28" i="21"/>
  <c r="G63" i="23" s="1"/>
  <c r="F28" i="21"/>
  <c r="E28" i="21"/>
  <c r="D28" i="21"/>
  <c r="C28" i="21"/>
  <c r="B28" i="21"/>
  <c r="B63" i="23" s="1"/>
  <c r="K27" i="21"/>
  <c r="J27" i="21"/>
  <c r="I27" i="21"/>
  <c r="H27" i="21"/>
  <c r="G27" i="21"/>
  <c r="F27" i="21"/>
  <c r="E27" i="21"/>
  <c r="D27" i="21"/>
  <c r="C27" i="21"/>
  <c r="B27" i="21"/>
  <c r="K26" i="21"/>
  <c r="J26" i="21"/>
  <c r="I26" i="21"/>
  <c r="H26" i="21"/>
  <c r="G26" i="21"/>
  <c r="F26" i="21"/>
  <c r="E26" i="21"/>
  <c r="D26" i="21"/>
  <c r="C26" i="21"/>
  <c r="B26" i="21"/>
  <c r="K25" i="21"/>
  <c r="J25" i="21"/>
  <c r="I25" i="21"/>
  <c r="H25" i="21"/>
  <c r="G25" i="21"/>
  <c r="F25" i="21"/>
  <c r="E25" i="21"/>
  <c r="D25" i="21"/>
  <c r="C25" i="21"/>
  <c r="B25" i="21"/>
  <c r="K24" i="21"/>
  <c r="J24" i="21"/>
  <c r="I24" i="21"/>
  <c r="H24" i="21"/>
  <c r="G24" i="21"/>
  <c r="F24" i="21"/>
  <c r="E24" i="21"/>
  <c r="D24" i="21"/>
  <c r="C24" i="21"/>
  <c r="B24" i="21"/>
  <c r="K23" i="21"/>
  <c r="J23" i="21"/>
  <c r="I23" i="21"/>
  <c r="H23" i="21"/>
  <c r="G23" i="21"/>
  <c r="F23" i="21"/>
  <c r="E23" i="21"/>
  <c r="D23" i="21"/>
  <c r="C23" i="21"/>
  <c r="B23" i="21"/>
  <c r="K22" i="21"/>
  <c r="J22" i="21"/>
  <c r="I22" i="21"/>
  <c r="H22" i="21"/>
  <c r="G22" i="21"/>
  <c r="F22" i="21"/>
  <c r="E22" i="21"/>
  <c r="D22" i="21"/>
  <c r="C22" i="21"/>
  <c r="B22" i="21"/>
  <c r="K21" i="21"/>
  <c r="J21" i="21"/>
  <c r="I21" i="21"/>
  <c r="H21" i="21"/>
  <c r="G21" i="21"/>
  <c r="F21" i="21"/>
  <c r="E21" i="21"/>
  <c r="D21" i="21"/>
  <c r="C21" i="21"/>
  <c r="B21" i="21"/>
  <c r="K20" i="21"/>
  <c r="J20" i="21"/>
  <c r="I20" i="21"/>
  <c r="H20" i="21"/>
  <c r="G20" i="21"/>
  <c r="F20" i="21"/>
  <c r="E20" i="21"/>
  <c r="D20" i="21"/>
  <c r="C20" i="21"/>
  <c r="B20" i="21"/>
  <c r="K19" i="21"/>
  <c r="J19" i="21"/>
  <c r="I19" i="21"/>
  <c r="H19" i="21"/>
  <c r="G19" i="21"/>
  <c r="F19" i="21"/>
  <c r="E19" i="21"/>
  <c r="D19" i="21"/>
  <c r="C19" i="21"/>
  <c r="B19" i="21"/>
  <c r="K18" i="21"/>
  <c r="K57" i="23" s="1"/>
  <c r="K58" i="23" s="1"/>
  <c r="J18" i="21"/>
  <c r="I18" i="21"/>
  <c r="H18" i="21"/>
  <c r="G18" i="21"/>
  <c r="G57" i="23" s="1"/>
  <c r="G58" i="23" s="1"/>
  <c r="F18" i="21"/>
  <c r="F57" i="23" s="1"/>
  <c r="F58" i="23" s="1"/>
  <c r="E18" i="21"/>
  <c r="E57" i="23" s="1"/>
  <c r="E58" i="23" s="1"/>
  <c r="D18" i="21"/>
  <c r="D57" i="23" s="1"/>
  <c r="D58" i="23" s="1"/>
  <c r="C18" i="21"/>
  <c r="C57" i="23" s="1"/>
  <c r="C58" i="23" s="1"/>
  <c r="B18" i="21"/>
  <c r="K17" i="21"/>
  <c r="K59" i="23" s="1"/>
  <c r="J17" i="21"/>
  <c r="J59" i="23" s="1"/>
  <c r="I17" i="21"/>
  <c r="I59" i="23" s="1"/>
  <c r="H17" i="21"/>
  <c r="H59" i="23" s="1"/>
  <c r="G17" i="21"/>
  <c r="G59" i="23" s="1"/>
  <c r="F17" i="21"/>
  <c r="F63" i="23" s="1"/>
  <c r="E17" i="21"/>
  <c r="E63" i="23" s="1"/>
  <c r="D17" i="21"/>
  <c r="D59" i="23" s="1"/>
  <c r="C17" i="21"/>
  <c r="C59" i="23" s="1"/>
  <c r="B17" i="21"/>
  <c r="B59" i="23" s="1"/>
  <c r="K16" i="21"/>
  <c r="J16" i="21"/>
  <c r="I16" i="21"/>
  <c r="H16" i="21"/>
  <c r="G16" i="21"/>
  <c r="F16" i="21"/>
  <c r="E16" i="21"/>
  <c r="D16" i="21"/>
  <c r="C16" i="21"/>
  <c r="B16" i="21"/>
  <c r="J63" i="19"/>
  <c r="I63" i="19"/>
  <c r="B63" i="19"/>
  <c r="H57" i="19"/>
  <c r="H58" i="19" s="1"/>
  <c r="G57" i="19"/>
  <c r="G58" i="19" s="1"/>
  <c r="K54" i="19"/>
  <c r="J54" i="19"/>
  <c r="I54" i="19"/>
  <c r="D54" i="19"/>
  <c r="C54" i="19"/>
  <c r="B54" i="19"/>
  <c r="F50" i="19"/>
  <c r="E50" i="19"/>
  <c r="K48" i="19"/>
  <c r="J48" i="19"/>
  <c r="I48" i="19"/>
  <c r="E48" i="19"/>
  <c r="D48" i="19"/>
  <c r="C48" i="19"/>
  <c r="B48" i="19"/>
  <c r="K44" i="19"/>
  <c r="J44" i="19"/>
  <c r="I44" i="19"/>
  <c r="H44" i="19"/>
  <c r="G44" i="19"/>
  <c r="F44" i="19"/>
  <c r="E44" i="19"/>
  <c r="D44" i="19"/>
  <c r="C44" i="19"/>
  <c r="B44" i="19"/>
  <c r="K43" i="19"/>
  <c r="J43" i="19"/>
  <c r="I43" i="19"/>
  <c r="H43" i="19"/>
  <c r="G43" i="19"/>
  <c r="F43" i="19"/>
  <c r="E43" i="19"/>
  <c r="E54" i="19" s="1"/>
  <c r="D43" i="19"/>
  <c r="C43" i="19"/>
  <c r="B43" i="19"/>
  <c r="K42" i="19"/>
  <c r="J42" i="19"/>
  <c r="I42" i="19"/>
  <c r="H42" i="19"/>
  <c r="G42" i="19"/>
  <c r="F42" i="19"/>
  <c r="E42" i="19"/>
  <c r="D42" i="19"/>
  <c r="C42" i="19"/>
  <c r="B42" i="19"/>
  <c r="K41" i="19"/>
  <c r="J41" i="19"/>
  <c r="I41" i="19"/>
  <c r="H41" i="19"/>
  <c r="G41" i="19"/>
  <c r="F41" i="19"/>
  <c r="E41" i="19"/>
  <c r="D41" i="19"/>
  <c r="C41" i="19"/>
  <c r="B41" i="19"/>
  <c r="K40" i="19"/>
  <c r="J40" i="19"/>
  <c r="I40" i="19"/>
  <c r="H40" i="19"/>
  <c r="G40" i="19"/>
  <c r="F40" i="19"/>
  <c r="E40" i="19"/>
  <c r="D40" i="19"/>
  <c r="C40" i="19"/>
  <c r="B40" i="19"/>
  <c r="K39" i="19"/>
  <c r="J39" i="19"/>
  <c r="I39" i="19"/>
  <c r="H39" i="19"/>
  <c r="G39" i="19"/>
  <c r="F39" i="19"/>
  <c r="E39" i="19"/>
  <c r="D39" i="19"/>
  <c r="C39" i="19"/>
  <c r="B39" i="19"/>
  <c r="K38" i="19"/>
  <c r="J38" i="19"/>
  <c r="J53" i="19" s="1"/>
  <c r="I38" i="19"/>
  <c r="I53" i="19" s="1"/>
  <c r="H38" i="19"/>
  <c r="H54" i="19" s="1"/>
  <c r="G38" i="19"/>
  <c r="G54" i="19" s="1"/>
  <c r="F38" i="19"/>
  <c r="F54" i="19" s="1"/>
  <c r="E38" i="19"/>
  <c r="D38" i="19"/>
  <c r="C38" i="19"/>
  <c r="B38" i="19"/>
  <c r="B53" i="19" s="1"/>
  <c r="K37" i="19"/>
  <c r="J37" i="19"/>
  <c r="I37" i="19"/>
  <c r="H37" i="19"/>
  <c r="G37" i="19"/>
  <c r="F37" i="19"/>
  <c r="E37" i="19"/>
  <c r="D37" i="19"/>
  <c r="C37" i="19"/>
  <c r="B37" i="19"/>
  <c r="K36" i="19"/>
  <c r="J36" i="19"/>
  <c r="I36" i="19"/>
  <c r="H36" i="19"/>
  <c r="G36" i="19"/>
  <c r="F36" i="19"/>
  <c r="E36" i="19"/>
  <c r="D36" i="19"/>
  <c r="C36" i="19"/>
  <c r="B36" i="19"/>
  <c r="K35" i="19"/>
  <c r="J35" i="19"/>
  <c r="I35" i="19"/>
  <c r="H35" i="19"/>
  <c r="G35" i="19"/>
  <c r="F35" i="19"/>
  <c r="E35" i="19"/>
  <c r="D35" i="19"/>
  <c r="C35" i="19"/>
  <c r="B35" i="19"/>
  <c r="K34" i="19"/>
  <c r="J34" i="19"/>
  <c r="I34" i="19"/>
  <c r="H34" i="19"/>
  <c r="G34" i="19"/>
  <c r="G50" i="19" s="1"/>
  <c r="F34" i="19"/>
  <c r="E34" i="19"/>
  <c r="D34" i="19"/>
  <c r="C34" i="19"/>
  <c r="B34" i="19"/>
  <c r="K33" i="19"/>
  <c r="J33" i="19"/>
  <c r="I33" i="19"/>
  <c r="H33" i="19"/>
  <c r="G33" i="19"/>
  <c r="F33" i="19"/>
  <c r="E33" i="19"/>
  <c r="D33" i="19"/>
  <c r="C33" i="19"/>
  <c r="B33" i="19"/>
  <c r="K32" i="19"/>
  <c r="J32" i="19"/>
  <c r="I32" i="19"/>
  <c r="H32" i="19"/>
  <c r="G32" i="19"/>
  <c r="F32" i="19"/>
  <c r="E32" i="19"/>
  <c r="D32" i="19"/>
  <c r="C32" i="19"/>
  <c r="B32" i="19"/>
  <c r="K31" i="19"/>
  <c r="J31" i="19"/>
  <c r="I31" i="19"/>
  <c r="H31" i="19"/>
  <c r="G31" i="19"/>
  <c r="F31" i="19"/>
  <c r="E31" i="19"/>
  <c r="D31" i="19"/>
  <c r="C31" i="19"/>
  <c r="B31" i="19"/>
  <c r="K30" i="19"/>
  <c r="J30" i="19"/>
  <c r="I30" i="19"/>
  <c r="H30" i="19"/>
  <c r="G30" i="19"/>
  <c r="F30" i="19"/>
  <c r="E30" i="19"/>
  <c r="D30" i="19"/>
  <c r="C30" i="19"/>
  <c r="B30" i="19"/>
  <c r="K29" i="19"/>
  <c r="J29" i="19"/>
  <c r="I29" i="19"/>
  <c r="H29" i="19"/>
  <c r="G29" i="19"/>
  <c r="F29" i="19"/>
  <c r="E29" i="19"/>
  <c r="D29" i="19"/>
  <c r="C29" i="19"/>
  <c r="B29" i="19"/>
  <c r="K28" i="19"/>
  <c r="K53" i="19" s="1"/>
  <c r="J28" i="19"/>
  <c r="I28" i="19"/>
  <c r="H28" i="19"/>
  <c r="G28" i="19"/>
  <c r="F28" i="19"/>
  <c r="F53" i="19" s="1"/>
  <c r="E28" i="19"/>
  <c r="E53" i="19" s="1"/>
  <c r="D28" i="19"/>
  <c r="D53" i="19" s="1"/>
  <c r="C28" i="19"/>
  <c r="C53" i="19" s="1"/>
  <c r="B28" i="19"/>
  <c r="K27" i="19"/>
  <c r="J27" i="19"/>
  <c r="I27" i="19"/>
  <c r="H27" i="19"/>
  <c r="G27" i="19"/>
  <c r="F27" i="19"/>
  <c r="E27" i="19"/>
  <c r="D27" i="19"/>
  <c r="C27" i="19"/>
  <c r="B27" i="19"/>
  <c r="K26" i="19"/>
  <c r="J26" i="19"/>
  <c r="I26" i="19"/>
  <c r="H26" i="19"/>
  <c r="G26" i="19"/>
  <c r="F26" i="19"/>
  <c r="E26" i="19"/>
  <c r="D26" i="19"/>
  <c r="C26" i="19"/>
  <c r="B26" i="19"/>
  <c r="K25" i="19"/>
  <c r="J25" i="19"/>
  <c r="I25" i="19"/>
  <c r="H25" i="19"/>
  <c r="G25" i="19"/>
  <c r="F25" i="19"/>
  <c r="E25" i="19"/>
  <c r="D25" i="19"/>
  <c r="C25" i="19"/>
  <c r="B25" i="19"/>
  <c r="K24" i="19"/>
  <c r="J24" i="19"/>
  <c r="I24" i="19"/>
  <c r="H24" i="19"/>
  <c r="G24" i="19"/>
  <c r="F24" i="19"/>
  <c r="E24" i="19"/>
  <c r="D24" i="19"/>
  <c r="C24" i="19"/>
  <c r="B24" i="19"/>
  <c r="K23" i="19"/>
  <c r="J23" i="19"/>
  <c r="I23" i="19"/>
  <c r="H23" i="19"/>
  <c r="G23" i="19"/>
  <c r="F23" i="19"/>
  <c r="E23" i="19"/>
  <c r="D23" i="19"/>
  <c r="C23" i="19"/>
  <c r="B23" i="19"/>
  <c r="K22" i="19"/>
  <c r="K49" i="19" s="1"/>
  <c r="J22" i="19"/>
  <c r="J49" i="19" s="1"/>
  <c r="I22" i="19"/>
  <c r="I49" i="19" s="1"/>
  <c r="H22" i="19"/>
  <c r="H48" i="19" s="1"/>
  <c r="G22" i="19"/>
  <c r="G48" i="19" s="1"/>
  <c r="F22" i="19"/>
  <c r="F49" i="19" s="1"/>
  <c r="E22" i="19"/>
  <c r="E49" i="19" s="1"/>
  <c r="D22" i="19"/>
  <c r="D49" i="19" s="1"/>
  <c r="C22" i="19"/>
  <c r="C49" i="19" s="1"/>
  <c r="B22" i="19"/>
  <c r="B49" i="19" s="1"/>
  <c r="K21" i="19"/>
  <c r="J21" i="19"/>
  <c r="I21" i="19"/>
  <c r="H21" i="19"/>
  <c r="G21" i="19"/>
  <c r="F21" i="19"/>
  <c r="E21" i="19"/>
  <c r="D21" i="19"/>
  <c r="C21" i="19"/>
  <c r="B21" i="19"/>
  <c r="K20" i="19"/>
  <c r="J20" i="19"/>
  <c r="I20" i="19"/>
  <c r="H20" i="19"/>
  <c r="G20" i="19"/>
  <c r="F20" i="19"/>
  <c r="E20" i="19"/>
  <c r="D20" i="19"/>
  <c r="C20" i="19"/>
  <c r="B20" i="19"/>
  <c r="K19" i="19"/>
  <c r="J19" i="19"/>
  <c r="I19" i="19"/>
  <c r="H19" i="19"/>
  <c r="G19" i="19"/>
  <c r="F19" i="19"/>
  <c r="E19" i="19"/>
  <c r="D19" i="19"/>
  <c r="C19" i="19"/>
  <c r="B19" i="19"/>
  <c r="K18" i="19"/>
  <c r="J18" i="19"/>
  <c r="I18" i="19"/>
  <c r="H18" i="19"/>
  <c r="G18" i="19"/>
  <c r="F18" i="19"/>
  <c r="E18" i="19"/>
  <c r="D18" i="19"/>
  <c r="C18" i="19"/>
  <c r="B18" i="19"/>
  <c r="K17" i="19"/>
  <c r="K50" i="19" s="1"/>
  <c r="J17" i="19"/>
  <c r="J50" i="19" s="1"/>
  <c r="I17" i="19"/>
  <c r="I50" i="19" s="1"/>
  <c r="H17" i="19"/>
  <c r="H50" i="19" s="1"/>
  <c r="G17" i="19"/>
  <c r="F17" i="19"/>
  <c r="E17" i="19"/>
  <c r="D17" i="19"/>
  <c r="D50" i="19" s="1"/>
  <c r="C17" i="19"/>
  <c r="C50" i="19" s="1"/>
  <c r="B17" i="19"/>
  <c r="B50" i="19" s="1"/>
  <c r="K16" i="19"/>
  <c r="J16" i="19"/>
  <c r="I16" i="19"/>
  <c r="H16" i="19"/>
  <c r="G16" i="19"/>
  <c r="F16" i="19"/>
  <c r="E16" i="19"/>
  <c r="D16" i="19"/>
  <c r="C16" i="19"/>
  <c r="B16" i="19"/>
  <c r="K36" i="17"/>
  <c r="J36" i="17"/>
  <c r="I36" i="17"/>
  <c r="H36" i="17"/>
  <c r="G36" i="17"/>
  <c r="F36" i="17"/>
  <c r="E36" i="17"/>
  <c r="D36" i="17"/>
  <c r="C36" i="17"/>
  <c r="B36" i="17"/>
  <c r="K35" i="17"/>
  <c r="J35" i="17"/>
  <c r="I35" i="17"/>
  <c r="H35" i="17"/>
  <c r="G35" i="17"/>
  <c r="F35" i="17"/>
  <c r="E35" i="17"/>
  <c r="D35" i="17"/>
  <c r="C35" i="17"/>
  <c r="B35" i="17"/>
  <c r="K34" i="17"/>
  <c r="J34" i="17"/>
  <c r="I34" i="17"/>
  <c r="H34" i="17"/>
  <c r="G34" i="17"/>
  <c r="F34" i="17"/>
  <c r="E34" i="17"/>
  <c r="D34" i="17"/>
  <c r="C34" i="17"/>
  <c r="B34" i="17"/>
  <c r="K33" i="17"/>
  <c r="J33" i="17"/>
  <c r="I33" i="17"/>
  <c r="H33" i="17"/>
  <c r="G33" i="17"/>
  <c r="F33" i="17"/>
  <c r="E33" i="17"/>
  <c r="D33" i="17"/>
  <c r="C33" i="17"/>
  <c r="B33" i="17"/>
  <c r="K32" i="17"/>
  <c r="J32" i="17"/>
  <c r="I32" i="17"/>
  <c r="H32" i="17"/>
  <c r="G32" i="17"/>
  <c r="F32" i="17"/>
  <c r="E32" i="17"/>
  <c r="D32" i="17"/>
  <c r="C32" i="17"/>
  <c r="B32" i="17"/>
  <c r="K31" i="17"/>
  <c r="J31" i="17"/>
  <c r="I31" i="17"/>
  <c r="H31" i="17"/>
  <c r="G31" i="17"/>
  <c r="F31" i="17"/>
  <c r="E31" i="17"/>
  <c r="D31" i="17"/>
  <c r="C31" i="17"/>
  <c r="B31" i="17"/>
  <c r="K30" i="17"/>
  <c r="J30" i="17"/>
  <c r="I30" i="17"/>
  <c r="H30" i="17"/>
  <c r="G30" i="17"/>
  <c r="F30" i="17"/>
  <c r="E30" i="17"/>
  <c r="D30" i="17"/>
  <c r="C30" i="17"/>
  <c r="B30" i="17"/>
  <c r="K29" i="17"/>
  <c r="J29" i="17"/>
  <c r="I29" i="17"/>
  <c r="H29" i="17"/>
  <c r="G29" i="17"/>
  <c r="F29" i="17"/>
  <c r="E29" i="17"/>
  <c r="D29" i="17"/>
  <c r="C29" i="17"/>
  <c r="B29" i="17"/>
  <c r="K28" i="17"/>
  <c r="J28" i="17"/>
  <c r="I28" i="17"/>
  <c r="H28" i="17"/>
  <c r="H63" i="19" s="1"/>
  <c r="G28" i="17"/>
  <c r="G63" i="19" s="1"/>
  <c r="F28" i="17"/>
  <c r="F63" i="19" s="1"/>
  <c r="E28" i="17"/>
  <c r="E63" i="19" s="1"/>
  <c r="D28" i="17"/>
  <c r="D63" i="19" s="1"/>
  <c r="C28" i="17"/>
  <c r="B28" i="17"/>
  <c r="K27" i="17"/>
  <c r="J27" i="17"/>
  <c r="I27" i="17"/>
  <c r="H27" i="17"/>
  <c r="G27" i="17"/>
  <c r="F27" i="17"/>
  <c r="E27" i="17"/>
  <c r="D27" i="17"/>
  <c r="C27" i="17"/>
  <c r="B27" i="17"/>
  <c r="K26" i="17"/>
  <c r="J26" i="17"/>
  <c r="I26" i="17"/>
  <c r="H26" i="17"/>
  <c r="G26" i="17"/>
  <c r="F26" i="17"/>
  <c r="E26" i="17"/>
  <c r="D26" i="17"/>
  <c r="C26" i="17"/>
  <c r="B26" i="17"/>
  <c r="K25" i="17"/>
  <c r="J25" i="17"/>
  <c r="I25" i="17"/>
  <c r="H25" i="17"/>
  <c r="G25" i="17"/>
  <c r="F25" i="17"/>
  <c r="E25" i="17"/>
  <c r="D25" i="17"/>
  <c r="C25" i="17"/>
  <c r="B25" i="17"/>
  <c r="K24" i="17"/>
  <c r="J24" i="17"/>
  <c r="I24" i="17"/>
  <c r="H24" i="17"/>
  <c r="G24" i="17"/>
  <c r="F24" i="17"/>
  <c r="E24" i="17"/>
  <c r="D24" i="17"/>
  <c r="C24" i="17"/>
  <c r="B24" i="17"/>
  <c r="K23" i="17"/>
  <c r="J23" i="17"/>
  <c r="I23" i="17"/>
  <c r="H23" i="17"/>
  <c r="G23" i="17"/>
  <c r="F23" i="17"/>
  <c r="E23" i="17"/>
  <c r="D23" i="17"/>
  <c r="C23" i="17"/>
  <c r="B23" i="17"/>
  <c r="K22" i="17"/>
  <c r="J22" i="17"/>
  <c r="I22" i="17"/>
  <c r="H22" i="17"/>
  <c r="G22" i="17"/>
  <c r="F22" i="17"/>
  <c r="E22" i="17"/>
  <c r="D22" i="17"/>
  <c r="C22" i="17"/>
  <c r="B22" i="17"/>
  <c r="K21" i="17"/>
  <c r="J21" i="17"/>
  <c r="I21" i="17"/>
  <c r="H21" i="17"/>
  <c r="G21" i="17"/>
  <c r="F21" i="17"/>
  <c r="E21" i="17"/>
  <c r="D21" i="17"/>
  <c r="C21" i="17"/>
  <c r="B21" i="17"/>
  <c r="K20" i="17"/>
  <c r="J20" i="17"/>
  <c r="I20" i="17"/>
  <c r="H20" i="17"/>
  <c r="G20" i="17"/>
  <c r="F20" i="17"/>
  <c r="E20" i="17"/>
  <c r="D20" i="17"/>
  <c r="C20" i="17"/>
  <c r="B20" i="17"/>
  <c r="K19" i="17"/>
  <c r="J19" i="17"/>
  <c r="I19" i="17"/>
  <c r="H19" i="17"/>
  <c r="G19" i="17"/>
  <c r="F19" i="17"/>
  <c r="E19" i="17"/>
  <c r="D19" i="17"/>
  <c r="C19" i="17"/>
  <c r="B19" i="17"/>
  <c r="K18" i="17"/>
  <c r="K57" i="19" s="1"/>
  <c r="K58" i="19" s="1"/>
  <c r="J18" i="17"/>
  <c r="J57" i="19" s="1"/>
  <c r="J58" i="19" s="1"/>
  <c r="I18" i="17"/>
  <c r="I57" i="19" s="1"/>
  <c r="I58" i="19" s="1"/>
  <c r="H18" i="17"/>
  <c r="G18" i="17"/>
  <c r="F18" i="17"/>
  <c r="F57" i="19" s="1"/>
  <c r="F58" i="19" s="1"/>
  <c r="E18" i="17"/>
  <c r="E57" i="19" s="1"/>
  <c r="E58" i="19" s="1"/>
  <c r="D18" i="17"/>
  <c r="D57" i="19" s="1"/>
  <c r="D58" i="19" s="1"/>
  <c r="C18" i="17"/>
  <c r="C57" i="19" s="1"/>
  <c r="C58" i="19" s="1"/>
  <c r="B18" i="17"/>
  <c r="B57" i="19" s="1"/>
  <c r="B58" i="19" s="1"/>
  <c r="K17" i="17"/>
  <c r="K59" i="19" s="1"/>
  <c r="J17" i="17"/>
  <c r="J59" i="19" s="1"/>
  <c r="I17" i="17"/>
  <c r="I59" i="19" s="1"/>
  <c r="H17" i="17"/>
  <c r="H59" i="19" s="1"/>
  <c r="G17" i="17"/>
  <c r="G59" i="19" s="1"/>
  <c r="F17" i="17"/>
  <c r="F59" i="19" s="1"/>
  <c r="E17" i="17"/>
  <c r="E59" i="19" s="1"/>
  <c r="D17" i="17"/>
  <c r="D59" i="19" s="1"/>
  <c r="C17" i="17"/>
  <c r="C63" i="19" s="1"/>
  <c r="B17" i="17"/>
  <c r="B59" i="19" s="1"/>
  <c r="K16" i="17"/>
  <c r="J16" i="17"/>
  <c r="I16" i="17"/>
  <c r="H16" i="17"/>
  <c r="G16" i="17"/>
  <c r="F16" i="17"/>
  <c r="E16" i="17"/>
  <c r="D16" i="17"/>
  <c r="C16" i="17"/>
  <c r="B16" i="17"/>
  <c r="E50" i="27" l="1"/>
  <c r="C51" i="27"/>
  <c r="K51" i="27"/>
  <c r="G55" i="27"/>
  <c r="E56" i="27"/>
  <c r="I49" i="23"/>
  <c r="H49" i="19"/>
  <c r="B49" i="23"/>
  <c r="J49" i="23"/>
  <c r="F59" i="23"/>
  <c r="F50" i="27"/>
  <c r="D51" i="27"/>
  <c r="H55" i="27"/>
  <c r="F56" i="27"/>
  <c r="I55" i="27"/>
  <c r="G49" i="19"/>
  <c r="C59" i="19"/>
  <c r="E59" i="23"/>
  <c r="K63" i="19"/>
  <c r="G53" i="23"/>
  <c r="H53" i="23"/>
  <c r="H50" i="27"/>
  <c r="B55" i="27"/>
  <c r="J55" i="27"/>
  <c r="I50" i="27"/>
  <c r="C55" i="27"/>
  <c r="K55" i="27"/>
  <c r="B50" i="27"/>
  <c r="J50" i="27"/>
  <c r="G53" i="19"/>
  <c r="I53" i="23"/>
  <c r="F48" i="19"/>
  <c r="H53" i="19"/>
  <c r="H48" i="23"/>
  <c r="B53" i="23"/>
  <c r="J53" i="23"/>
  <c r="O3" i="15"/>
  <c r="O4"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2" i="15"/>
  <c r="O2"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2" i="15"/>
  <c r="N121" i="15"/>
  <c r="N120" i="15"/>
  <c r="N119" i="15"/>
  <c r="N118" i="15"/>
  <c r="N117" i="15"/>
  <c r="N116" i="15"/>
  <c r="N115" i="15"/>
  <c r="N114" i="15"/>
  <c r="N113" i="15"/>
  <c r="N112" i="15"/>
  <c r="N111" i="15"/>
  <c r="N110" i="15"/>
  <c r="N109" i="15"/>
  <c r="N108" i="15"/>
  <c r="N107" i="15"/>
  <c r="N106" i="15"/>
  <c r="N105" i="15"/>
  <c r="N104" i="15"/>
  <c r="N103" i="15"/>
  <c r="N102" i="15"/>
  <c r="N101" i="15"/>
  <c r="N100" i="15"/>
  <c r="N99" i="15"/>
  <c r="N98" i="15"/>
  <c r="N97" i="15"/>
  <c r="N96" i="15"/>
  <c r="N95" i="15"/>
  <c r="N94" i="15"/>
  <c r="N93" i="15"/>
  <c r="N92" i="15"/>
  <c r="N91" i="15"/>
  <c r="N90" i="15"/>
  <c r="N89" i="15"/>
  <c r="N88" i="15"/>
  <c r="N87" i="15"/>
  <c r="N86" i="15"/>
  <c r="N85" i="15"/>
  <c r="N84" i="15"/>
  <c r="N83" i="15"/>
  <c r="N82" i="15"/>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D118" i="8" l="1"/>
  <c r="E118" i="8"/>
  <c r="F118" i="8"/>
  <c r="G118" i="8"/>
  <c r="H118" i="8"/>
  <c r="I118" i="8"/>
  <c r="J118" i="8"/>
  <c r="K118" i="8"/>
  <c r="C118" i="8"/>
  <c r="D115" i="8"/>
  <c r="E115" i="8"/>
  <c r="F115" i="8"/>
  <c r="G115" i="8"/>
  <c r="H115" i="8"/>
  <c r="I115" i="8"/>
  <c r="J115" i="8"/>
  <c r="K115" i="8"/>
  <c r="J117" i="8"/>
  <c r="D117" i="8"/>
  <c r="E117" i="8"/>
  <c r="F117" i="8"/>
  <c r="G117" i="8"/>
  <c r="H117" i="8"/>
  <c r="I117" i="8"/>
  <c r="C117" i="8"/>
  <c r="C115" i="8"/>
  <c r="D113" i="8"/>
  <c r="E113" i="8"/>
  <c r="F113" i="8"/>
  <c r="G113" i="8"/>
  <c r="H113" i="8"/>
  <c r="I113" i="8"/>
  <c r="J113" i="8"/>
  <c r="K113" i="8"/>
  <c r="C113" i="8"/>
  <c r="D111" i="8"/>
  <c r="E111" i="8"/>
  <c r="F111" i="8"/>
  <c r="G111" i="8"/>
  <c r="H111" i="8"/>
  <c r="I111" i="8"/>
  <c r="J111" i="8"/>
  <c r="K111" i="8"/>
  <c r="C111" i="8"/>
  <c r="D106" i="8"/>
  <c r="E106" i="8"/>
  <c r="F106" i="8"/>
  <c r="G106" i="8"/>
  <c r="H106" i="8"/>
  <c r="I106" i="8"/>
  <c r="J106" i="8"/>
  <c r="K106" i="8"/>
  <c r="C106" i="8"/>
  <c r="O50" i="8"/>
  <c r="O49" i="8"/>
  <c r="O48" i="8"/>
  <c r="AC4" i="8"/>
  <c r="AD4" i="8"/>
  <c r="AE4" i="8"/>
  <c r="AF4" i="8"/>
  <c r="AG4" i="8"/>
  <c r="AH4" i="8"/>
  <c r="AI4" i="8"/>
  <c r="AJ4" i="8"/>
  <c r="AK4" i="8"/>
  <c r="AB4" i="8"/>
  <c r="D20" i="14" l="1"/>
  <c r="D21" i="14"/>
  <c r="D22" i="14"/>
  <c r="D19" i="14"/>
  <c r="B31" i="13" l="1"/>
  <c r="B112" i="13" s="1"/>
  <c r="G3" i="14"/>
  <c r="C3" i="14"/>
  <c r="F3" i="14"/>
  <c r="E3" i="14"/>
  <c r="K128" i="13" l="1"/>
  <c r="C9" i="14"/>
  <c r="C8" i="14"/>
  <c r="C7" i="14"/>
  <c r="C6" i="14"/>
  <c r="C5" i="14"/>
  <c r="B132" i="13"/>
  <c r="E128" i="13"/>
  <c r="F128" i="13"/>
  <c r="G128" i="13"/>
  <c r="H128" i="13"/>
  <c r="I128" i="13"/>
  <c r="J128" i="13"/>
  <c r="D124" i="13"/>
  <c r="E124" i="13"/>
  <c r="F124" i="13"/>
  <c r="G124" i="13"/>
  <c r="H124" i="13"/>
  <c r="I124" i="13"/>
  <c r="J124" i="13"/>
  <c r="K124" i="13"/>
  <c r="D123" i="13"/>
  <c r="E123" i="13"/>
  <c r="F123" i="13"/>
  <c r="G123" i="13"/>
  <c r="H123" i="13"/>
  <c r="I123" i="13"/>
  <c r="J123" i="13"/>
  <c r="K123" i="13"/>
  <c r="D122" i="13"/>
  <c r="E122" i="13"/>
  <c r="F122" i="13"/>
  <c r="G122" i="13"/>
  <c r="H122" i="13"/>
  <c r="I122" i="13"/>
  <c r="J122" i="13"/>
  <c r="K122" i="13"/>
  <c r="C122" i="13"/>
  <c r="C121" i="13"/>
  <c r="D121" i="13"/>
  <c r="E121" i="13"/>
  <c r="F121" i="13"/>
  <c r="G121" i="13"/>
  <c r="H121" i="13"/>
  <c r="I121" i="13"/>
  <c r="J121" i="13"/>
  <c r="K121" i="13"/>
  <c r="B121" i="13"/>
  <c r="C108" i="13"/>
  <c r="D108" i="13"/>
  <c r="E108" i="13"/>
  <c r="F108" i="13"/>
  <c r="G108" i="13"/>
  <c r="H108" i="13"/>
  <c r="I108" i="13"/>
  <c r="J108" i="13"/>
  <c r="K108" i="13"/>
  <c r="C107" i="13"/>
  <c r="D107" i="13"/>
  <c r="E107" i="13"/>
  <c r="F107" i="13"/>
  <c r="G107" i="13"/>
  <c r="H107" i="13"/>
  <c r="I107" i="13"/>
  <c r="J107" i="13"/>
  <c r="K107" i="13"/>
  <c r="C105" i="13"/>
  <c r="C106" i="13" s="1"/>
  <c r="D105" i="13"/>
  <c r="E105" i="13"/>
  <c r="F105" i="13"/>
  <c r="F106" i="13" s="1"/>
  <c r="G105" i="13"/>
  <c r="G106" i="13" s="1"/>
  <c r="H105" i="13"/>
  <c r="H106" i="13" s="1"/>
  <c r="I105" i="13"/>
  <c r="J105" i="13"/>
  <c r="J106" i="13" s="1"/>
  <c r="K105" i="13"/>
  <c r="D106" i="13"/>
  <c r="E106" i="13"/>
  <c r="I106" i="13"/>
  <c r="K106" i="13"/>
  <c r="C104" i="13"/>
  <c r="D104" i="13"/>
  <c r="E104" i="13"/>
  <c r="F104" i="13"/>
  <c r="G104" i="13"/>
  <c r="H104" i="13"/>
  <c r="I104" i="13"/>
  <c r="J104" i="13"/>
  <c r="K104" i="13"/>
  <c r="C103" i="13"/>
  <c r="D103" i="13"/>
  <c r="E103" i="13"/>
  <c r="F103" i="13"/>
  <c r="G103" i="13"/>
  <c r="H103" i="13"/>
  <c r="I103" i="13"/>
  <c r="J103" i="13"/>
  <c r="K103" i="13"/>
  <c r="E102" i="13"/>
  <c r="F102" i="13"/>
  <c r="G102" i="13"/>
  <c r="H102" i="13"/>
  <c r="I102" i="13"/>
  <c r="J102" i="13"/>
  <c r="K102" i="13"/>
  <c r="C101" i="13"/>
  <c r="D101" i="13"/>
  <c r="E101" i="13"/>
  <c r="F101" i="13"/>
  <c r="G101" i="13"/>
  <c r="H101" i="13"/>
  <c r="I101" i="13"/>
  <c r="J101" i="13"/>
  <c r="K101" i="13"/>
  <c r="C100" i="13"/>
  <c r="D100" i="13"/>
  <c r="E100" i="13"/>
  <c r="F100" i="13"/>
  <c r="G100" i="13"/>
  <c r="H100" i="13"/>
  <c r="I100" i="13"/>
  <c r="J100" i="13"/>
  <c r="K100" i="13"/>
  <c r="C99" i="13"/>
  <c r="D99" i="13"/>
  <c r="E99" i="13"/>
  <c r="F99" i="13"/>
  <c r="G99" i="13"/>
  <c r="H99" i="13"/>
  <c r="I99" i="13"/>
  <c r="J99" i="13"/>
  <c r="K99" i="13"/>
  <c r="B99" i="13"/>
  <c r="C97" i="13"/>
  <c r="D97" i="13"/>
  <c r="E97" i="13"/>
  <c r="F97" i="13"/>
  <c r="G97" i="13"/>
  <c r="H97" i="13"/>
  <c r="I97" i="13"/>
  <c r="J97" i="13"/>
  <c r="K97" i="13"/>
  <c r="C95" i="13"/>
  <c r="D95" i="13"/>
  <c r="E95" i="13"/>
  <c r="F95" i="13"/>
  <c r="G95" i="13"/>
  <c r="H95" i="13"/>
  <c r="I95" i="13"/>
  <c r="J95" i="13"/>
  <c r="K95" i="13"/>
  <c r="D91" i="13"/>
  <c r="E91" i="13"/>
  <c r="F91" i="13"/>
  <c r="G91" i="13"/>
  <c r="H91" i="13"/>
  <c r="I91" i="13"/>
  <c r="J91" i="13"/>
  <c r="K91" i="13"/>
  <c r="D90" i="13"/>
  <c r="E90" i="13"/>
  <c r="F90" i="13"/>
  <c r="G90" i="13"/>
  <c r="H90" i="13"/>
  <c r="I90" i="13"/>
  <c r="J90" i="13"/>
  <c r="K90" i="13"/>
  <c r="D89" i="13"/>
  <c r="E89" i="13"/>
  <c r="F89" i="13"/>
  <c r="G89" i="13"/>
  <c r="H89" i="13"/>
  <c r="I89" i="13"/>
  <c r="J89" i="13"/>
  <c r="K89" i="13"/>
  <c r="D88" i="13"/>
  <c r="E88" i="13"/>
  <c r="F88" i="13"/>
  <c r="G88" i="13"/>
  <c r="H88" i="13"/>
  <c r="I88" i="13"/>
  <c r="J88" i="13"/>
  <c r="K88" i="13"/>
  <c r="D87" i="13"/>
  <c r="E87" i="13"/>
  <c r="F87" i="13"/>
  <c r="G87" i="13"/>
  <c r="H87" i="13"/>
  <c r="I87" i="13"/>
  <c r="J87" i="13"/>
  <c r="K87" i="13"/>
  <c r="C87" i="13"/>
  <c r="C16" i="13"/>
  <c r="E46" i="13"/>
  <c r="F46" i="13" s="1"/>
  <c r="E47" i="13"/>
  <c r="E48" i="13" s="1"/>
  <c r="E49" i="13"/>
  <c r="E50" i="13"/>
  <c r="E51" i="13" s="1"/>
  <c r="E53" i="13"/>
  <c r="E54" i="13" s="1"/>
  <c r="F53" i="13"/>
  <c r="F54" i="13" s="1"/>
  <c r="G53" i="13"/>
  <c r="G54" i="13" s="1"/>
  <c r="H53" i="13"/>
  <c r="H54" i="13" s="1"/>
  <c r="E65" i="13"/>
  <c r="E66" i="13"/>
  <c r="E67" i="13"/>
  <c r="E70" i="13"/>
  <c r="E73" i="13"/>
  <c r="F73" i="13"/>
  <c r="G73" i="13"/>
  <c r="H73" i="13"/>
  <c r="J73" i="13" s="1"/>
  <c r="I73" i="13"/>
  <c r="K73" i="13" s="1"/>
  <c r="E75" i="13"/>
  <c r="E77" i="13" s="1"/>
  <c r="E76" i="13"/>
  <c r="F76" i="13" s="1"/>
  <c r="C142" i="13"/>
  <c r="B142" i="13"/>
  <c r="C141" i="13"/>
  <c r="B141" i="13"/>
  <c r="D140" i="13"/>
  <c r="C140" i="13"/>
  <c r="B140" i="13"/>
  <c r="C123" i="13"/>
  <c r="D80" i="13"/>
  <c r="D67" i="13"/>
  <c r="E52" i="13" l="1"/>
  <c r="E55" i="13" s="1"/>
  <c r="F47" i="13"/>
  <c r="F48" i="13" s="1"/>
  <c r="F75" i="13"/>
  <c r="F66" i="13"/>
  <c r="F70" i="13"/>
  <c r="G46" i="13"/>
  <c r="F65" i="13"/>
  <c r="F49" i="13"/>
  <c r="I53" i="13"/>
  <c r="F50" i="13"/>
  <c r="G50" i="13" s="1"/>
  <c r="H50" i="13" s="1"/>
  <c r="I50" i="13" s="1"/>
  <c r="J50" i="13" s="1"/>
  <c r="K50" i="13" s="1"/>
  <c r="G67" i="13"/>
  <c r="H76" i="13"/>
  <c r="F77" i="13"/>
  <c r="G76" i="13"/>
  <c r="F67" i="13"/>
  <c r="G47" i="13" l="1"/>
  <c r="G48" i="13" s="1"/>
  <c r="G52" i="13" s="1"/>
  <c r="G55" i="13" s="1"/>
  <c r="G75" i="13"/>
  <c r="H46" i="13"/>
  <c r="G66" i="13"/>
  <c r="G70" i="13"/>
  <c r="G49" i="13"/>
  <c r="G51" i="13" s="1"/>
  <c r="G65" i="13"/>
  <c r="I54" i="13"/>
  <c r="J53" i="13"/>
  <c r="F51" i="13"/>
  <c r="F52" i="13" s="1"/>
  <c r="F55" i="13" s="1"/>
  <c r="E57" i="13"/>
  <c r="E80" i="13" s="1"/>
  <c r="E56" i="13"/>
  <c r="H67" i="13"/>
  <c r="I67" i="13"/>
  <c r="I76" i="13"/>
  <c r="G77" i="13"/>
  <c r="F56" i="13" l="1"/>
  <c r="F57" i="13" s="1"/>
  <c r="F80" i="13" s="1"/>
  <c r="G80" i="13" s="1"/>
  <c r="G56" i="13"/>
  <c r="G57" i="13"/>
  <c r="H49" i="13"/>
  <c r="H51" i="13" s="1"/>
  <c r="H48" i="13"/>
  <c r="H52" i="13" s="1"/>
  <c r="H55" i="13" s="1"/>
  <c r="H75" i="13"/>
  <c r="H77" i="13" s="1"/>
  <c r="H47" i="13"/>
  <c r="I46" i="13"/>
  <c r="H66" i="13"/>
  <c r="H70" i="13"/>
  <c r="H65" i="13"/>
  <c r="J54" i="13"/>
  <c r="K53" i="13"/>
  <c r="K54" i="13" s="1"/>
  <c r="K76" i="13"/>
  <c r="J67" i="13"/>
  <c r="J76" i="13"/>
  <c r="H56" i="13" l="1"/>
  <c r="H57" i="13" s="1"/>
  <c r="H80" i="13" s="1"/>
  <c r="I65" i="13"/>
  <c r="I75" i="13"/>
  <c r="I77" i="13" s="1"/>
  <c r="I49" i="13"/>
  <c r="I51" i="13" s="1"/>
  <c r="I47" i="13"/>
  <c r="I48" i="13"/>
  <c r="J46" i="13"/>
  <c r="I66" i="13"/>
  <c r="I70" i="13"/>
  <c r="K67" i="13"/>
  <c r="I52" i="13" l="1"/>
  <c r="I55" i="13" s="1"/>
  <c r="J66" i="13"/>
  <c r="J70" i="13"/>
  <c r="J48" i="13"/>
  <c r="J52" i="13" s="1"/>
  <c r="J55" i="13" s="1"/>
  <c r="J65" i="13"/>
  <c r="J49" i="13"/>
  <c r="J51" i="13" s="1"/>
  <c r="J47" i="13"/>
  <c r="J75" i="13"/>
  <c r="J77" i="13" s="1"/>
  <c r="K46" i="13"/>
  <c r="K49" i="13" l="1"/>
  <c r="K51" i="13" s="1"/>
  <c r="K66" i="13"/>
  <c r="K70" i="13"/>
  <c r="K65" i="13"/>
  <c r="K47" i="13"/>
  <c r="K48" i="13" s="1"/>
  <c r="K52" i="13" s="1"/>
  <c r="K55" i="13" s="1"/>
  <c r="K75" i="13"/>
  <c r="K77" i="13" s="1"/>
  <c r="J56" i="13"/>
  <c r="J57" i="13" s="1"/>
  <c r="I56" i="13"/>
  <c r="I57" i="13" s="1"/>
  <c r="I80" i="13" s="1"/>
  <c r="K56" i="13" l="1"/>
  <c r="K57" i="13"/>
  <c r="J80" i="13"/>
  <c r="K80" i="13" s="1"/>
  <c r="D65" i="13" l="1"/>
  <c r="B95" i="13"/>
  <c r="C102" i="13"/>
  <c r="B102" i="13"/>
  <c r="G9" i="14"/>
  <c r="F9" i="14"/>
  <c r="E9" i="14"/>
  <c r="G8" i="14"/>
  <c r="F8" i="14"/>
  <c r="E8" i="14"/>
  <c r="C14" i="14"/>
  <c r="G7" i="14"/>
  <c r="F7" i="14"/>
  <c r="E7" i="14"/>
  <c r="G6" i="14"/>
  <c r="F6" i="14"/>
  <c r="E6" i="14"/>
  <c r="G4" i="14"/>
  <c r="F4" i="14"/>
  <c r="E4" i="14"/>
  <c r="C4" i="14"/>
  <c r="C12" i="14"/>
  <c r="C20" i="13"/>
  <c r="C89" i="13" s="1"/>
  <c r="B20" i="13"/>
  <c r="B98" i="13" s="1"/>
  <c r="C78" i="13"/>
  <c r="B78" i="13"/>
  <c r="C48" i="13"/>
  <c r="C49" i="13"/>
  <c r="C50" i="13"/>
  <c r="D50" i="13" s="1"/>
  <c r="C51" i="13"/>
  <c r="C52" i="13"/>
  <c r="C53" i="13"/>
  <c r="C54" i="13"/>
  <c r="C55" i="13"/>
  <c r="C56" i="13"/>
  <c r="C57" i="13"/>
  <c r="B57" i="13"/>
  <c r="B100" i="13" s="1"/>
  <c r="B56" i="13"/>
  <c r="B55" i="13"/>
  <c r="B52" i="13"/>
  <c r="B51" i="13"/>
  <c r="B50" i="13"/>
  <c r="B49" i="13"/>
  <c r="B48" i="13"/>
  <c r="C47" i="13"/>
  <c r="B47" i="13"/>
  <c r="C46" i="13"/>
  <c r="B46" i="13"/>
  <c r="D17" i="13"/>
  <c r="E17" i="13" s="1"/>
  <c r="F17" i="13" s="1"/>
  <c r="G17" i="13" s="1"/>
  <c r="H17" i="13" s="1"/>
  <c r="I17" i="13" s="1"/>
  <c r="J17" i="13" s="1"/>
  <c r="K17" i="13" s="1"/>
  <c r="L22" i="3"/>
  <c r="C18" i="13"/>
  <c r="D18" i="13" s="1"/>
  <c r="E18" i="13" s="1"/>
  <c r="F18" i="13" s="1"/>
  <c r="G18" i="13" s="1"/>
  <c r="H18" i="13" s="1"/>
  <c r="I18" i="13" s="1"/>
  <c r="J18" i="13" s="1"/>
  <c r="K18" i="13" s="1"/>
  <c r="D16" i="13"/>
  <c r="L26" i="3"/>
  <c r="L20" i="1"/>
  <c r="C15" i="13"/>
  <c r="D15" i="13" s="1"/>
  <c r="C14" i="13"/>
  <c r="D14" i="13" s="1"/>
  <c r="B113" i="13"/>
  <c r="B114" i="13" s="1"/>
  <c r="C82" i="13"/>
  <c r="B82" i="13"/>
  <c r="C81" i="13"/>
  <c r="B81" i="13"/>
  <c r="C80" i="13"/>
  <c r="B80" i="13"/>
  <c r="C79" i="13"/>
  <c r="B79" i="13"/>
  <c r="C77" i="13"/>
  <c r="B77" i="13"/>
  <c r="C76" i="13"/>
  <c r="B76" i="13"/>
  <c r="C75" i="13"/>
  <c r="B75" i="13"/>
  <c r="C74" i="13"/>
  <c r="B74" i="13"/>
  <c r="C73" i="13"/>
  <c r="B73" i="13"/>
  <c r="C72" i="13"/>
  <c r="B72" i="13"/>
  <c r="C71" i="13"/>
  <c r="B71" i="13"/>
  <c r="C70" i="13"/>
  <c r="B70" i="13"/>
  <c r="C69" i="13"/>
  <c r="B69" i="13"/>
  <c r="C68" i="13"/>
  <c r="B68" i="13"/>
  <c r="C67" i="13"/>
  <c r="B67" i="13"/>
  <c r="C66" i="13"/>
  <c r="B66" i="13"/>
  <c r="C65" i="13"/>
  <c r="B65" i="13"/>
  <c r="B54" i="13"/>
  <c r="B53" i="13"/>
  <c r="C19" i="13"/>
  <c r="C11" i="13"/>
  <c r="D11" i="13" s="1"/>
  <c r="E11" i="13" s="1"/>
  <c r="F11" i="13" s="1"/>
  <c r="G11" i="13" s="1"/>
  <c r="H11" i="13" s="1"/>
  <c r="I11" i="13" s="1"/>
  <c r="J11" i="13" s="1"/>
  <c r="K11" i="13" s="1"/>
  <c r="B11" i="13"/>
  <c r="C10" i="13"/>
  <c r="D10" i="13" s="1"/>
  <c r="B10" i="13"/>
  <c r="K9" i="13"/>
  <c r="J9" i="13"/>
  <c r="I9" i="13"/>
  <c r="H9" i="13"/>
  <c r="G9" i="13"/>
  <c r="F9" i="13"/>
  <c r="E9" i="13"/>
  <c r="D9" i="13"/>
  <c r="C9" i="13"/>
  <c r="B9" i="13"/>
  <c r="E16" i="13" l="1"/>
  <c r="D68" i="13"/>
  <c r="B97" i="13"/>
  <c r="C98" i="13"/>
  <c r="B101" i="13"/>
  <c r="B103" i="13" s="1"/>
  <c r="B104" i="13" s="1"/>
  <c r="C88" i="13"/>
  <c r="C90" i="13" s="1"/>
  <c r="D73" i="13"/>
  <c r="D76" i="13"/>
  <c r="E15" i="14"/>
  <c r="E13" i="14"/>
  <c r="E11" i="14"/>
  <c r="E14" i="14"/>
  <c r="E12" i="14"/>
  <c r="G13" i="14"/>
  <c r="G11" i="14"/>
  <c r="G12" i="14"/>
  <c r="G14" i="14"/>
  <c r="G15" i="14"/>
  <c r="F15" i="14"/>
  <c r="F13" i="14"/>
  <c r="F11" i="14"/>
  <c r="F14" i="14"/>
  <c r="F12" i="14"/>
  <c r="C13" i="14"/>
  <c r="C11" i="14"/>
  <c r="C15" i="14"/>
  <c r="D46" i="13"/>
  <c r="D75" i="13" s="1"/>
  <c r="E15" i="13"/>
  <c r="F15" i="13" s="1"/>
  <c r="G15" i="13" s="1"/>
  <c r="H15" i="13" s="1"/>
  <c r="I15" i="13" s="1"/>
  <c r="J15" i="13" s="1"/>
  <c r="K15" i="13" s="1"/>
  <c r="E14" i="13"/>
  <c r="F14" i="13" s="1"/>
  <c r="G14" i="13" s="1"/>
  <c r="H14" i="13" s="1"/>
  <c r="I14" i="13" s="1"/>
  <c r="J14" i="13" s="1"/>
  <c r="K14" i="13" s="1"/>
  <c r="D53" i="13"/>
  <c r="E10" i="13"/>
  <c r="F10" i="13" s="1"/>
  <c r="G10" i="13" s="1"/>
  <c r="H10" i="13" s="1"/>
  <c r="I10" i="13" s="1"/>
  <c r="J10" i="13" s="1"/>
  <c r="K10" i="13" s="1"/>
  <c r="F16" i="13" l="1"/>
  <c r="E68" i="13"/>
  <c r="E69" i="13" s="1"/>
  <c r="C91" i="13"/>
  <c r="B105" i="13"/>
  <c r="B106" i="13" s="1"/>
  <c r="D77" i="13"/>
  <c r="D102" i="13" s="1"/>
  <c r="I12" i="14"/>
  <c r="C19" i="14" s="1"/>
  <c r="I13" i="14"/>
  <c r="C20" i="14" s="1"/>
  <c r="I14" i="14"/>
  <c r="C21" i="14" s="1"/>
  <c r="I15" i="14"/>
  <c r="C22" i="14" s="1"/>
  <c r="D49" i="13"/>
  <c r="D51" i="13" s="1"/>
  <c r="D47" i="13"/>
  <c r="D48" i="13" s="1"/>
  <c r="D70" i="13"/>
  <c r="D66" i="13"/>
  <c r="D54" i="13"/>
  <c r="G16" i="13" l="1"/>
  <c r="F68" i="13"/>
  <c r="F69" i="13" s="1"/>
  <c r="B107" i="13"/>
  <c r="B108" i="13" s="1"/>
  <c r="D20" i="13"/>
  <c r="C124" i="13"/>
  <c r="D52" i="13"/>
  <c r="D55" i="13" s="1"/>
  <c r="D56" i="13" s="1"/>
  <c r="D24" i="14"/>
  <c r="D69" i="13"/>
  <c r="H16" i="13" l="1"/>
  <c r="G68" i="13"/>
  <c r="G69" i="13" s="1"/>
  <c r="D98" i="13"/>
  <c r="D71" i="13"/>
  <c r="F20" i="13"/>
  <c r="E20" i="13"/>
  <c r="E71" i="13" s="1"/>
  <c r="D57" i="13"/>
  <c r="I16" i="13" l="1"/>
  <c r="H68" i="13"/>
  <c r="H69" i="13" s="1"/>
  <c r="F71" i="13"/>
  <c r="E72" i="13"/>
  <c r="E74" i="13" s="1"/>
  <c r="E82" i="13" s="1"/>
  <c r="F98" i="13"/>
  <c r="E98" i="13"/>
  <c r="J16" i="13" l="1"/>
  <c r="I68" i="13"/>
  <c r="I69" i="13" s="1"/>
  <c r="F72" i="13"/>
  <c r="F74" i="13" s="1"/>
  <c r="F82" i="13" s="1"/>
  <c r="G20" i="13"/>
  <c r="H20" i="13"/>
  <c r="K16" i="13" l="1"/>
  <c r="K68" i="13" s="1"/>
  <c r="K69" i="13" s="1"/>
  <c r="J68" i="13"/>
  <c r="J69" i="13" s="1"/>
  <c r="G71" i="13"/>
  <c r="H98" i="13"/>
  <c r="I20" i="13"/>
  <c r="G98" i="13"/>
  <c r="G72" i="13" l="1"/>
  <c r="G74" i="13" s="1"/>
  <c r="G82" i="13" s="1"/>
  <c r="H71" i="13"/>
  <c r="I98" i="13"/>
  <c r="J20" i="13"/>
  <c r="D128" i="13" l="1"/>
  <c r="B128" i="13" s="1"/>
  <c r="D141" i="13"/>
  <c r="H72" i="13"/>
  <c r="H74" i="13" s="1"/>
  <c r="H82" i="13" s="1"/>
  <c r="I71" i="13"/>
  <c r="J98" i="13"/>
  <c r="K20" i="13"/>
  <c r="E141" i="13" l="1"/>
  <c r="E78" i="13" s="1"/>
  <c r="E79" i="13" s="1"/>
  <c r="E81" i="13" s="1"/>
  <c r="D78" i="13"/>
  <c r="E140" i="13"/>
  <c r="I72" i="13"/>
  <c r="I74" i="13" s="1"/>
  <c r="I82" i="13" s="1"/>
  <c r="J71" i="13"/>
  <c r="F141" i="13"/>
  <c r="F78" i="13" s="1"/>
  <c r="F79" i="13" s="1"/>
  <c r="F81" i="13" s="1"/>
  <c r="F140" i="13"/>
  <c r="K98" i="13"/>
  <c r="D142" i="13" l="1"/>
  <c r="D79" i="13"/>
  <c r="K71" i="13"/>
  <c r="K72" i="13" s="1"/>
  <c r="K74" i="13" s="1"/>
  <c r="K82" i="13" s="1"/>
  <c r="J72" i="13"/>
  <c r="J74" i="13" s="1"/>
  <c r="J82" i="13" s="1"/>
  <c r="E142" i="13"/>
  <c r="G141" i="13"/>
  <c r="G78" i="13" s="1"/>
  <c r="G79" i="13" s="1"/>
  <c r="G81" i="13" s="1"/>
  <c r="G140" i="13"/>
  <c r="F142" i="13" l="1"/>
  <c r="H140" i="13"/>
  <c r="H141" i="13"/>
  <c r="H78" i="13" s="1"/>
  <c r="H79" i="13" s="1"/>
  <c r="H81" i="13" s="1"/>
  <c r="I140" i="13" l="1"/>
  <c r="I141" i="13"/>
  <c r="I78" i="13" s="1"/>
  <c r="I79" i="13" s="1"/>
  <c r="I81" i="13" s="1"/>
  <c r="G142" i="13"/>
  <c r="K126" i="13"/>
  <c r="K127" i="13" s="1"/>
  <c r="J141" i="13" l="1"/>
  <c r="J78" i="13" s="1"/>
  <c r="J79" i="13" s="1"/>
  <c r="J81" i="13" s="1"/>
  <c r="J140" i="13"/>
  <c r="H142" i="13"/>
  <c r="K140" i="13" l="1"/>
  <c r="K141" i="13"/>
  <c r="K78" i="13" s="1"/>
  <c r="K79" i="13" s="1"/>
  <c r="K81" i="13" s="1"/>
  <c r="I142" i="13"/>
  <c r="B134" i="13"/>
  <c r="B136" i="13" s="1"/>
  <c r="B130" i="13"/>
  <c r="K142" i="13" l="1"/>
  <c r="J142" i="13"/>
  <c r="K23" i="5" l="1"/>
  <c r="Y128" i="9"/>
  <c r="L31" i="2"/>
  <c r="L30" i="2"/>
  <c r="L29" i="2"/>
  <c r="L28" i="2"/>
  <c r="L27" i="2"/>
  <c r="L26" i="2"/>
  <c r="L25" i="2"/>
  <c r="L24" i="2"/>
  <c r="L23" i="2"/>
  <c r="L22" i="2"/>
  <c r="L21" i="2"/>
  <c r="L20" i="2"/>
  <c r="L19" i="2"/>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16" i="5"/>
  <c r="L143" i="9"/>
  <c r="Y123" i="9"/>
  <c r="Y117" i="9"/>
  <c r="L124" i="9"/>
  <c r="L17" i="1" l="1"/>
  <c r="L16" i="1" l="1"/>
  <c r="K17" i="1"/>
  <c r="J17" i="1"/>
  <c r="I17" i="1"/>
  <c r="H17" i="1"/>
  <c r="G17" i="1"/>
  <c r="F17" i="1"/>
  <c r="E17" i="1"/>
  <c r="D17" i="1"/>
  <c r="C17" i="1"/>
  <c r="D44" i="1"/>
  <c r="E44" i="1"/>
  <c r="F44" i="1"/>
  <c r="G44" i="1"/>
  <c r="H44" i="1"/>
  <c r="I44" i="1"/>
  <c r="J44" i="1"/>
  <c r="K44" i="1"/>
  <c r="C44" i="1"/>
  <c r="D48" i="3"/>
  <c r="E48" i="3"/>
  <c r="F48" i="3"/>
  <c r="F49" i="3" s="1"/>
  <c r="G48" i="3"/>
  <c r="G49" i="3" s="1"/>
  <c r="H48" i="3"/>
  <c r="H49" i="3" s="1"/>
  <c r="I48" i="3"/>
  <c r="I49" i="3" s="1"/>
  <c r="J48" i="3"/>
  <c r="K48" i="3"/>
  <c r="D49" i="3"/>
  <c r="E49" i="3"/>
  <c r="J49" i="3"/>
  <c r="K49" i="3"/>
  <c r="C49" i="3"/>
  <c r="C48" i="3"/>
  <c r="C34" i="2"/>
  <c r="G34" i="2"/>
  <c r="H34" i="2"/>
  <c r="K34" i="2"/>
  <c r="C47" i="3"/>
  <c r="D47" i="3"/>
  <c r="E47" i="3"/>
  <c r="F47" i="3"/>
  <c r="G47" i="3"/>
  <c r="H47" i="3"/>
  <c r="I47" i="3"/>
  <c r="J47" i="3"/>
  <c r="K47" i="3"/>
  <c r="B47" i="3"/>
  <c r="B17" i="5"/>
  <c r="C17" i="5"/>
  <c r="D17" i="5"/>
  <c r="E17" i="5"/>
  <c r="F17" i="5"/>
  <c r="G17" i="5"/>
  <c r="H17" i="5"/>
  <c r="I17" i="5"/>
  <c r="J17" i="5"/>
  <c r="K17" i="5"/>
  <c r="B18" i="5"/>
  <c r="C18" i="5"/>
  <c r="D18" i="5"/>
  <c r="E18" i="5"/>
  <c r="F18" i="5"/>
  <c r="G18" i="5"/>
  <c r="H18" i="5"/>
  <c r="I18" i="5"/>
  <c r="J18" i="5"/>
  <c r="K18" i="5"/>
  <c r="B19" i="5"/>
  <c r="C19" i="5"/>
  <c r="D19" i="5"/>
  <c r="E19" i="5"/>
  <c r="F19" i="5"/>
  <c r="G19" i="5"/>
  <c r="H19" i="5"/>
  <c r="I19" i="5"/>
  <c r="J19" i="5"/>
  <c r="K19" i="5"/>
  <c r="B20" i="5"/>
  <c r="C20" i="5"/>
  <c r="D20" i="5"/>
  <c r="E20" i="5"/>
  <c r="F20" i="5"/>
  <c r="G20" i="5"/>
  <c r="H20" i="5"/>
  <c r="I20" i="5"/>
  <c r="J20" i="5"/>
  <c r="K20" i="5"/>
  <c r="B21" i="5"/>
  <c r="C21" i="5"/>
  <c r="D21" i="5"/>
  <c r="E21" i="5"/>
  <c r="F21" i="5"/>
  <c r="G21" i="5"/>
  <c r="H21" i="5"/>
  <c r="I21" i="5"/>
  <c r="J21" i="5"/>
  <c r="K21" i="5"/>
  <c r="B22" i="5"/>
  <c r="C22" i="5"/>
  <c r="D22" i="5"/>
  <c r="E22" i="5"/>
  <c r="F22" i="5"/>
  <c r="G22" i="5"/>
  <c r="H22" i="5"/>
  <c r="I22" i="5"/>
  <c r="J22" i="5"/>
  <c r="K22" i="5"/>
  <c r="B23" i="5"/>
  <c r="C23" i="5"/>
  <c r="D23" i="5"/>
  <c r="E23" i="5"/>
  <c r="F23" i="5"/>
  <c r="G23" i="5"/>
  <c r="H23" i="5"/>
  <c r="I23" i="5"/>
  <c r="J23" i="5"/>
  <c r="B24" i="5"/>
  <c r="C24" i="5"/>
  <c r="D24" i="5"/>
  <c r="E24" i="5"/>
  <c r="F24" i="5"/>
  <c r="G24" i="5"/>
  <c r="H24" i="5"/>
  <c r="I24" i="5"/>
  <c r="J24" i="5"/>
  <c r="K24" i="5"/>
  <c r="B25" i="5"/>
  <c r="C25" i="5"/>
  <c r="D25" i="5"/>
  <c r="E25" i="5"/>
  <c r="F25" i="5"/>
  <c r="G25" i="5"/>
  <c r="H25" i="5"/>
  <c r="I25" i="5"/>
  <c r="J25" i="5"/>
  <c r="K25" i="5"/>
  <c r="B26" i="5"/>
  <c r="C26" i="5"/>
  <c r="D26" i="5"/>
  <c r="E26" i="5"/>
  <c r="F26" i="5"/>
  <c r="G26" i="5"/>
  <c r="H26" i="5"/>
  <c r="I26" i="5"/>
  <c r="J26" i="5"/>
  <c r="K26" i="5"/>
  <c r="B27" i="5"/>
  <c r="C27" i="5"/>
  <c r="D27" i="5"/>
  <c r="D59" i="5" s="1"/>
  <c r="E27" i="5"/>
  <c r="F27" i="5"/>
  <c r="G27" i="5"/>
  <c r="H27" i="5"/>
  <c r="I27" i="5"/>
  <c r="J27" i="5"/>
  <c r="K27" i="5"/>
  <c r="B28" i="5"/>
  <c r="C28" i="5"/>
  <c r="D28" i="5"/>
  <c r="E28" i="5"/>
  <c r="F28" i="5"/>
  <c r="G28" i="5"/>
  <c r="H28" i="5"/>
  <c r="I28" i="5"/>
  <c r="J28" i="5"/>
  <c r="K28" i="5"/>
  <c r="B29" i="5"/>
  <c r="C29" i="5"/>
  <c r="D29" i="5"/>
  <c r="E29" i="5"/>
  <c r="F29" i="5"/>
  <c r="G29" i="5"/>
  <c r="H29" i="5"/>
  <c r="I29" i="5"/>
  <c r="J29" i="5"/>
  <c r="K29" i="5"/>
  <c r="B30" i="5"/>
  <c r="C30" i="5"/>
  <c r="D30" i="5"/>
  <c r="E30" i="5"/>
  <c r="F30" i="5"/>
  <c r="G30" i="5"/>
  <c r="H30" i="5"/>
  <c r="I30" i="5"/>
  <c r="J30" i="5"/>
  <c r="K30" i="5"/>
  <c r="B31" i="5"/>
  <c r="C31" i="5"/>
  <c r="D31" i="5"/>
  <c r="E31" i="5"/>
  <c r="F31" i="5"/>
  <c r="G31" i="5"/>
  <c r="H31" i="5"/>
  <c r="I31" i="5"/>
  <c r="J31" i="5"/>
  <c r="K31" i="5"/>
  <c r="B32" i="5"/>
  <c r="C32" i="5"/>
  <c r="D32" i="5"/>
  <c r="E32" i="5"/>
  <c r="F32" i="5"/>
  <c r="G32" i="5"/>
  <c r="H32" i="5"/>
  <c r="I32" i="5"/>
  <c r="J32" i="5"/>
  <c r="K32" i="5"/>
  <c r="B33" i="5"/>
  <c r="C33" i="5"/>
  <c r="D33" i="5"/>
  <c r="E33" i="5"/>
  <c r="F33" i="5"/>
  <c r="G33" i="5"/>
  <c r="H33" i="5"/>
  <c r="I33" i="5"/>
  <c r="I50" i="5" s="1"/>
  <c r="J33" i="5"/>
  <c r="K33" i="5"/>
  <c r="B34" i="5"/>
  <c r="C34" i="5"/>
  <c r="D34" i="5"/>
  <c r="E34" i="5"/>
  <c r="F34" i="5"/>
  <c r="G34" i="5"/>
  <c r="H34" i="5"/>
  <c r="I34" i="5"/>
  <c r="J34" i="5"/>
  <c r="K34" i="5"/>
  <c r="B35" i="5"/>
  <c r="C35" i="5"/>
  <c r="D35" i="5"/>
  <c r="E35" i="5"/>
  <c r="F35" i="5"/>
  <c r="G35" i="5"/>
  <c r="H35" i="5"/>
  <c r="I35" i="5"/>
  <c r="J35" i="5"/>
  <c r="K35" i="5"/>
  <c r="B36" i="5"/>
  <c r="C36" i="5"/>
  <c r="D36" i="5"/>
  <c r="E36" i="5"/>
  <c r="F36" i="5"/>
  <c r="G36" i="5"/>
  <c r="H36" i="5"/>
  <c r="I36" i="5"/>
  <c r="J36" i="5"/>
  <c r="K36" i="5"/>
  <c r="B37" i="5"/>
  <c r="C37" i="5"/>
  <c r="D37" i="5"/>
  <c r="E37" i="5"/>
  <c r="F37" i="5"/>
  <c r="G37" i="5"/>
  <c r="H37" i="5"/>
  <c r="I37" i="5"/>
  <c r="J37" i="5"/>
  <c r="K37" i="5"/>
  <c r="B38" i="5"/>
  <c r="C38" i="5"/>
  <c r="D38" i="5"/>
  <c r="E38" i="5"/>
  <c r="F38" i="5"/>
  <c r="G38" i="5"/>
  <c r="H38" i="5"/>
  <c r="I38" i="5"/>
  <c r="J38" i="5"/>
  <c r="K38" i="5"/>
  <c r="B39" i="5"/>
  <c r="C39" i="5"/>
  <c r="D39" i="5"/>
  <c r="E39" i="5"/>
  <c r="F39" i="5"/>
  <c r="G39" i="5"/>
  <c r="H39" i="5"/>
  <c r="I39" i="5"/>
  <c r="J39" i="5"/>
  <c r="K39" i="5"/>
  <c r="B40" i="5"/>
  <c r="C40" i="5"/>
  <c r="D40" i="5"/>
  <c r="E40" i="5"/>
  <c r="F40" i="5"/>
  <c r="G40" i="5"/>
  <c r="H40" i="5"/>
  <c r="I40" i="5"/>
  <c r="J40" i="5"/>
  <c r="K40" i="5"/>
  <c r="B41" i="5"/>
  <c r="C41" i="5"/>
  <c r="D41" i="5"/>
  <c r="E41" i="5"/>
  <c r="F41" i="5"/>
  <c r="G41" i="5"/>
  <c r="H41" i="5"/>
  <c r="I41" i="5"/>
  <c r="J41" i="5"/>
  <c r="K41" i="5"/>
  <c r="B42" i="5"/>
  <c r="C42" i="5"/>
  <c r="D42" i="5"/>
  <c r="E42" i="5"/>
  <c r="F42" i="5"/>
  <c r="G42" i="5"/>
  <c r="H42" i="5"/>
  <c r="I42" i="5"/>
  <c r="J42" i="5"/>
  <c r="K42" i="5"/>
  <c r="B43" i="5"/>
  <c r="C43" i="5"/>
  <c r="D43" i="5"/>
  <c r="E43" i="5"/>
  <c r="F43" i="5"/>
  <c r="G43" i="5"/>
  <c r="H43" i="5"/>
  <c r="I43" i="5"/>
  <c r="J43" i="5"/>
  <c r="K43" i="5"/>
  <c r="B44" i="5"/>
  <c r="C44" i="5"/>
  <c r="D44" i="5"/>
  <c r="E44" i="5"/>
  <c r="F44" i="5"/>
  <c r="G44" i="5"/>
  <c r="H44" i="5"/>
  <c r="I44" i="5"/>
  <c r="J44" i="5"/>
  <c r="K44" i="5"/>
  <c r="C16" i="5"/>
  <c r="D16" i="5"/>
  <c r="E16" i="5"/>
  <c r="F16" i="5"/>
  <c r="G16" i="5"/>
  <c r="H16" i="5"/>
  <c r="I16" i="5"/>
  <c r="J16" i="5"/>
  <c r="K16" i="5"/>
  <c r="B16" i="5"/>
  <c r="B28" i="4"/>
  <c r="C28" i="4"/>
  <c r="D28" i="4"/>
  <c r="E28" i="4"/>
  <c r="F28" i="4"/>
  <c r="G28" i="4"/>
  <c r="H28" i="4"/>
  <c r="I28" i="4"/>
  <c r="J28" i="4"/>
  <c r="K28" i="4"/>
  <c r="B29" i="4"/>
  <c r="C29" i="4"/>
  <c r="D29" i="4"/>
  <c r="E29" i="4"/>
  <c r="F29" i="4"/>
  <c r="G29" i="4"/>
  <c r="H29" i="4"/>
  <c r="I29" i="4"/>
  <c r="J29" i="4"/>
  <c r="K29" i="4"/>
  <c r="B30" i="4"/>
  <c r="C30" i="4"/>
  <c r="D30" i="4"/>
  <c r="E30" i="4"/>
  <c r="F30" i="4"/>
  <c r="G30" i="4"/>
  <c r="H30" i="4"/>
  <c r="I30" i="4"/>
  <c r="J30" i="4"/>
  <c r="K30" i="4"/>
  <c r="B31" i="4"/>
  <c r="C31" i="4"/>
  <c r="D31" i="4"/>
  <c r="E31" i="4"/>
  <c r="F31" i="4"/>
  <c r="G31" i="4"/>
  <c r="H31" i="4"/>
  <c r="I31" i="4"/>
  <c r="J31" i="4"/>
  <c r="K31" i="4"/>
  <c r="B32" i="4"/>
  <c r="C32" i="4"/>
  <c r="D32" i="4"/>
  <c r="E32" i="4"/>
  <c r="F32" i="4"/>
  <c r="G32" i="4"/>
  <c r="H32" i="4"/>
  <c r="I32" i="4"/>
  <c r="J32" i="4"/>
  <c r="K32" i="4"/>
  <c r="B33" i="4"/>
  <c r="C33" i="4"/>
  <c r="D33" i="4"/>
  <c r="E33" i="4"/>
  <c r="F33" i="4"/>
  <c r="G33" i="4"/>
  <c r="H33" i="4"/>
  <c r="I33" i="4"/>
  <c r="J33" i="4"/>
  <c r="K33" i="4"/>
  <c r="B34" i="4"/>
  <c r="C34" i="4"/>
  <c r="D34" i="4"/>
  <c r="E34" i="4"/>
  <c r="F34" i="4"/>
  <c r="G34" i="4"/>
  <c r="H34" i="4"/>
  <c r="I34" i="4"/>
  <c r="J34" i="4"/>
  <c r="K34" i="4"/>
  <c r="B35" i="4"/>
  <c r="C35" i="4"/>
  <c r="D35" i="4"/>
  <c r="E35" i="4"/>
  <c r="F35" i="4"/>
  <c r="G35" i="4"/>
  <c r="H35" i="4"/>
  <c r="I35" i="4"/>
  <c r="J35" i="4"/>
  <c r="K35" i="4"/>
  <c r="B36" i="4"/>
  <c r="C36" i="4"/>
  <c r="D36" i="4"/>
  <c r="E36" i="4"/>
  <c r="F36" i="4"/>
  <c r="G36" i="4"/>
  <c r="H36" i="4"/>
  <c r="I36" i="4"/>
  <c r="J36" i="4"/>
  <c r="K36" i="4"/>
  <c r="B37" i="4"/>
  <c r="C37" i="4"/>
  <c r="D37" i="4"/>
  <c r="E37" i="4"/>
  <c r="F37" i="4"/>
  <c r="G37" i="4"/>
  <c r="H37" i="4"/>
  <c r="I37" i="4"/>
  <c r="J37" i="4"/>
  <c r="K37" i="4"/>
  <c r="B38" i="4"/>
  <c r="C38" i="4"/>
  <c r="D38" i="4"/>
  <c r="E38" i="4"/>
  <c r="F38" i="4"/>
  <c r="G38" i="4"/>
  <c r="H38" i="4"/>
  <c r="I38" i="4"/>
  <c r="J38" i="4"/>
  <c r="K38" i="4"/>
  <c r="B39" i="4"/>
  <c r="C39" i="4"/>
  <c r="D39" i="4"/>
  <c r="E39" i="4"/>
  <c r="F39" i="4"/>
  <c r="G39" i="4"/>
  <c r="H39" i="4"/>
  <c r="I39" i="4"/>
  <c r="J39" i="4"/>
  <c r="K39" i="4"/>
  <c r="B40" i="4"/>
  <c r="C40" i="4"/>
  <c r="D40" i="4"/>
  <c r="E40" i="4"/>
  <c r="F40" i="4"/>
  <c r="G40" i="4"/>
  <c r="H40" i="4"/>
  <c r="I40" i="4"/>
  <c r="J40" i="4"/>
  <c r="K40" i="4"/>
  <c r="B41" i="4"/>
  <c r="C41" i="4"/>
  <c r="D41" i="4"/>
  <c r="E41" i="4"/>
  <c r="F41" i="4"/>
  <c r="G41" i="4"/>
  <c r="H41" i="4"/>
  <c r="I41" i="4"/>
  <c r="J41" i="4"/>
  <c r="K41" i="4"/>
  <c r="B42" i="4"/>
  <c r="C42" i="4"/>
  <c r="D42" i="4"/>
  <c r="E42" i="4"/>
  <c r="F42" i="4"/>
  <c r="G42" i="4"/>
  <c r="H42" i="4"/>
  <c r="I42" i="4"/>
  <c r="J42" i="4"/>
  <c r="K42" i="4"/>
  <c r="B43" i="4"/>
  <c r="C43" i="4"/>
  <c r="D43" i="4"/>
  <c r="E43" i="4"/>
  <c r="F43" i="4"/>
  <c r="G43" i="4"/>
  <c r="H43" i="4"/>
  <c r="I43" i="4"/>
  <c r="J43" i="4"/>
  <c r="K43" i="4"/>
  <c r="B44" i="4"/>
  <c r="C44" i="4"/>
  <c r="D44" i="4"/>
  <c r="E44" i="4"/>
  <c r="F44" i="4"/>
  <c r="G44" i="4"/>
  <c r="H44" i="4"/>
  <c r="I44" i="4"/>
  <c r="J44" i="4"/>
  <c r="K44" i="4"/>
  <c r="B16" i="4"/>
  <c r="C16" i="4"/>
  <c r="D16" i="4"/>
  <c r="E16" i="4"/>
  <c r="F16" i="4"/>
  <c r="G16" i="4"/>
  <c r="H16" i="4"/>
  <c r="I16" i="4"/>
  <c r="J16" i="4"/>
  <c r="K16" i="4"/>
  <c r="B17" i="4"/>
  <c r="C17" i="4"/>
  <c r="D17" i="4"/>
  <c r="E17" i="4"/>
  <c r="F17" i="4"/>
  <c r="G17" i="4"/>
  <c r="H17" i="4"/>
  <c r="I17" i="4"/>
  <c r="J17" i="4"/>
  <c r="K17" i="4"/>
  <c r="B18" i="4"/>
  <c r="C18" i="4"/>
  <c r="D18" i="4"/>
  <c r="E18" i="4"/>
  <c r="F18" i="4"/>
  <c r="G18" i="4"/>
  <c r="H18" i="4"/>
  <c r="I18" i="4"/>
  <c r="J18" i="4"/>
  <c r="K18" i="4"/>
  <c r="B19" i="4"/>
  <c r="C19" i="4"/>
  <c r="D19" i="4"/>
  <c r="E19" i="4"/>
  <c r="F19" i="4"/>
  <c r="G19" i="4"/>
  <c r="H19" i="4"/>
  <c r="I19" i="4"/>
  <c r="J19" i="4"/>
  <c r="K19" i="4"/>
  <c r="B20" i="4"/>
  <c r="C20" i="4"/>
  <c r="D20" i="4"/>
  <c r="E20" i="4"/>
  <c r="F20" i="4"/>
  <c r="G20" i="4"/>
  <c r="H20" i="4"/>
  <c r="I20" i="4"/>
  <c r="J20" i="4"/>
  <c r="K20" i="4"/>
  <c r="B21" i="4"/>
  <c r="C21" i="4"/>
  <c r="D21" i="4"/>
  <c r="E21" i="4"/>
  <c r="F21" i="4"/>
  <c r="G21" i="4"/>
  <c r="H21" i="4"/>
  <c r="I21" i="4"/>
  <c r="J21" i="4"/>
  <c r="K21" i="4"/>
  <c r="B22" i="4"/>
  <c r="C22" i="4"/>
  <c r="D22" i="4"/>
  <c r="E22" i="4"/>
  <c r="F22" i="4"/>
  <c r="G22" i="4"/>
  <c r="H22" i="4"/>
  <c r="I22" i="4"/>
  <c r="J22" i="4"/>
  <c r="K22" i="4"/>
  <c r="B23" i="4"/>
  <c r="C23" i="4"/>
  <c r="D23" i="4"/>
  <c r="E23" i="4"/>
  <c r="F23" i="4"/>
  <c r="G23" i="4"/>
  <c r="H23" i="4"/>
  <c r="I23" i="4"/>
  <c r="J23" i="4"/>
  <c r="K23" i="4"/>
  <c r="B24" i="4"/>
  <c r="C24" i="4"/>
  <c r="D24" i="4"/>
  <c r="E24" i="4"/>
  <c r="F24" i="4"/>
  <c r="G24" i="4"/>
  <c r="H24" i="4"/>
  <c r="I24" i="4"/>
  <c r="J24" i="4"/>
  <c r="K24" i="4"/>
  <c r="B25" i="4"/>
  <c r="C25" i="4"/>
  <c r="D25" i="4"/>
  <c r="E25" i="4"/>
  <c r="F25" i="4"/>
  <c r="G25" i="4"/>
  <c r="H25" i="4"/>
  <c r="I25" i="4"/>
  <c r="J25" i="4"/>
  <c r="K25" i="4"/>
  <c r="B26" i="4"/>
  <c r="C26" i="4"/>
  <c r="D26" i="4"/>
  <c r="E26" i="4"/>
  <c r="F26" i="4"/>
  <c r="G26" i="4"/>
  <c r="H26" i="4"/>
  <c r="I26" i="4"/>
  <c r="J26" i="4"/>
  <c r="K26" i="4"/>
  <c r="I27" i="4"/>
  <c r="J27" i="4"/>
  <c r="K27" i="4"/>
  <c r="C27" i="4"/>
  <c r="D27" i="4"/>
  <c r="E27" i="4"/>
  <c r="F27" i="4"/>
  <c r="G27" i="4"/>
  <c r="H27" i="4"/>
  <c r="B27" i="4"/>
  <c r="C18" i="2"/>
  <c r="D18" i="2"/>
  <c r="E18" i="2"/>
  <c r="F18" i="2"/>
  <c r="G18" i="2"/>
  <c r="H18" i="2"/>
  <c r="I18" i="2"/>
  <c r="J18" i="2"/>
  <c r="K18" i="2"/>
  <c r="C19" i="2"/>
  <c r="D19" i="2"/>
  <c r="E19" i="2"/>
  <c r="F19" i="2"/>
  <c r="G19" i="2"/>
  <c r="H19" i="2"/>
  <c r="I19" i="2"/>
  <c r="J19" i="2"/>
  <c r="K19" i="2"/>
  <c r="C20" i="2"/>
  <c r="C59" i="5" s="1"/>
  <c r="D20" i="2"/>
  <c r="E20" i="2"/>
  <c r="E59" i="5" s="1"/>
  <c r="F20" i="2"/>
  <c r="F59" i="5" s="1"/>
  <c r="G20" i="2"/>
  <c r="G59" i="5" s="1"/>
  <c r="H20" i="2"/>
  <c r="I20" i="2"/>
  <c r="J20" i="2"/>
  <c r="J59" i="5" s="1"/>
  <c r="K20" i="2"/>
  <c r="K59" i="5" s="1"/>
  <c r="C21" i="2"/>
  <c r="D21" i="2"/>
  <c r="D57" i="5" s="1"/>
  <c r="D58" i="5" s="1"/>
  <c r="E21" i="2"/>
  <c r="E57" i="5" s="1"/>
  <c r="E58" i="5" s="1"/>
  <c r="F21" i="2"/>
  <c r="F57" i="5" s="1"/>
  <c r="F58" i="5" s="1"/>
  <c r="G21" i="2"/>
  <c r="H21" i="2"/>
  <c r="I21" i="2"/>
  <c r="I57" i="5" s="1"/>
  <c r="I58" i="5" s="1"/>
  <c r="J21" i="2"/>
  <c r="K21" i="2"/>
  <c r="C22" i="2"/>
  <c r="D22" i="2"/>
  <c r="E22" i="2"/>
  <c r="F22" i="2"/>
  <c r="G22" i="2"/>
  <c r="H22" i="2"/>
  <c r="I22" i="2"/>
  <c r="J22" i="2"/>
  <c r="K22" i="2"/>
  <c r="C23" i="2"/>
  <c r="D23" i="2"/>
  <c r="E23" i="2"/>
  <c r="F23" i="2"/>
  <c r="G23" i="2"/>
  <c r="H23" i="2"/>
  <c r="I23" i="2"/>
  <c r="J23" i="2"/>
  <c r="K23" i="2"/>
  <c r="C24" i="2"/>
  <c r="D24" i="2"/>
  <c r="E24" i="2"/>
  <c r="F24" i="2"/>
  <c r="G24" i="2"/>
  <c r="H24" i="2"/>
  <c r="I24" i="2"/>
  <c r="J24" i="2"/>
  <c r="K24" i="2"/>
  <c r="C25" i="2"/>
  <c r="D25" i="2"/>
  <c r="E25" i="2"/>
  <c r="F25" i="2"/>
  <c r="G25" i="2"/>
  <c r="H25" i="2"/>
  <c r="I25" i="2"/>
  <c r="J25" i="2"/>
  <c r="K25" i="2"/>
  <c r="C26" i="2"/>
  <c r="D26" i="2"/>
  <c r="E26" i="2"/>
  <c r="F26" i="2"/>
  <c r="G26" i="2"/>
  <c r="H26" i="2"/>
  <c r="I26" i="2"/>
  <c r="J26" i="2"/>
  <c r="K26" i="2"/>
  <c r="C27" i="2"/>
  <c r="D27" i="2"/>
  <c r="E27" i="2"/>
  <c r="F27" i="2"/>
  <c r="G27" i="2"/>
  <c r="H27" i="2"/>
  <c r="I27" i="2"/>
  <c r="J27" i="2"/>
  <c r="K27" i="2"/>
  <c r="C28" i="2"/>
  <c r="D28" i="2"/>
  <c r="E28" i="2"/>
  <c r="F28" i="2"/>
  <c r="G28" i="2"/>
  <c r="H28" i="2"/>
  <c r="I28" i="2"/>
  <c r="J28" i="2"/>
  <c r="K28" i="2"/>
  <c r="C29" i="2"/>
  <c r="D29" i="2"/>
  <c r="E29" i="2"/>
  <c r="F29" i="2"/>
  <c r="G29" i="2"/>
  <c r="H29" i="2"/>
  <c r="I29" i="2"/>
  <c r="J29" i="2"/>
  <c r="K29" i="2"/>
  <c r="C30" i="2"/>
  <c r="D30" i="2"/>
  <c r="D34" i="2" s="1"/>
  <c r="E30" i="2"/>
  <c r="E34" i="2" s="1"/>
  <c r="F30" i="2"/>
  <c r="F34" i="2" s="1"/>
  <c r="G30" i="2"/>
  <c r="H30" i="2"/>
  <c r="I30" i="2"/>
  <c r="I34" i="2" s="1"/>
  <c r="J30" i="2"/>
  <c r="J34" i="2" s="1"/>
  <c r="K30" i="2"/>
  <c r="C31" i="2"/>
  <c r="D31" i="2"/>
  <c r="D63" i="5" s="1"/>
  <c r="E31" i="2"/>
  <c r="E63" i="5" s="1"/>
  <c r="F31" i="2"/>
  <c r="G31" i="2"/>
  <c r="H31" i="2"/>
  <c r="H63" i="5" s="1"/>
  <c r="I31" i="2"/>
  <c r="J31" i="2"/>
  <c r="K31" i="2"/>
  <c r="K63" i="5" s="1"/>
  <c r="B18" i="2"/>
  <c r="B19" i="2"/>
  <c r="B21" i="2"/>
  <c r="B57" i="5" s="1"/>
  <c r="B58" i="5" s="1"/>
  <c r="B22" i="2"/>
  <c r="B23" i="2"/>
  <c r="B24" i="2"/>
  <c r="B25" i="2"/>
  <c r="B26" i="2"/>
  <c r="B27" i="2"/>
  <c r="B28" i="2"/>
  <c r="B29" i="2"/>
  <c r="B30" i="2"/>
  <c r="B34" i="2" s="1"/>
  <c r="L34" i="2" s="1"/>
  <c r="B31" i="2"/>
  <c r="B63" i="5" s="1"/>
  <c r="B20" i="2"/>
  <c r="B59" i="5" s="1"/>
  <c r="L15" i="1"/>
  <c r="D15" i="1"/>
  <c r="E15" i="1"/>
  <c r="F15" i="1"/>
  <c r="G15" i="1"/>
  <c r="H15" i="1"/>
  <c r="I15" i="1"/>
  <c r="J15" i="1"/>
  <c r="K15" i="1"/>
  <c r="C15" i="1"/>
  <c r="H57" i="5" l="1"/>
  <c r="H58" i="5" s="1"/>
  <c r="I63" i="5"/>
  <c r="F54" i="5"/>
  <c r="G63" i="5"/>
  <c r="F63" i="5"/>
  <c r="G57" i="5"/>
  <c r="G58" i="5" s="1"/>
  <c r="H59" i="5"/>
  <c r="K57" i="5"/>
  <c r="K58" i="5" s="1"/>
  <c r="C57" i="5"/>
  <c r="C58" i="5" s="1"/>
  <c r="C63" i="5"/>
  <c r="J63" i="5"/>
  <c r="I59" i="5"/>
  <c r="J57" i="5"/>
  <c r="J58" i="5" s="1"/>
  <c r="I53" i="5"/>
  <c r="H54" i="5"/>
  <c r="J53" i="5"/>
  <c r="I49" i="5"/>
  <c r="H49" i="5"/>
  <c r="H50" i="5"/>
  <c r="G54" i="5"/>
  <c r="G49" i="5"/>
  <c r="G50" i="5"/>
  <c r="F49" i="5"/>
  <c r="F50" i="5"/>
  <c r="E54" i="5"/>
  <c r="E49" i="5"/>
  <c r="E50" i="5"/>
  <c r="D54" i="5"/>
  <c r="D48" i="5"/>
  <c r="D50" i="5"/>
  <c r="K54" i="5"/>
  <c r="C54" i="5"/>
  <c r="K48" i="5"/>
  <c r="C48" i="5"/>
  <c r="K50" i="5"/>
  <c r="C50" i="5"/>
  <c r="B54" i="5"/>
  <c r="J49" i="5"/>
  <c r="B48" i="5"/>
  <c r="J50" i="5"/>
  <c r="B50" i="5"/>
  <c r="J48" i="5"/>
  <c r="B49" i="5"/>
  <c r="D49" i="5"/>
  <c r="H53" i="5"/>
  <c r="J54" i="5"/>
  <c r="I48" i="5"/>
  <c r="K49" i="5"/>
  <c r="C49" i="5"/>
  <c r="G53" i="5"/>
  <c r="I54" i="5"/>
  <c r="H48" i="5"/>
  <c r="F53" i="5"/>
  <c r="G48" i="5"/>
  <c r="E53" i="5"/>
  <c r="F48" i="5"/>
  <c r="B53" i="5"/>
  <c r="D53" i="5"/>
  <c r="E48" i="5"/>
  <c r="K53" i="5"/>
  <c r="C53" i="5"/>
  <c r="D72" i="13" l="1"/>
  <c r="D74" i="13" l="1"/>
  <c r="D82" i="13" s="1"/>
  <c r="D8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tc={9EEBAEE1-3BF8-4041-8766-C794B549E6C2}</author>
    <author>tc={3BC20E39-907C-984F-AAAD-4D7B23DDC9CE}</author>
    <author>tc={8A7C0A17-DF28-6E4C-9A5D-A6646BFE627B}</author>
    <author>tc={C6B1A724-A89A-874F-9B34-0249192BD921}</author>
    <author>tc={A444C812-A661-CA4A-98E8-83A627F03AC6}</author>
    <author>tc={FF36DF19-1EE1-EC43-9C13-DB3B5FA09686}</author>
    <author>tc={C93F1E10-D0FB-424F-8D20-C637B3E73D3F}</author>
  </authors>
  <commentList>
    <comment ref="D9" authorId="0" shapeId="0" xr:uid="{9EEBAEE1-3BF8-4041-8766-C794B549E6C2}">
      <text>
        <t>[Threaded comment]
Your version of Excel allows you to read this threaded comment; however, any edits to it will get removed if the file is opened in a newer version of Excel. Learn more: https://go.microsoft.com/fwlink/?linkid=870924
Comment:
    Expected Growth Rate calculating by averaging the Real GDP growth from 2015 to 2024, computing the difference between the sales growth and GDP and adding these average as it is expected to outgrow the economy by 4 points.</t>
      </text>
    </comment>
    <comment ref="A12" authorId="1" shapeId="0" xr:uid="{3BC20E39-907C-984F-AAAD-4D7B23DDC9CE}">
      <text>
        <t>[Threaded comment]
Your version of Excel allows you to read this threaded comment; however, any edits to it will get removed if the file is opened in a newer version of Excel. Learn more: https://go.microsoft.com/fwlink/?linkid=870924
Comment:
    How rapidly are my assets depreciating</t>
      </text>
    </comment>
    <comment ref="D78" authorId="2" shapeId="0" xr:uid="{8A7C0A17-DF28-6E4C-9A5D-A6646BFE627B}">
      <text>
        <t xml:space="preserve">[Threaded comment]
Your version of Excel allows you to read this threaded comment; however, any edits to it will get removed if the file is opened in a newer version of Excel. Learn more: https://go.microsoft.com/fwlink/?linkid=870924
Comment:
    ADD previous val + debt issued for this year
</t>
      </text>
    </comment>
    <comment ref="B112" authorId="3" shapeId="0" xr:uid="{C6B1A724-A89A-874F-9B34-0249192BD921}">
      <text>
        <t xml:space="preserve">[Threaded comment]
Your version of Excel allows you to read this threaded comment; however, any edits to it will get removed if the file is opened in a newer version of Excel. Learn more: https://go.microsoft.com/fwlink/?linkid=870924
Comment:
    How much am I willing to pay right now for a future cashflow </t>
      </text>
    </comment>
    <comment ref="A130" authorId="4" shapeId="0" xr:uid="{A444C812-A661-CA4A-98E8-83A627F03AC6}">
      <text>
        <t>[Threaded comment]
Your version of Excel allows you to read this threaded comment; however, any edits to it will get removed if the file is opened in a newer version of Excel. Learn more: https://go.microsoft.com/fwlink/?linkid=870924
Comment:
    Enterprise value = Equity + Debt
Since we are interest on the Value of Equity, we are deducting the Net Debt from IT.
	Value of Equity = Enterprise Value - Net Debt</t>
      </text>
    </comment>
    <comment ref="A134" authorId="5" shapeId="0" xr:uid="{FF36DF19-1EE1-EC43-9C13-DB3B5FA09686}">
      <text>
        <t xml:space="preserve">[Threaded comment]
Your version of Excel allows you to read this threaded comment; however, any edits to it will get removed if the file is opened in a newer version of Excel. Learn more: https://go.microsoft.com/fwlink/?linkid=870924
Comment:
    Based on our model this is the market value that our company should be
</t>
      </text>
    </comment>
    <comment ref="A136" authorId="6" shapeId="0" xr:uid="{C93F1E10-D0FB-424F-8D20-C637B3E73D3F}">
      <text>
        <t>[Threaded comment]
Your version of Excel allows you to read this threaded comment; however, any edits to it will get removed if the file is opened in a newer version of Excel. Learn more: https://go.microsoft.com/fwlink/?linkid=870924
Comment:
    This is a recommendation of the model and we need to compare this to the current stock price
If the price today is lower than our model compared to the intrinsic value of the stock, the recommendation is to buy as the stock is undervalued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tc={C9B8EAAA-4AB5-FD47-B8F4-0F9FEB38F204}</author>
  </authors>
  <commentList>
    <comment ref="L34" authorId="0" shapeId="0" xr:uid="{C9B8EAAA-4AB5-FD47-B8F4-0F9FEB38F204}">
      <text>
        <t>[Threaded comment]
Your version of Excel allows you to read this threaded comment; however, any edits to it will get removed if the file is opened in a newer version of Excel. Learn more: https://go.microsoft.com/fwlink/?linkid=870924
Comment:
    Average tax paid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tc={ACE58E73-4ADD-C644-A23A-62A149B36EED}</author>
  </authors>
  <commentList>
    <comment ref="A24" authorId="0" shapeId="0" xr:uid="{ACE58E73-4ADD-C644-A23A-62A149B36EED}">
      <text>
        <t>[Threaded comment]
Your version of Excel allows you to read this threaded comment; however, any edits to it will get removed if the file is opened in a newer version of Excel. Learn more: https://go.microsoft.com/fwlink/?linkid=870924
Comment:
    Fixed Assets</t>
      </text>
    </comment>
  </commentList>
</comments>
</file>

<file path=xl/sharedStrings.xml><?xml version="1.0" encoding="utf-8"?>
<sst xmlns="http://schemas.openxmlformats.org/spreadsheetml/2006/main" count="2556" uniqueCount="321">
  <si>
    <t>Powered by Clearbit</t>
  </si>
  <si>
    <t>Home Depot Inc   (NYS: HD)</t>
  </si>
  <si>
    <t xml:space="preserve">Exchange rate used is that of the Year End reported date </t>
  </si>
  <si>
    <t xml:space="preserve">Standardized Annual Income Statement </t>
  </si>
  <si>
    <t>Report Date</t>
  </si>
  <si>
    <t>01/28/2024</t>
  </si>
  <si>
    <t>01/29/2023</t>
  </si>
  <si>
    <t>01/30/2022</t>
  </si>
  <si>
    <t>01/31/2021</t>
  </si>
  <si>
    <t>02/02/2020</t>
  </si>
  <si>
    <t>02/03/2019</t>
  </si>
  <si>
    <t>01/28/2018</t>
  </si>
  <si>
    <t>01/29/2017</t>
  </si>
  <si>
    <t>01/31/2016</t>
  </si>
  <si>
    <t>02/01/2015</t>
  </si>
  <si>
    <t>Currency</t>
  </si>
  <si>
    <t>USD</t>
  </si>
  <si>
    <t>Audit Status</t>
  </si>
  <si>
    <t>Not Qualified</t>
  </si>
  <si>
    <t>Consolidated</t>
  </si>
  <si>
    <t>Yes</t>
  </si>
  <si>
    <t>Scale</t>
  </si>
  <si>
    <t>Thousands</t>
  </si>
  <si>
    <t>Sales Revenue</t>
  </si>
  <si>
    <t>Total Revenue</t>
  </si>
  <si>
    <t>Gross Profit</t>
  </si>
  <si>
    <t>Selling General &amp; Admin</t>
  </si>
  <si>
    <t>Depreciation &amp; Amortization</t>
  </si>
  <si>
    <t>Operating Income</t>
  </si>
  <si>
    <t>Total Non-Operating Income</t>
  </si>
  <si>
    <t>Earnings Before Tax</t>
  </si>
  <si>
    <t>Taxation</t>
  </si>
  <si>
    <t>Net Income</t>
  </si>
  <si>
    <t>Preference Dividends &amp; Similar</t>
  </si>
  <si>
    <t>Net Income to Common</t>
  </si>
  <si>
    <t>Average Shares Basic</t>
  </si>
  <si>
    <t>EPS Net Basic</t>
  </si>
  <si>
    <t>EPS Continuing Basic</t>
  </si>
  <si>
    <t>Average Shares Diluted</t>
  </si>
  <si>
    <t>EPS Net Diluted</t>
  </si>
  <si>
    <t>EPS Continuing Diluted</t>
  </si>
  <si>
    <t>Shares Outstanding</t>
  </si>
  <si>
    <t>Direct Costs (Cost of Goods Sold)</t>
  </si>
  <si>
    <t>Total Indirect Operating Costs (SG&amp;A)</t>
  </si>
  <si>
    <t>Interest Income (Difference between what the company paid and what they have generated of income thorugh other investments)</t>
  </si>
  <si>
    <t>Sales Growth</t>
  </si>
  <si>
    <t>The cbo.gov Congressional Budget Ofice has a report for the Economic Projections for the next 10 calendar years</t>
  </si>
  <si>
    <t xml:space="preserve">Standardized Annual Balance Sheet </t>
  </si>
  <si>
    <t>Cash &amp; Equivalents</t>
  </si>
  <si>
    <t>Cash &amp; Equivs &amp; ST Investments</t>
  </si>
  <si>
    <t>Receivables (ST)</t>
  </si>
  <si>
    <t>Inventories</t>
  </si>
  <si>
    <t>Other Current Assets</t>
  </si>
  <si>
    <t>Total Current Assets</t>
  </si>
  <si>
    <t>Gross Property Plant &amp; Equip</t>
  </si>
  <si>
    <t>Accumulated Depreciation</t>
  </si>
  <si>
    <t>Net Property Plant &amp; Equip</t>
  </si>
  <si>
    <t>Intangible Assets</t>
  </si>
  <si>
    <t>Other Assets</t>
  </si>
  <si>
    <t>Total Assets</t>
  </si>
  <si>
    <t>Accounts Payable &amp; Accrued Exps</t>
  </si>
  <si>
    <t>Accounts Payable</t>
  </si>
  <si>
    <t>Accrued Expenses</t>
  </si>
  <si>
    <t>Current Debt</t>
  </si>
  <si>
    <t>Other Current Liabilities</t>
  </si>
  <si>
    <t>Total Current Liabilities</t>
  </si>
  <si>
    <t>LT Debt &amp; Leases</t>
  </si>
  <si>
    <t>Deferred LT Liabilities</t>
  </si>
  <si>
    <t>Other Liabilities</t>
  </si>
  <si>
    <t>Total Liabilities</t>
  </si>
  <si>
    <t>Common Share Capital</t>
  </si>
  <si>
    <t>Additional Paid-In Capital</t>
  </si>
  <si>
    <t>Retained Earnings</t>
  </si>
  <si>
    <t>Accum Other Comprehensive Income</t>
  </si>
  <si>
    <t>Treasury Stock</t>
  </si>
  <si>
    <t>Total Equity</t>
  </si>
  <si>
    <t>Total Liabilities &amp; Equity</t>
  </si>
  <si>
    <t>Current Ratio = CA / CL</t>
  </si>
  <si>
    <t>Quick Ratio = (CA - Inventory) / CL</t>
  </si>
  <si>
    <t>Short Term Solvency Ratios</t>
  </si>
  <si>
    <t>Cash = Cash / CL</t>
  </si>
  <si>
    <t>Long Term Solvency Ratios</t>
  </si>
  <si>
    <t>Total Debt = Total Debt / Total Assets</t>
  </si>
  <si>
    <t>Debt to Equity Ratio = Total Liabilities / Total Equity</t>
  </si>
  <si>
    <r>
      <rPr>
        <b/>
        <sz val="10"/>
        <color rgb="FF000000"/>
        <rFont val="Arial"/>
        <family val="2"/>
      </rPr>
      <t>ANALYSIS</t>
    </r>
    <r>
      <rPr>
        <sz val="10"/>
        <color rgb="FF000000"/>
        <rFont val="Arial"/>
        <family val="2"/>
      </rPr>
      <t xml:space="preserve">
Over a period of 10 years from 2015 to 2024, the current ratio indicator shows a relatively stableness as it varies between 1 and 1.4 respectively. The Home Depot has enough current assets to cover their current libialities overtime, but it is important to mention that on 2022 the ratio close to 1 indicates pontially a tight balance which can be analyzed on detail to identify any relation and consequences from an economy recovering from the COVID-19 pandemic. The Quick Ratio is consistently low, averaging 0.36 through the period analyzed. Having a low indicator can generate a concern towards the business, as the company may be faced to have financial difficulties to pay their short-term obligations with cash and the assets that can be readily converted to cash. Also is important to analyze the low Cash Ratio for The Home Depot as it hovers between 0.08 and 0.34, where the peak of this indicator was in January 2021 as the economy faced the pandemic and its lowest value a year later in 2022. The low values are a sign that retail businesses rely on inventory turnover, to generate liquidity that will alow them to meet their short-term liabilities. 
From 2015 to 2024, The Home Depot's long-term solvency ratios indicate increasing financial risk. The total debt-to-assets ratio rose from 0.77 in 2015 to nearly 1.0 by 2024, showing a growing reliance on debt financing, with liabilities nearing the value of total assets. The debt-to-equity ratio exhibits extreme volatility, jumping from 3.29 in 2015 to a staggering 72.30 in 2024, with negative values in 2019, 2020, and 2022 due to negative equity caused by stock buybacks or retained earnings depletion. These trends highlight significant reliance on debt, raising concerns about long-term financial stability, particularly in challenging economic conditions which might have been caused by government elections, a global pandemic or a economic recession.</t>
    </r>
  </si>
  <si>
    <t>Inventory Ratios</t>
  </si>
  <si>
    <t xml:space="preserve">Inventory Turnover = COGS / Inventory </t>
  </si>
  <si>
    <t>Days in Inventory = 365 / Inventory Turnover</t>
  </si>
  <si>
    <t>Total Assets Turnover = Sale / Total Asset</t>
  </si>
  <si>
    <t>Profitability Ratios</t>
  </si>
  <si>
    <t>Profit Margin = Net Income / Sales</t>
  </si>
  <si>
    <t>Parameters / Inputs</t>
  </si>
  <si>
    <t>01/28/2025</t>
  </si>
  <si>
    <t>01/28/2026</t>
  </si>
  <si>
    <t>01/28/2027</t>
  </si>
  <si>
    <t>01/28/2028</t>
  </si>
  <si>
    <t>01/28/2029</t>
  </si>
  <si>
    <t>01/28/2030</t>
  </si>
  <si>
    <t>01/28/2031</t>
  </si>
  <si>
    <t>01/28/2032</t>
  </si>
  <si>
    <t>Checking new construction data to check the future expectacion or any economic activity related</t>
  </si>
  <si>
    <t>TO CHECK</t>
  </si>
  <si>
    <t>MODELS</t>
  </si>
  <si>
    <t>1. Quantitative 2. Logical model</t>
  </si>
  <si>
    <t>Selling General &amp; Admin decline means that the company is taking advantage of the economies of scale and use of technology to be more efficient</t>
  </si>
  <si>
    <t>For HD Demand is the driver of the sales</t>
  </si>
  <si>
    <t>Interest Expense</t>
  </si>
  <si>
    <t>Tax</t>
  </si>
  <si>
    <t>Page 132 and 147 of the book has the formulas for the financial model</t>
  </si>
  <si>
    <t>Balance Sheet</t>
  </si>
  <si>
    <t>Accumulated Depreciation / Net Property Plant &amp; Equip</t>
  </si>
  <si>
    <t>Carried Accumulated Depreciation</t>
  </si>
  <si>
    <t>Accounts Payable &amp; Accrued Exps / Rev</t>
  </si>
  <si>
    <t>SGA / Rev</t>
  </si>
  <si>
    <t>COGS / Rev</t>
  </si>
  <si>
    <t>Receivables (ST) / Rev</t>
  </si>
  <si>
    <t>Cash &amp; Equivs &amp; ST Investments / Rev</t>
  </si>
  <si>
    <t>Operating cash flow</t>
  </si>
  <si>
    <t>Net Working Capital</t>
  </si>
  <si>
    <t>Accumulated Depreciation / Net Property Plant &amp; Equip (%)</t>
  </si>
  <si>
    <t>Depreciation</t>
  </si>
  <si>
    <t>Free Cash Flow</t>
  </si>
  <si>
    <t>Cash Flow</t>
  </si>
  <si>
    <t>Income Statement</t>
  </si>
  <si>
    <t>Net Capital Expenditure</t>
  </si>
  <si>
    <t>Enterprise Value</t>
  </si>
  <si>
    <t>Terminal value</t>
  </si>
  <si>
    <t>EV / share</t>
  </si>
  <si>
    <t>TV to present</t>
  </si>
  <si>
    <t>Net Debt</t>
  </si>
  <si>
    <t>Proj Stock Price</t>
  </si>
  <si>
    <t>Equity Value</t>
  </si>
  <si>
    <t>Interest Expense Growth</t>
  </si>
  <si>
    <t>Interest Expense Growth (latest 5 year trend)</t>
  </si>
  <si>
    <t>Walmart Inc (NYS: WMT)</t>
  </si>
  <si>
    <t>01/31/2015</t>
  </si>
  <si>
    <t>01/31/2017</t>
  </si>
  <si>
    <t>01/31/2018</t>
  </si>
  <si>
    <t>01/31/2019</t>
  </si>
  <si>
    <t>01/31/2020</t>
  </si>
  <si>
    <t>01/31/2022</t>
  </si>
  <si>
    <t>01/31/2023</t>
  </si>
  <si>
    <t>01/31/2024</t>
  </si>
  <si>
    <t>Current Lease Obligations</t>
  </si>
  <si>
    <t>Minority Interests</t>
  </si>
  <si>
    <t>For Curr Trans (BS)</t>
  </si>
  <si>
    <t>Other Equity</t>
  </si>
  <si>
    <t>Lowe's Companies Inc (NYS: LOW)</t>
  </si>
  <si>
    <t>01/30/2015</t>
  </si>
  <si>
    <t>01/29/2016</t>
  </si>
  <si>
    <t>02/03/2017</t>
  </si>
  <si>
    <t>02/02/2018</t>
  </si>
  <si>
    <t>02/01/2019</t>
  </si>
  <si>
    <t>01/29/2021</t>
  </si>
  <si>
    <t>01/28/2022</t>
  </si>
  <si>
    <t>02/03/2023</t>
  </si>
  <si>
    <t>02/02/2024</t>
  </si>
  <si>
    <t>Short Term Investments</t>
  </si>
  <si>
    <t>Long Term Investments</t>
  </si>
  <si>
    <t>-</t>
  </si>
  <si>
    <t>Deferred LT Assets</t>
  </si>
  <si>
    <t>Floor &amp; Decor Holdings Inc (NYS: FND)</t>
  </si>
  <si>
    <t>12/25/2014</t>
  </si>
  <si>
    <t>12/31/2015</t>
  </si>
  <si>
    <t>12/29/2016</t>
  </si>
  <si>
    <t>12/28/2017</t>
  </si>
  <si>
    <t>12/27/2018</t>
  </si>
  <si>
    <t>12/26/2019</t>
  </si>
  <si>
    <t>12/31/2020</t>
  </si>
  <si>
    <t>12/30/2021</t>
  </si>
  <si>
    <t>12/29/2022</t>
  </si>
  <si>
    <t>12/28/2023</t>
  </si>
  <si>
    <t>Current Tax Assets</t>
  </si>
  <si>
    <t>Perpetual CF Growth</t>
  </si>
  <si>
    <t>Perpetual Discount</t>
  </si>
  <si>
    <t>Real GPD Growth</t>
  </si>
  <si>
    <t>Sales Growth - GDP Growth %</t>
  </si>
  <si>
    <t>Market Cap</t>
  </si>
  <si>
    <t>Shares outstanding</t>
  </si>
  <si>
    <t xml:space="preserve">NET INCOME </t>
  </si>
  <si>
    <t>NET INCOME (last)</t>
  </si>
  <si>
    <t>EBITDA</t>
  </si>
  <si>
    <t>SALES</t>
  </si>
  <si>
    <t>BOOK VALUE (EQUITY)</t>
  </si>
  <si>
    <t xml:space="preserve">P/E </t>
  </si>
  <si>
    <t>P/E (forward or last earnings)</t>
  </si>
  <si>
    <t>EBITDA multiplier</t>
  </si>
  <si>
    <t>Sales multiplier</t>
  </si>
  <si>
    <t>Book Value multiplier</t>
  </si>
  <si>
    <t>Cap Based on AVG</t>
  </si>
  <si>
    <t>Price per share</t>
  </si>
  <si>
    <t>HD</t>
  </si>
  <si>
    <t>WMT</t>
  </si>
  <si>
    <t>FND</t>
  </si>
  <si>
    <t>LOW</t>
  </si>
  <si>
    <t>Date</t>
  </si>
  <si>
    <t>Open</t>
  </si>
  <si>
    <t>High</t>
  </si>
  <si>
    <t>Low</t>
  </si>
  <si>
    <t>Close</t>
  </si>
  <si>
    <t>Adj Close</t>
  </si>
  <si>
    <t>Volume</t>
  </si>
  <si>
    <t>Average</t>
  </si>
  <si>
    <t>Other Revenue</t>
  </si>
  <si>
    <t>Direct Costs</t>
  </si>
  <si>
    <t>Total Indirect Operating Costs</t>
  </si>
  <si>
    <t>Interest Income</t>
  </si>
  <si>
    <t>Other Non-Operating Income</t>
  </si>
  <si>
    <t>Other Operating Expense</t>
  </si>
  <si>
    <t>Depreciation / Fixed Asset</t>
  </si>
  <si>
    <t>Fixed Assets / Rev</t>
  </si>
  <si>
    <t>Other Assets / Rev</t>
  </si>
  <si>
    <t>Market Capital</t>
  </si>
  <si>
    <t>External Factors</t>
  </si>
  <si>
    <t>Risk Free Rate</t>
  </si>
  <si>
    <t>Market risk premium</t>
  </si>
  <si>
    <t>Interest rate on debt (cost of debt)</t>
  </si>
  <si>
    <t>Cost of Equity</t>
  </si>
  <si>
    <t>Capital Structure (% debt)</t>
  </si>
  <si>
    <t>LT Debt &amp; Leases, Deffered LT &amp; Other Liabilities</t>
  </si>
  <si>
    <t>Financing Module</t>
  </si>
  <si>
    <t>Investment Module</t>
  </si>
  <si>
    <t>Current Asset Investment</t>
  </si>
  <si>
    <t>Investment in new Fixed Assets</t>
  </si>
  <si>
    <t>Replacement of Depreciated Assets</t>
  </si>
  <si>
    <t>Fixed Asset Investment</t>
  </si>
  <si>
    <t>Total Investment</t>
  </si>
  <si>
    <t>Payout and Financing</t>
  </si>
  <si>
    <t>Debt % to Finance Operations</t>
  </si>
  <si>
    <t>Payout Ratio</t>
  </si>
  <si>
    <t>Sources of funds:</t>
  </si>
  <si>
    <t>Net income</t>
  </si>
  <si>
    <t>Earnings CF</t>
  </si>
  <si>
    <t>Minimum Dividend</t>
  </si>
  <si>
    <t>Internal Financing</t>
  </si>
  <si>
    <t>Spontaneous Financiang (CL)</t>
  </si>
  <si>
    <t>Total int and spont financing</t>
  </si>
  <si>
    <t>Required external financing</t>
  </si>
  <si>
    <t>Debt issued</t>
  </si>
  <si>
    <t>Equity issued</t>
  </si>
  <si>
    <t>Total discretionary financing</t>
  </si>
  <si>
    <t>Total financing</t>
  </si>
  <si>
    <t>Required Financing</t>
  </si>
  <si>
    <t>Interest &amp; Debt Service</t>
  </si>
  <si>
    <t>Total Interest Bearing Debt</t>
  </si>
  <si>
    <t>Total Debt</t>
  </si>
  <si>
    <t>Return</t>
  </si>
  <si>
    <t>WACC (Avg. of stock returns)</t>
  </si>
  <si>
    <t>2025E</t>
  </si>
  <si>
    <t>2026E</t>
  </si>
  <si>
    <t>2027E</t>
  </si>
  <si>
    <t>2028E</t>
  </si>
  <si>
    <t>2029E</t>
  </si>
  <si>
    <t>2030E</t>
  </si>
  <si>
    <t>2031E</t>
  </si>
  <si>
    <t>2032E</t>
  </si>
  <si>
    <t>COGS as % of Revenue</t>
  </si>
  <si>
    <t>Revenue</t>
  </si>
  <si>
    <t>Category</t>
  </si>
  <si>
    <t>Industry Average</t>
  </si>
  <si>
    <t>P/E Ratio</t>
  </si>
  <si>
    <t>EV/EBITDA</t>
  </si>
  <si>
    <t>Home Depot</t>
  </si>
  <si>
    <t>Walmart</t>
  </si>
  <si>
    <t>Lowe’s</t>
  </si>
  <si>
    <t>DCF graph</t>
  </si>
  <si>
    <t>Stock Price Type</t>
  </si>
  <si>
    <t>Value ($)</t>
  </si>
  <si>
    <t>DCF Valuation</t>
  </si>
  <si>
    <t>Suggested Buy Zone (Midpoint)</t>
  </si>
  <si>
    <t>Current Price</t>
  </si>
  <si>
    <t>Target</t>
  </si>
  <si>
    <t>FCF Change</t>
  </si>
  <si>
    <t>Price ($)</t>
  </si>
  <si>
    <t>Suggested Buy Range (Midpoint)</t>
  </si>
  <si>
    <t>Current Market Price</t>
  </si>
  <si>
    <t>Relative Valuation Price</t>
  </si>
  <si>
    <t>Buy Zone Highlight</t>
  </si>
  <si>
    <t>Total Revenue HD</t>
  </si>
  <si>
    <t>Total Revenue WMT</t>
  </si>
  <si>
    <t>HD Revenue Growth %</t>
  </si>
  <si>
    <t>WMT Revenue Growth %</t>
  </si>
  <si>
    <t>Total Revenue LOW</t>
  </si>
  <si>
    <t>Total Revenue FND</t>
  </si>
  <si>
    <t>LOW Revenue Growth %</t>
  </si>
  <si>
    <t>FND Revenue Growth %</t>
  </si>
  <si>
    <t>Adj Close HD</t>
  </si>
  <si>
    <t>Adj Close S&amp;P 500</t>
  </si>
  <si>
    <t>Invested</t>
  </si>
  <si>
    <t>HD $50 Investment Growth</t>
  </si>
  <si>
    <t>S&amp;P 500 $50 Investment Growth</t>
  </si>
  <si>
    <t>Company</t>
  </si>
  <si>
    <t>Symbol</t>
  </si>
  <si>
    <t>Type</t>
  </si>
  <si>
    <t>Ratio</t>
  </si>
  <si>
    <t>The Home Depot</t>
  </si>
  <si>
    <t>Floor &amp; Decor</t>
  </si>
  <si>
    <t>Lowes</t>
  </si>
  <si>
    <t>https://stockanalysis.com/stocks/hd/metrics/</t>
  </si>
  <si>
    <t>Geography</t>
  </si>
  <si>
    <t>% of Revenue</t>
  </si>
  <si>
    <t>Product Category</t>
  </si>
  <si>
    <t>United States</t>
  </si>
  <si>
    <t>Building Materials</t>
  </si>
  <si>
    <t>Canada</t>
  </si>
  <si>
    <t>Décor</t>
  </si>
  <si>
    <t>Mexico &amp; Caribbean</t>
  </si>
  <si>
    <t>Hardlines</t>
  </si>
  <si>
    <t>Other</t>
  </si>
  <si>
    <t>US</t>
  </si>
  <si>
    <t>International</t>
  </si>
  <si>
    <t>Risks</t>
  </si>
  <si>
    <t>Risk Impact</t>
  </si>
  <si>
    <t>Risk Probability</t>
  </si>
  <si>
    <t>Bubble Size</t>
  </si>
  <si>
    <t>Economic Downturns</t>
  </si>
  <si>
    <t>Supply Chain Disruptions</t>
  </si>
  <si>
    <t>Regulatory &amp; Compliance</t>
  </si>
  <si>
    <t>Geopolitical Risks</t>
  </si>
  <si>
    <t>Shifting Consumer Preferences</t>
  </si>
  <si>
    <t>Acquisition Integration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</si>
</sst>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quot;$&quot;#,##0"/>
    <numFmt numFmtId="166" formatCode="0.000000%"/>
    <numFmt numFmtId="167" formatCode="0.00000"/>
    <numFmt numFmtId="168" formatCode="_(&quot;$&quot;* #,##0_);_(&quot;$&quot;* \(#,##0\);_(&quot;$&quot;* &quot;-&quot;??_);_(@_)"/>
    <numFmt numFmtId="169" formatCode="_(* #,##0_);_(* \(#,##0\);_(* &quot;-&quot;??_);_(@_)"/>
    <numFmt numFmtId="170" formatCode="0.0000%"/>
    <numFmt numFmtId="171" formatCode="yyyy"/>
    <numFmt numFmtId="172" formatCode="0.0%"/>
    <numFmt numFmtId="173" formatCode="[$-409]mmm\-yy;@"/>
  </numFmts>
  <fonts count="26" x14ac:knownFonts="1">
    <font>
      <sz val="10"/>
      <color rgb="FF000000"/>
      <name val="Arial"/>
    </font>
    <font>
      <sz val="12"/>
      <color theme="1"/>
      <name val="Calibri"/>
      <family val="2"/>
      <scheme val="minor"/>
    </font>
    <font>
      <sz val="8"/>
      <color rgb="FF000000"/>
      <name val="Arial"/>
      <family val="2"/>
    </font>
    <font>
      <b/>
      <sz val="16"/>
      <color rgb="FF000000"/>
      <name val="Arial"/>
      <family val="2"/>
    </font>
    <font>
      <b/>
      <sz val="10"/>
      <color rgb="FF000000"/>
      <name val="Arial"/>
      <family val="2"/>
    </font>
    <font>
      <sz val="10"/>
      <color rgb="FF000000"/>
      <name val="Arial"/>
      <family val="2"/>
    </font>
    <font>
      <sz val="10"/>
      <color rgb="FF000000"/>
      <name val="Arial"/>
      <family val="2"/>
    </font>
    <font>
      <b/>
      <sz val="10"/>
      <color rgb="FF000000"/>
      <name val="Arial"/>
      <family val="2"/>
    </font>
    <font>
      <b/>
      <sz val="11"/>
      <color rgb="FF000000"/>
      <name val="Arial"/>
      <family val="2"/>
    </font>
    <font>
      <b/>
      <sz val="10"/>
      <color rgb="FF00B050"/>
      <name val="Arial"/>
      <family val="2"/>
    </font>
    <font>
      <sz val="10"/>
      <color rgb="FF000000"/>
      <name val="Arial"/>
      <family val="2"/>
    </font>
    <font>
      <sz val="11"/>
      <color rgb="FF000000"/>
      <name val="Arial"/>
      <family val="2"/>
    </font>
    <font>
      <b/>
      <sz val="10"/>
      <color rgb="FFFF0000"/>
      <name val="Arial"/>
      <family val="2"/>
    </font>
    <font>
      <sz val="10"/>
      <color rgb="FF000000"/>
      <name val="Arial"/>
      <family val="2"/>
    </font>
    <font>
      <sz val="10"/>
      <name val="Arial"/>
      <family val="2"/>
    </font>
    <font>
      <b/>
      <sz val="12"/>
      <name val="Arial"/>
      <family val="2"/>
    </font>
    <font>
      <b/>
      <sz val="10"/>
      <name val="Arial"/>
      <family val="2"/>
    </font>
    <font>
      <b/>
      <sz val="12"/>
      <color theme="1"/>
      <name val="Calibri"/>
      <family val="2"/>
      <scheme val="minor"/>
    </font>
    <font>
      <sz val="12"/>
      <color rgb="FF000000"/>
      <name val="Calibri"/>
      <family val="2"/>
      <scheme val="minor"/>
    </font>
    <font>
      <i/>
      <sz val="10"/>
      <name val="Arial"/>
      <family val="2"/>
    </font>
    <font>
      <b/>
      <sz val="11"/>
      <name val="Arial"/>
      <family val="2"/>
    </font>
    <font>
      <b/>
      <i/>
      <sz val="11"/>
      <name val="Arial"/>
      <family val="2"/>
    </font>
    <font>
      <b/>
      <sz val="11"/>
      <color theme="1"/>
      <name val="Aptos"/>
    </font>
    <font>
      <sz val="11"/>
      <color theme="1"/>
      <name val="Aptos"/>
    </font>
    <font>
      <sz val="11"/>
      <color rgb="FF000000"/>
      <name val="Aptos"/>
    </font>
    <font>
      <u/>
      <sz val="10"/>
      <color theme="10"/>
      <name val="Arial"/>
      <family val="2"/>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
    <border>
      <left/>
      <right/>
      <top/>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9" fontId="5" fillId="0" borderId="0" applyFont="0" applyFill="0" applyBorder="0" applyAlignment="0" applyProtection="0"/>
    <xf numFmtId="44" fontId="10" fillId="0" borderId="0" applyFont="0" applyFill="0" applyBorder="0" applyAlignment="0" applyProtection="0"/>
    <xf numFmtId="0" fontId="5" fillId="0" borderId="0"/>
    <xf numFmtId="43" fontId="13" fillId="0" borderId="0" applyFont="0" applyFill="0" applyBorder="0" applyAlignment="0" applyProtection="0"/>
    <xf numFmtId="44" fontId="5" fillId="0" borderId="0" applyFont="0" applyFill="0" applyBorder="0" applyAlignment="0" applyProtection="0"/>
    <xf numFmtId="0" fontId="1" fillId="0" borderId="0"/>
    <xf numFmtId="0" fontId="25" fillId="0" borderId="0" applyNumberFormat="0" applyFill="0" applyBorder="0" applyAlignment="0" applyProtection="0"/>
  </cellStyleXfs>
  <cellXfs count="210">
    <xf numFmtId="0" fontId="0" fillId="0" borderId="0" xfId="0"/>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vertical="top" wrapText="1"/>
    </xf>
    <xf numFmtId="0" fontId="4"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right" vertical="top" wrapText="1"/>
    </xf>
    <xf numFmtId="0" fontId="0" fillId="0" borderId="0" xfId="0" applyAlignment="1">
      <alignment horizontal="left"/>
    </xf>
    <xf numFmtId="1" fontId="0" fillId="0" borderId="0" xfId="0" applyNumberFormat="1"/>
    <xf numFmtId="2" fontId="0" fillId="0" borderId="0" xfId="0" applyNumberFormat="1"/>
    <xf numFmtId="164" fontId="0" fillId="0" borderId="0" xfId="0" applyNumberFormat="1"/>
    <xf numFmtId="0" fontId="6" fillId="0" borderId="0" xfId="0" applyFont="1" applyAlignment="1">
      <alignment horizontal="left"/>
    </xf>
    <xf numFmtId="0" fontId="8" fillId="0" borderId="0" xfId="0" applyFont="1" applyAlignment="1">
      <alignment horizontal="left"/>
    </xf>
    <xf numFmtId="164" fontId="8" fillId="0" borderId="0" xfId="0" applyNumberFormat="1" applyFont="1"/>
    <xf numFmtId="0" fontId="6" fillId="0" borderId="0" xfId="0" applyFont="1" applyAlignment="1">
      <alignment horizontal="left" wrapText="1"/>
    </xf>
    <xf numFmtId="0" fontId="7" fillId="0" borderId="0" xfId="0" applyFont="1" applyAlignment="1">
      <alignment horizontal="left" vertical="top"/>
    </xf>
    <xf numFmtId="10" fontId="9" fillId="0" borderId="0" xfId="1" applyNumberFormat="1" applyFont="1" applyAlignment="1">
      <alignment horizontal="right" vertical="top" wrapText="1"/>
    </xf>
    <xf numFmtId="10" fontId="9" fillId="0" borderId="0" xfId="1" applyNumberFormat="1" applyFont="1" applyAlignment="1">
      <alignment horizontal="left" vertical="top"/>
    </xf>
    <xf numFmtId="10" fontId="0" fillId="0" borderId="0" xfId="1" applyNumberFormat="1" applyFont="1"/>
    <xf numFmtId="0" fontId="5" fillId="0" borderId="0" xfId="0" applyFont="1"/>
    <xf numFmtId="0" fontId="5" fillId="0" borderId="0" xfId="3"/>
    <xf numFmtId="0" fontId="2" fillId="0" borderId="0" xfId="3" applyFont="1" applyAlignment="1">
      <alignment horizontal="left"/>
    </xf>
    <xf numFmtId="0" fontId="3" fillId="0" borderId="0" xfId="3" applyFont="1" applyAlignment="1">
      <alignment horizontal="left"/>
    </xf>
    <xf numFmtId="0" fontId="5" fillId="0" borderId="0" xfId="3" applyAlignment="1">
      <alignment horizontal="left" vertical="top" wrapText="1"/>
    </xf>
    <xf numFmtId="0" fontId="4" fillId="0" borderId="0" xfId="3" applyFont="1" applyAlignment="1">
      <alignment vertical="top" wrapText="1"/>
    </xf>
    <xf numFmtId="0" fontId="4" fillId="0" borderId="0" xfId="3" applyFont="1" applyAlignment="1">
      <alignment horizontal="left" vertical="top"/>
    </xf>
    <xf numFmtId="0" fontId="4" fillId="0" borderId="0" xfId="3" applyFont="1" applyAlignment="1">
      <alignment horizontal="right" vertical="top" wrapText="1"/>
    </xf>
    <xf numFmtId="0" fontId="5" fillId="0" borderId="0" xfId="3" applyAlignment="1">
      <alignment horizontal="left"/>
    </xf>
    <xf numFmtId="0" fontId="8" fillId="0" borderId="0" xfId="3" applyFont="1" applyAlignment="1">
      <alignment horizontal="left"/>
    </xf>
    <xf numFmtId="0" fontId="8" fillId="0" borderId="0" xfId="3" applyFont="1"/>
    <xf numFmtId="44" fontId="5" fillId="0" borderId="0" xfId="2" applyFont="1"/>
    <xf numFmtId="44" fontId="8" fillId="0" borderId="0" xfId="2" applyFont="1"/>
    <xf numFmtId="10" fontId="11" fillId="0" borderId="0" xfId="1" applyNumberFormat="1" applyFont="1"/>
    <xf numFmtId="10" fontId="8" fillId="0" borderId="0" xfId="1" applyNumberFormat="1" applyFont="1"/>
    <xf numFmtId="2" fontId="5" fillId="0" borderId="0" xfId="3" applyNumberFormat="1"/>
    <xf numFmtId="0" fontId="12" fillId="0" borderId="0" xfId="3" applyFont="1"/>
    <xf numFmtId="0" fontId="4" fillId="0" borderId="1" xfId="3" applyFont="1" applyBorder="1" applyAlignment="1">
      <alignment horizontal="right" vertical="top" wrapText="1"/>
    </xf>
    <xf numFmtId="0" fontId="4" fillId="0" borderId="0" xfId="0" applyFont="1" applyAlignment="1">
      <alignment horizontal="left" vertical="top" wrapText="1"/>
    </xf>
    <xf numFmtId="10" fontId="0" fillId="0" borderId="0" xfId="0" applyNumberFormat="1"/>
    <xf numFmtId="0" fontId="11" fillId="0" borderId="0" xfId="0" applyFont="1"/>
    <xf numFmtId="166" fontId="0" fillId="0" borderId="0" xfId="1" applyNumberFormat="1" applyFont="1"/>
    <xf numFmtId="0" fontId="4" fillId="0" borderId="0" xfId="0" applyFont="1"/>
    <xf numFmtId="44" fontId="5" fillId="0" borderId="0" xfId="3" applyNumberFormat="1"/>
    <xf numFmtId="0" fontId="4" fillId="4" borderId="0" xfId="0" applyFont="1" applyFill="1" applyAlignment="1">
      <alignment horizontal="left" vertical="top" wrapText="1"/>
    </xf>
    <xf numFmtId="0" fontId="4" fillId="4" borderId="0" xfId="0" applyFont="1" applyFill="1" applyAlignment="1">
      <alignment horizontal="left"/>
    </xf>
    <xf numFmtId="167" fontId="0" fillId="0" borderId="0" xfId="0" applyNumberFormat="1"/>
    <xf numFmtId="44" fontId="0" fillId="0" borderId="0" xfId="0" applyNumberFormat="1"/>
    <xf numFmtId="0" fontId="5" fillId="4" borderId="0" xfId="0" applyFont="1" applyFill="1"/>
    <xf numFmtId="10" fontId="0" fillId="3" borderId="0" xfId="0" applyNumberFormat="1" applyFill="1"/>
    <xf numFmtId="0" fontId="4" fillId="0" borderId="5" xfId="0" applyFont="1" applyBorder="1" applyAlignment="1">
      <alignment horizontal="left" vertical="top"/>
    </xf>
    <xf numFmtId="0" fontId="4" fillId="0" borderId="6" xfId="0" applyFont="1" applyBorder="1" applyAlignment="1">
      <alignment horizontal="right" vertical="top" wrapText="1"/>
    </xf>
    <xf numFmtId="0" fontId="0" fillId="0" borderId="5" xfId="0" applyBorder="1" applyAlignment="1">
      <alignment horizontal="left"/>
    </xf>
    <xf numFmtId="165" fontId="0" fillId="0" borderId="6" xfId="0" applyNumberFormat="1" applyBorder="1" applyAlignment="1">
      <alignment horizontal="right"/>
    </xf>
    <xf numFmtId="0" fontId="8" fillId="0" borderId="5" xfId="0" applyFont="1" applyBorder="1" applyAlignment="1">
      <alignment horizontal="left"/>
    </xf>
    <xf numFmtId="165" fontId="8" fillId="0" borderId="6" xfId="0" applyNumberFormat="1" applyFont="1" applyBorder="1" applyAlignment="1">
      <alignment horizontal="right"/>
    </xf>
    <xf numFmtId="0" fontId="6" fillId="0" borderId="5" xfId="0" applyFont="1" applyBorder="1" applyAlignment="1">
      <alignment horizontal="left"/>
    </xf>
    <xf numFmtId="0" fontId="5" fillId="0" borderId="5" xfId="0" applyFont="1" applyBorder="1" applyAlignment="1">
      <alignment horizontal="left" wrapText="1"/>
    </xf>
    <xf numFmtId="0" fontId="8" fillId="0" borderId="7" xfId="0" applyFont="1" applyBorder="1" applyAlignment="1">
      <alignment horizontal="left"/>
    </xf>
    <xf numFmtId="165" fontId="8" fillId="0" borderId="8" xfId="0" applyNumberFormat="1" applyFont="1" applyBorder="1" applyAlignment="1">
      <alignment horizontal="right"/>
    </xf>
    <xf numFmtId="165" fontId="8" fillId="0" borderId="9" xfId="0" applyNumberFormat="1" applyFont="1" applyBorder="1" applyAlignment="1">
      <alignment horizontal="right"/>
    </xf>
    <xf numFmtId="0" fontId="0" fillId="0" borderId="2" xfId="0" applyBorder="1" applyAlignment="1">
      <alignment horizontal="left"/>
    </xf>
    <xf numFmtId="165" fontId="0" fillId="0" borderId="3" xfId="0" applyNumberFormat="1" applyBorder="1" applyAlignment="1">
      <alignment horizontal="right"/>
    </xf>
    <xf numFmtId="165" fontId="0" fillId="0" borderId="4" xfId="0" applyNumberFormat="1" applyBorder="1" applyAlignment="1">
      <alignment horizontal="right"/>
    </xf>
    <xf numFmtId="164" fontId="0" fillId="0" borderId="0" xfId="0" applyNumberFormat="1" applyAlignment="1">
      <alignment horizontal="right"/>
    </xf>
    <xf numFmtId="164" fontId="8" fillId="0" borderId="0" xfId="0" applyNumberFormat="1" applyFont="1" applyAlignment="1">
      <alignment horizontal="right"/>
    </xf>
    <xf numFmtId="0" fontId="4" fillId="0" borderId="7" xfId="0" applyFont="1" applyBorder="1" applyAlignment="1">
      <alignment horizontal="left" vertical="top"/>
    </xf>
    <xf numFmtId="0" fontId="4" fillId="0" borderId="8" xfId="0" applyFont="1" applyBorder="1" applyAlignment="1">
      <alignment horizontal="right" vertical="top" wrapText="1"/>
    </xf>
    <xf numFmtId="0" fontId="4" fillId="0" borderId="9" xfId="0" applyFont="1" applyBorder="1" applyAlignment="1">
      <alignment horizontal="right" vertical="top" wrapText="1"/>
    </xf>
    <xf numFmtId="0" fontId="5" fillId="0" borderId="5" xfId="0" applyFont="1" applyBorder="1"/>
    <xf numFmtId="0" fontId="8" fillId="0" borderId="7" xfId="0" applyFont="1" applyBorder="1"/>
    <xf numFmtId="164" fontId="0" fillId="0" borderId="0" xfId="5" applyNumberFormat="1" applyFont="1"/>
    <xf numFmtId="164" fontId="8" fillId="0" borderId="0" xfId="5" applyNumberFormat="1" applyFont="1"/>
    <xf numFmtId="164" fontId="5" fillId="0" borderId="0" xfId="3" applyNumberFormat="1"/>
    <xf numFmtId="164" fontId="8" fillId="0" borderId="0" xfId="3" applyNumberFormat="1" applyFont="1"/>
    <xf numFmtId="164" fontId="5" fillId="0" borderId="0" xfId="3" applyNumberFormat="1" applyAlignment="1">
      <alignment horizontal="right"/>
    </xf>
    <xf numFmtId="0" fontId="8" fillId="0" borderId="0" xfId="0" applyFont="1"/>
    <xf numFmtId="44" fontId="4" fillId="0" borderId="0" xfId="0" applyNumberFormat="1" applyFont="1"/>
    <xf numFmtId="0" fontId="0" fillId="0" borderId="5" xfId="0" applyBorder="1"/>
    <xf numFmtId="0" fontId="4" fillId="0" borderId="6" xfId="0" applyFont="1" applyBorder="1"/>
    <xf numFmtId="44" fontId="4" fillId="2" borderId="0" xfId="0" applyNumberFormat="1" applyFont="1" applyFill="1"/>
    <xf numFmtId="10" fontId="4" fillId="0" borderId="0" xfId="0" applyNumberFormat="1" applyFont="1" applyAlignment="1">
      <alignment horizontal="right" vertical="top" wrapText="1"/>
    </xf>
    <xf numFmtId="10" fontId="4" fillId="0" borderId="0" xfId="0" applyNumberFormat="1" applyFont="1" applyAlignment="1">
      <alignment horizontal="left" vertical="top"/>
    </xf>
    <xf numFmtId="0" fontId="4" fillId="0" borderId="0" xfId="0" applyFont="1" applyAlignment="1">
      <alignment horizontal="right" vertical="top"/>
    </xf>
    <xf numFmtId="3" fontId="0" fillId="0" borderId="0" xfId="1" applyNumberFormat="1" applyFont="1"/>
    <xf numFmtId="0" fontId="14" fillId="0" borderId="0" xfId="0" applyFont="1"/>
    <xf numFmtId="168" fontId="0" fillId="0" borderId="0" xfId="2" applyNumberFormat="1" applyFont="1" applyFill="1"/>
    <xf numFmtId="169" fontId="0" fillId="0" borderId="0" xfId="4" applyNumberFormat="1" applyFont="1" applyFill="1"/>
    <xf numFmtId="2" fontId="15" fillId="0" borderId="0" xfId="0" applyNumberFormat="1" applyFont="1"/>
    <xf numFmtId="2" fontId="16" fillId="0" borderId="0" xfId="0" applyNumberFormat="1" applyFont="1"/>
    <xf numFmtId="44" fontId="16" fillId="0" borderId="0" xfId="0" applyNumberFormat="1" applyFont="1"/>
    <xf numFmtId="0" fontId="4" fillId="0" borderId="0" xfId="0" applyFont="1" applyAlignment="1">
      <alignment horizontal="center"/>
    </xf>
    <xf numFmtId="0" fontId="16" fillId="0" borderId="0" xfId="0" applyFont="1"/>
    <xf numFmtId="0" fontId="1" fillId="0" borderId="0" xfId="6"/>
    <xf numFmtId="0" fontId="1" fillId="0" borderId="5" xfId="6" applyBorder="1"/>
    <xf numFmtId="0" fontId="18" fillId="0" borderId="5" xfId="6" applyFont="1" applyBorder="1"/>
    <xf numFmtId="0" fontId="18" fillId="0" borderId="0" xfId="6" applyFont="1"/>
    <xf numFmtId="0" fontId="18" fillId="0" borderId="6" xfId="6" applyFont="1" applyBorder="1"/>
    <xf numFmtId="0" fontId="1" fillId="0" borderId="6" xfId="6" applyBorder="1"/>
    <xf numFmtId="14" fontId="1" fillId="0" borderId="0" xfId="6" applyNumberFormat="1"/>
    <xf numFmtId="14" fontId="1" fillId="0" borderId="5" xfId="6" applyNumberFormat="1" applyBorder="1"/>
    <xf numFmtId="14" fontId="18" fillId="0" borderId="5" xfId="6" applyNumberFormat="1" applyFont="1" applyBorder="1"/>
    <xf numFmtId="14" fontId="1" fillId="0" borderId="7" xfId="6" applyNumberFormat="1" applyBorder="1"/>
    <xf numFmtId="0" fontId="1" fillId="0" borderId="8" xfId="6" applyBorder="1"/>
    <xf numFmtId="14" fontId="18" fillId="0" borderId="7" xfId="6" applyNumberFormat="1" applyFont="1" applyBorder="1"/>
    <xf numFmtId="0" fontId="18" fillId="0" borderId="8" xfId="6" applyFont="1" applyBorder="1"/>
    <xf numFmtId="0" fontId="18" fillId="0" borderId="9" xfId="6" applyFont="1" applyBorder="1"/>
    <xf numFmtId="0" fontId="1" fillId="0" borderId="9" xfId="6" applyBorder="1"/>
    <xf numFmtId="0" fontId="4" fillId="4" borderId="0" xfId="0" applyFont="1" applyFill="1" applyAlignment="1">
      <alignment horizontal="left" vertical="top"/>
    </xf>
    <xf numFmtId="164" fontId="0" fillId="0" borderId="0" xfId="0" applyNumberFormat="1" applyAlignment="1">
      <alignment horizontal="left"/>
    </xf>
    <xf numFmtId="44" fontId="4" fillId="2" borderId="12" xfId="0" applyNumberFormat="1" applyFont="1" applyFill="1" applyBorder="1"/>
    <xf numFmtId="10" fontId="5" fillId="0" borderId="0" xfId="3" applyNumberFormat="1" applyAlignment="1">
      <alignment horizontal="left"/>
    </xf>
    <xf numFmtId="170" fontId="5" fillId="0" borderId="0" xfId="3" applyNumberFormat="1"/>
    <xf numFmtId="165" fontId="8" fillId="0" borderId="0" xfId="0" applyNumberFormat="1" applyFont="1"/>
    <xf numFmtId="44" fontId="5" fillId="0" borderId="0" xfId="3" applyNumberFormat="1" applyAlignment="1">
      <alignment horizontal="left"/>
    </xf>
    <xf numFmtId="0" fontId="18" fillId="2" borderId="8" xfId="6" applyFont="1" applyFill="1" applyBorder="1"/>
    <xf numFmtId="0" fontId="1" fillId="2" borderId="8" xfId="6" applyFill="1" applyBorder="1"/>
    <xf numFmtId="168" fontId="5" fillId="0" borderId="0" xfId="3" applyNumberFormat="1" applyAlignment="1">
      <alignment horizontal="left"/>
    </xf>
    <xf numFmtId="168" fontId="0" fillId="0" borderId="0" xfId="0" applyNumberFormat="1"/>
    <xf numFmtId="9" fontId="0" fillId="6" borderId="0" xfId="0" applyNumberFormat="1" applyFill="1"/>
    <xf numFmtId="168" fontId="5" fillId="0" borderId="0" xfId="2" applyNumberFormat="1" applyFont="1" applyBorder="1" applyAlignment="1">
      <alignment horizontal="right"/>
    </xf>
    <xf numFmtId="168" fontId="8" fillId="0" borderId="0" xfId="2" applyNumberFormat="1" applyFont="1" applyBorder="1" applyAlignment="1">
      <alignment horizontal="right"/>
    </xf>
    <xf numFmtId="168" fontId="8" fillId="0" borderId="8" xfId="2" applyNumberFormat="1" applyFont="1" applyBorder="1" applyAlignment="1">
      <alignment horizontal="right"/>
    </xf>
    <xf numFmtId="168" fontId="8" fillId="0" borderId="8" xfId="0" applyNumberFormat="1" applyFont="1" applyBorder="1" applyAlignment="1">
      <alignment horizontal="right"/>
    </xf>
    <xf numFmtId="0" fontId="20" fillId="0" borderId="0" xfId="0" applyFont="1"/>
    <xf numFmtId="168" fontId="8" fillId="0" borderId="0" xfId="0" applyNumberFormat="1" applyFont="1"/>
    <xf numFmtId="168" fontId="8" fillId="0" borderId="0" xfId="2" applyNumberFormat="1" applyFont="1" applyFill="1" applyBorder="1" applyAlignment="1">
      <alignment horizontal="right"/>
    </xf>
    <xf numFmtId="9" fontId="0" fillId="2" borderId="0" xfId="1" applyFont="1" applyFill="1"/>
    <xf numFmtId="165" fontId="8" fillId="0" borderId="0" xfId="0" applyNumberFormat="1" applyFont="1" applyAlignment="1">
      <alignment horizontal="right"/>
    </xf>
    <xf numFmtId="165" fontId="0" fillId="0" borderId="0" xfId="0" applyNumberFormat="1" applyAlignment="1">
      <alignment horizontal="right"/>
    </xf>
    <xf numFmtId="10" fontId="0" fillId="0" borderId="0" xfId="1" applyNumberFormat="1" applyFont="1" applyFill="1"/>
    <xf numFmtId="0" fontId="4" fillId="0" borderId="2" xfId="0" applyFont="1" applyBorder="1" applyAlignment="1">
      <alignment horizontal="left" vertical="top"/>
    </xf>
    <xf numFmtId="0" fontId="4" fillId="0" borderId="3" xfId="0" applyFont="1" applyBorder="1" applyAlignment="1">
      <alignment horizontal="right" vertical="top" wrapText="1"/>
    </xf>
    <xf numFmtId="0" fontId="4" fillId="0" borderId="4" xfId="0" applyFont="1" applyBorder="1" applyAlignment="1">
      <alignment horizontal="right" vertical="top" wrapText="1"/>
    </xf>
    <xf numFmtId="168" fontId="0" fillId="0" borderId="0" xfId="0" applyNumberFormat="1" applyAlignment="1">
      <alignment horizontal="right"/>
    </xf>
    <xf numFmtId="168" fontId="0" fillId="0" borderId="6" xfId="0" applyNumberFormat="1" applyBorder="1" applyAlignment="1">
      <alignment horizontal="right"/>
    </xf>
    <xf numFmtId="168" fontId="8" fillId="0" borderId="6" xfId="2" applyNumberFormat="1" applyFont="1" applyFill="1" applyBorder="1" applyAlignment="1">
      <alignment horizontal="right"/>
    </xf>
    <xf numFmtId="168" fontId="8" fillId="0" borderId="0" xfId="0" applyNumberFormat="1" applyFont="1" applyAlignment="1">
      <alignment horizontal="right"/>
    </xf>
    <xf numFmtId="168" fontId="8" fillId="0" borderId="6" xfId="0" applyNumberFormat="1" applyFont="1" applyBorder="1" applyAlignment="1">
      <alignment horizontal="right"/>
    </xf>
    <xf numFmtId="168" fontId="8" fillId="0" borderId="9" xfId="0" applyNumberFormat="1" applyFont="1" applyBorder="1" applyAlignment="1">
      <alignment horizontal="right"/>
    </xf>
    <xf numFmtId="0" fontId="14" fillId="0" borderId="5" xfId="3" applyFont="1" applyBorder="1"/>
    <xf numFmtId="168" fontId="0" fillId="0" borderId="6" xfId="0" applyNumberFormat="1" applyBorder="1"/>
    <xf numFmtId="0" fontId="14" fillId="0" borderId="7" xfId="3" applyFont="1" applyBorder="1"/>
    <xf numFmtId="0" fontId="0" fillId="0" borderId="8" xfId="0" applyBorder="1"/>
    <xf numFmtId="168" fontId="0" fillId="0" borderId="8" xfId="0" applyNumberFormat="1" applyBorder="1"/>
    <xf numFmtId="168" fontId="0" fillId="0" borderId="9" xfId="0" applyNumberFormat="1" applyBorder="1"/>
    <xf numFmtId="0" fontId="19" fillId="0" borderId="5" xfId="0" applyFont="1" applyBorder="1"/>
    <xf numFmtId="0" fontId="14" fillId="0" borderId="5" xfId="0" applyFont="1" applyBorder="1"/>
    <xf numFmtId="0" fontId="21" fillId="0" borderId="5" xfId="0" applyFont="1" applyBorder="1"/>
    <xf numFmtId="168" fontId="8" fillId="0" borderId="6" xfId="0" applyNumberFormat="1" applyFont="1" applyBorder="1"/>
    <xf numFmtId="0" fontId="20" fillId="0" borderId="7" xfId="0" applyFont="1" applyBorder="1"/>
    <xf numFmtId="168" fontId="8" fillId="0" borderId="8" xfId="0" applyNumberFormat="1" applyFont="1" applyBorder="1"/>
    <xf numFmtId="168" fontId="8" fillId="0" borderId="9" xfId="0" applyNumberFormat="1" applyFont="1" applyBorder="1"/>
    <xf numFmtId="0" fontId="5" fillId="0" borderId="5" xfId="3" applyBorder="1" applyAlignment="1">
      <alignment horizontal="left"/>
    </xf>
    <xf numFmtId="0" fontId="8" fillId="0" borderId="5" xfId="3" applyFont="1" applyBorder="1" applyAlignment="1">
      <alignment horizontal="left"/>
    </xf>
    <xf numFmtId="0" fontId="8" fillId="0" borderId="7" xfId="3" applyFont="1" applyBorder="1" applyAlignment="1">
      <alignment horizontal="left"/>
    </xf>
    <xf numFmtId="0" fontId="5" fillId="0" borderId="0" xfId="0" applyFont="1" applyAlignment="1">
      <alignment horizontal="right"/>
    </xf>
    <xf numFmtId="0" fontId="23" fillId="0" borderId="0" xfId="6" applyFont="1"/>
    <xf numFmtId="0" fontId="24" fillId="0" borderId="0" xfId="0" applyFont="1"/>
    <xf numFmtId="14" fontId="24" fillId="0" borderId="0" xfId="0" applyNumberFormat="1" applyFont="1"/>
    <xf numFmtId="4" fontId="24" fillId="0" borderId="0" xfId="3" applyNumberFormat="1" applyFont="1" applyAlignment="1">
      <alignment horizontal="right" vertical="center" wrapText="1"/>
    </xf>
    <xf numFmtId="0" fontId="24" fillId="0" borderId="0" xfId="3" applyFont="1"/>
    <xf numFmtId="0" fontId="23" fillId="0" borderId="6" xfId="6" applyFont="1" applyBorder="1"/>
    <xf numFmtId="0" fontId="23" fillId="0" borderId="8" xfId="6" applyFont="1" applyBorder="1"/>
    <xf numFmtId="0" fontId="23" fillId="2" borderId="0" xfId="6" applyFont="1" applyFill="1"/>
    <xf numFmtId="0" fontId="23" fillId="2" borderId="8" xfId="6" applyFont="1" applyFill="1" applyBorder="1"/>
    <xf numFmtId="0" fontId="23" fillId="2" borderId="5" xfId="6" applyFont="1" applyFill="1" applyBorder="1"/>
    <xf numFmtId="14" fontId="23" fillId="2" borderId="5" xfId="6" applyNumberFormat="1" applyFont="1" applyFill="1" applyBorder="1"/>
    <xf numFmtId="14" fontId="23" fillId="2" borderId="7" xfId="6" applyNumberFormat="1" applyFont="1" applyFill="1" applyBorder="1"/>
    <xf numFmtId="0" fontId="24" fillId="2" borderId="0" xfId="0" applyFont="1" applyFill="1"/>
    <xf numFmtId="4" fontId="24" fillId="2" borderId="0" xfId="3" applyNumberFormat="1" applyFont="1" applyFill="1" applyAlignment="1">
      <alignment horizontal="right" vertical="center" wrapText="1" readingOrder="1"/>
    </xf>
    <xf numFmtId="0" fontId="22" fillId="0" borderId="0" xfId="6" applyFont="1"/>
    <xf numFmtId="6" fontId="22" fillId="7" borderId="0" xfId="6" applyNumberFormat="1" applyFont="1" applyFill="1"/>
    <xf numFmtId="8" fontId="23" fillId="0" borderId="0" xfId="6" applyNumberFormat="1" applyFont="1"/>
    <xf numFmtId="0" fontId="4" fillId="5" borderId="10"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11" xfId="0" applyFont="1" applyFill="1" applyBorder="1" applyAlignment="1">
      <alignment horizontal="center" vertical="top" wrapText="1"/>
    </xf>
    <xf numFmtId="0" fontId="4" fillId="5" borderId="10" xfId="0" applyFont="1" applyFill="1" applyBorder="1" applyAlignment="1">
      <alignment horizontal="center"/>
    </xf>
    <xf numFmtId="0" fontId="4" fillId="5" borderId="1" xfId="0" applyFont="1" applyFill="1" applyBorder="1" applyAlignment="1">
      <alignment horizontal="center"/>
    </xf>
    <xf numFmtId="0" fontId="4" fillId="5" borderId="11" xfId="0" applyFont="1" applyFill="1" applyBorder="1" applyAlignment="1">
      <alignment horizontal="center"/>
    </xf>
    <xf numFmtId="0" fontId="5" fillId="0" borderId="0" xfId="3" applyAlignment="1">
      <alignment horizontal="left" vertical="center" wrapText="1"/>
    </xf>
    <xf numFmtId="0" fontId="17" fillId="0" borderId="0" xfId="6" applyFont="1" applyAlignment="1">
      <alignment horizontal="center"/>
    </xf>
    <xf numFmtId="0" fontId="17" fillId="0" borderId="2" xfId="6" applyFont="1" applyBorder="1" applyAlignment="1">
      <alignment horizontal="center"/>
    </xf>
    <xf numFmtId="0" fontId="17" fillId="0" borderId="3" xfId="6" applyFont="1" applyBorder="1" applyAlignment="1">
      <alignment horizontal="center"/>
    </xf>
    <xf numFmtId="0" fontId="17" fillId="0" borderId="4" xfId="6" applyFont="1" applyBorder="1" applyAlignment="1">
      <alignment horizontal="center"/>
    </xf>
    <xf numFmtId="164" fontId="8" fillId="0" borderId="0" xfId="3" applyNumberFormat="1" applyFont="1" applyAlignment="1">
      <alignment horizontal="right"/>
    </xf>
    <xf numFmtId="10" fontId="11" fillId="0" borderId="0" xfId="1" applyNumberFormat="1" applyFont="1" applyAlignment="1">
      <alignment horizontal="right"/>
    </xf>
    <xf numFmtId="10" fontId="8" fillId="0" borderId="0" xfId="1" applyNumberFormat="1" applyFont="1" applyAlignment="1">
      <alignment horizontal="right"/>
    </xf>
    <xf numFmtId="10" fontId="5" fillId="0" borderId="0" xfId="3" applyNumberFormat="1"/>
    <xf numFmtId="10" fontId="8" fillId="0" borderId="0" xfId="3" applyNumberFormat="1" applyFont="1"/>
    <xf numFmtId="170" fontId="8" fillId="0" borderId="0" xfId="3" applyNumberFormat="1" applyFont="1"/>
    <xf numFmtId="0" fontId="4" fillId="0" borderId="10" xfId="3" applyFont="1" applyBorder="1"/>
    <xf numFmtId="0" fontId="4" fillId="0" borderId="1" xfId="3" applyFont="1" applyBorder="1"/>
    <xf numFmtId="171" fontId="4" fillId="0" borderId="1" xfId="3" applyNumberFormat="1" applyFont="1" applyBorder="1" applyAlignment="1">
      <alignment horizontal="right" vertical="top" wrapText="1"/>
    </xf>
    <xf numFmtId="171" fontId="4" fillId="0" borderId="11" xfId="3" applyNumberFormat="1" applyFont="1" applyBorder="1" applyAlignment="1">
      <alignment horizontal="right" vertical="top" wrapText="1"/>
    </xf>
    <xf numFmtId="0" fontId="5" fillId="0" borderId="5" xfId="3" applyBorder="1"/>
    <xf numFmtId="2" fontId="5" fillId="0" borderId="6" xfId="3" applyNumberFormat="1" applyBorder="1"/>
    <xf numFmtId="0" fontId="5" fillId="0" borderId="7" xfId="3" applyBorder="1"/>
    <xf numFmtId="0" fontId="5" fillId="0" borderId="8" xfId="3" applyBorder="1"/>
    <xf numFmtId="0" fontId="12" fillId="0" borderId="8" xfId="3" applyFont="1" applyBorder="1"/>
    <xf numFmtId="2" fontId="5" fillId="0" borderId="8" xfId="3" applyNumberFormat="1" applyBorder="1"/>
    <xf numFmtId="2" fontId="5" fillId="0" borderId="9" xfId="3" applyNumberFormat="1" applyBorder="1"/>
    <xf numFmtId="0" fontId="5" fillId="0" borderId="6" xfId="3" applyBorder="1"/>
    <xf numFmtId="10" fontId="5" fillId="0" borderId="8" xfId="3" applyNumberFormat="1" applyBorder="1"/>
    <xf numFmtId="0" fontId="5" fillId="0" borderId="9" xfId="3" applyBorder="1"/>
    <xf numFmtId="10" fontId="5" fillId="0" borderId="9" xfId="3" applyNumberFormat="1" applyBorder="1"/>
    <xf numFmtId="0" fontId="25" fillId="0" borderId="0" xfId="7"/>
    <xf numFmtId="9" fontId="5" fillId="0" borderId="0" xfId="3" applyNumberFormat="1"/>
    <xf numFmtId="172" fontId="5" fillId="0" borderId="0" xfId="3" applyNumberFormat="1"/>
    <xf numFmtId="173" fontId="5" fillId="0" borderId="0" xfId="3" applyNumberFormat="1"/>
    <xf numFmtId="3" fontId="5" fillId="0" borderId="0" xfId="3" applyNumberFormat="1"/>
  </cellXfs>
  <cellStyles count="8">
    <cellStyle name="Comma" xfId="4" builtinId="3"/>
    <cellStyle name="Currency" xfId="2" builtinId="4"/>
    <cellStyle name="Currency 2" xfId="5" xr:uid="{58B94BFE-9B8A-4B49-B161-552A940CA53E}"/>
    <cellStyle name="Hyperlink" xfId="7" builtinId="8"/>
    <cellStyle name="Normal" xfId="0" builtinId="0"/>
    <cellStyle name="Normal 2" xfId="3" xr:uid="{08B964DA-8BB2-9E46-BE52-B90310582BEC}"/>
    <cellStyle name="Normal 3" xfId="6" xr:uid="{8AB41C27-EA3F-3848-9811-08FF797270DF}"/>
    <cellStyle name="Percent" xfId="1" builtinId="5"/>
  </cellStyles>
  <dxfs count="0"/>
  <tableStyles count="0" defaultTableStyle="TableStyleMedium9"/>
  <colors>
    <mruColors>
      <color rgb="FFF96302"/>
      <color rgb="FF3A3A3A"/>
      <color rgb="FF0071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Sustained</a:t>
            </a:r>
            <a:r>
              <a:rPr lang="en-US" b="1" baseline="0"/>
              <a:t> Revenue Expansion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Tables'!$AA$2</c:f>
              <c:strCache>
                <c:ptCount val="1"/>
                <c:pt idx="0">
                  <c:v>Revenue</c:v>
                </c:pt>
              </c:strCache>
            </c:strRef>
          </c:tx>
          <c:spPr>
            <a:solidFill>
              <a:srgbClr val="F96302"/>
            </a:solidFill>
            <a:ln>
              <a:noFill/>
            </a:ln>
            <a:effectLst/>
          </c:spPr>
          <c:invertIfNegative val="0"/>
          <c:dPt>
            <c:idx val="0"/>
            <c:invertIfNegative val="0"/>
            <c:bubble3D val="0"/>
            <c:spPr>
              <a:solidFill>
                <a:srgbClr val="F96302">
                  <a:alpha val="60000"/>
                </a:srgbClr>
              </a:solidFill>
              <a:ln>
                <a:noFill/>
              </a:ln>
              <a:effectLst/>
            </c:spPr>
            <c:extLst>
              <c:ext xmlns:c16="http://schemas.microsoft.com/office/drawing/2014/chart" uri="{C3380CC4-5D6E-409C-BE32-E72D297353CC}">
                <c16:uniqueId val="{00000002-E33F-0547-8618-829E3A429674}"/>
              </c:ext>
            </c:extLst>
          </c:dPt>
          <c:dPt>
            <c:idx val="1"/>
            <c:invertIfNegative val="0"/>
            <c:bubble3D val="0"/>
            <c:spPr>
              <a:solidFill>
                <a:srgbClr val="F96302">
                  <a:alpha val="60000"/>
                </a:srgbClr>
              </a:solidFill>
              <a:ln>
                <a:noFill/>
              </a:ln>
              <a:effectLst/>
            </c:spPr>
            <c:extLst>
              <c:ext xmlns:c16="http://schemas.microsoft.com/office/drawing/2014/chart" uri="{C3380CC4-5D6E-409C-BE32-E72D297353CC}">
                <c16:uniqueId val="{00000005-E33F-0547-8618-829E3A429674}"/>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3F-0547-8618-829E3A429674}"/>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3F-0547-8618-829E3A429674}"/>
                </c:ext>
              </c:extLst>
            </c:dLbl>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Tables'!$B$4:$K$4</c:f>
              <c:strCache>
                <c:ptCount val="10"/>
                <c:pt idx="0">
                  <c:v>2023</c:v>
                </c:pt>
                <c:pt idx="1">
                  <c:v>2024</c:v>
                </c:pt>
                <c:pt idx="2">
                  <c:v>2025E</c:v>
                </c:pt>
                <c:pt idx="3">
                  <c:v>2026E</c:v>
                </c:pt>
                <c:pt idx="4">
                  <c:v>2027E</c:v>
                </c:pt>
                <c:pt idx="5">
                  <c:v>2028E</c:v>
                </c:pt>
                <c:pt idx="6">
                  <c:v>2029E</c:v>
                </c:pt>
                <c:pt idx="7">
                  <c:v>2030E</c:v>
                </c:pt>
                <c:pt idx="8">
                  <c:v>2031E</c:v>
                </c:pt>
                <c:pt idx="9">
                  <c:v>2032E</c:v>
                </c:pt>
              </c:strCache>
            </c:strRef>
          </c:cat>
          <c:val>
            <c:numRef>
              <c:f>'Projected Tables'!$AB$2:$AK$2</c:f>
              <c:numCache>
                <c:formatCode>"$"#,##0</c:formatCode>
                <c:ptCount val="10"/>
                <c:pt idx="0">
                  <c:v>157403000</c:v>
                </c:pt>
                <c:pt idx="1">
                  <c:v>152669000</c:v>
                </c:pt>
                <c:pt idx="2">
                  <c:v>162500883.59999999</c:v>
                </c:pt>
                <c:pt idx="3">
                  <c:v>172965940.50384</c:v>
                </c:pt>
                <c:pt idx="4">
                  <c:v>184104947.07228729</c:v>
                </c:pt>
                <c:pt idx="5">
                  <c:v>195961305.6637426</c:v>
                </c:pt>
                <c:pt idx="6">
                  <c:v>208581213.74848762</c:v>
                </c:pt>
                <c:pt idx="7">
                  <c:v>222013843.91389021</c:v>
                </c:pt>
                <c:pt idx="8">
                  <c:v>236311535.46194476</c:v>
                </c:pt>
                <c:pt idx="9">
                  <c:v>251529998.34569401</c:v>
                </c:pt>
              </c:numCache>
            </c:numRef>
          </c:val>
          <c:extLst>
            <c:ext xmlns:c16="http://schemas.microsoft.com/office/drawing/2014/chart" uri="{C3380CC4-5D6E-409C-BE32-E72D297353CC}">
              <c16:uniqueId val="{00000000-E33F-0547-8618-829E3A429674}"/>
            </c:ext>
          </c:extLst>
        </c:ser>
        <c:dLbls>
          <c:showLegendKey val="0"/>
          <c:showVal val="0"/>
          <c:showCatName val="0"/>
          <c:showSerName val="0"/>
          <c:showPercent val="0"/>
          <c:showBubbleSize val="0"/>
        </c:dLbls>
        <c:gapWidth val="219"/>
        <c:axId val="565025743"/>
        <c:axId val="565018559"/>
      </c:barChart>
      <c:catAx>
        <c:axId val="5650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018559"/>
        <c:crosses val="autoZero"/>
        <c:auto val="1"/>
        <c:lblAlgn val="ctr"/>
        <c:lblOffset val="100"/>
        <c:noMultiLvlLbl val="0"/>
      </c:catAx>
      <c:valAx>
        <c:axId val="565018559"/>
        <c:scaling>
          <c:orientation val="minMax"/>
        </c:scaling>
        <c:delete val="0"/>
        <c:axPos val="l"/>
        <c:numFmt formatCode="#,##0,,\ &quot;B&quot;" sourceLinked="0"/>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02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a:t>
            </a:r>
            <a:r>
              <a:rPr lang="en-US" baseline="0"/>
              <a:t> General &amp; Admin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'Common Size Income Statement'!$A$23</c:f>
              <c:strCache>
                <c:ptCount val="1"/>
                <c:pt idx="0">
                  <c:v>Selling General &amp; Admin</c:v>
                </c:pt>
              </c:strCache>
            </c:strRef>
          </c:tx>
          <c:spPr>
            <a:solidFill>
              <a:schemeClr val="accent1"/>
            </a:solidFill>
            <a:ln>
              <a:noFill/>
            </a:ln>
            <a:effectLst/>
          </c:spPr>
          <c:invertIfNegative val="0"/>
          <c:val>
            <c:numRef>
              <c:f>'Common Size Income Statement'!$B$23:$K$23</c:f>
              <c:numCache>
                <c:formatCode>0.00%</c:formatCode>
                <c:ptCount val="10"/>
                <c:pt idx="0">
                  <c:v>0.20239011253246128</c:v>
                </c:pt>
                <c:pt idx="1">
                  <c:v>0.18980105965950814</c:v>
                </c:pt>
                <c:pt idx="2">
                  <c:v>0.18110893810455098</c:v>
                </c:pt>
                <c:pt idx="3">
                  <c:v>0.17703956235629906</c:v>
                </c:pt>
                <c:pt idx="4">
                  <c:v>0.18033695923403234</c:v>
                </c:pt>
                <c:pt idx="5">
                  <c:v>0.17908822862327059</c:v>
                </c:pt>
                <c:pt idx="6">
                  <c:v>0.1850503368405117</c:v>
                </c:pt>
                <c:pt idx="7">
                  <c:v>0.16807690017663754</c:v>
                </c:pt>
                <c:pt idx="8">
                  <c:v>0.16698538147303418</c:v>
                </c:pt>
                <c:pt idx="9">
                  <c:v>0.17422004467180632</c:v>
                </c:pt>
              </c:numCache>
            </c:numRef>
          </c:val>
          <c:extLst>
            <c:ext xmlns:c16="http://schemas.microsoft.com/office/drawing/2014/chart" uri="{C3380CC4-5D6E-409C-BE32-E72D297353CC}">
              <c16:uniqueId val="{00000000-A945-E946-A60B-D417CC0868BC}"/>
            </c:ext>
          </c:extLst>
        </c:ser>
        <c:ser>
          <c:idx val="1"/>
          <c:order val="1"/>
          <c:tx>
            <c:strRef>
              <c:f>'Common Size Income Statement'!$B$11</c:f>
              <c:strCache>
                <c:ptCount val="1"/>
                <c:pt idx="0">
                  <c:v>02/01/2015</c:v>
                </c:pt>
              </c:strCache>
            </c:strRef>
          </c:tx>
          <c:spPr>
            <a:solidFill>
              <a:schemeClr val="accent2"/>
            </a:solidFill>
            <a:ln>
              <a:noFill/>
            </a:ln>
            <a:effectLst/>
          </c:spPr>
          <c:invertIfNegative val="0"/>
          <c:val>
            <c:numRef>
              <c:f>'Common Size Income Statement'!$C$11:$K$11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A945-E946-A60B-D417CC0868BC}"/>
            </c:ext>
          </c:extLst>
        </c:ser>
        <c:dLbls>
          <c:showLegendKey val="0"/>
          <c:showVal val="0"/>
          <c:showCatName val="0"/>
          <c:showSerName val="0"/>
          <c:showPercent val="0"/>
          <c:showBubbleSize val="0"/>
        </c:dLbls>
        <c:gapWidth val="219"/>
        <c:overlap val="-27"/>
        <c:axId val="465810336"/>
        <c:axId val="465812048"/>
      </c:barChart>
      <c:catAx>
        <c:axId val="465810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12048"/>
        <c:crosses val="autoZero"/>
        <c:auto val="1"/>
        <c:lblAlgn val="ctr"/>
        <c:lblOffset val="100"/>
        <c:noMultiLvlLbl val="0"/>
      </c:catAx>
      <c:valAx>
        <c:axId val="46581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1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Direct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'Common Size Income Statement'!$A$21</c:f>
              <c:strCache>
                <c:ptCount val="1"/>
                <c:pt idx="0">
                  <c:v>Direct Costs (Cost of Goods Sold)</c:v>
                </c:pt>
              </c:strCache>
            </c:strRef>
          </c:tx>
          <c:spPr>
            <a:solidFill>
              <a:schemeClr val="accent1"/>
            </a:solidFill>
            <a:ln>
              <a:noFill/>
            </a:ln>
            <a:effectLst/>
          </c:spPr>
          <c:invertIfNegative val="0"/>
          <c:val>
            <c:numRef>
              <c:f>'Common Size Income Statement'!$B$21:$K$21</c:f>
              <c:numCache>
                <c:formatCode>0.00%</c:formatCode>
                <c:ptCount val="10"/>
                <c:pt idx="0">
                  <c:v>0.6518947773396172</c:v>
                </c:pt>
                <c:pt idx="1">
                  <c:v>0.65809600198827367</c:v>
                </c:pt>
                <c:pt idx="2">
                  <c:v>0.65840689254188911</c:v>
                </c:pt>
                <c:pt idx="3">
                  <c:v>0.65951795766272892</c:v>
                </c:pt>
                <c:pt idx="4">
                  <c:v>0.65657144441466497</c:v>
                </c:pt>
                <c:pt idx="5">
                  <c:v>0.65913359038330688</c:v>
                </c:pt>
                <c:pt idx="6">
                  <c:v>0.6604874725607448</c:v>
                </c:pt>
                <c:pt idx="7">
                  <c:v>0.66371388688582067</c:v>
                </c:pt>
                <c:pt idx="8">
                  <c:v>0.66469508205053274</c:v>
                </c:pt>
                <c:pt idx="9">
                  <c:v>0.66620597501784906</c:v>
                </c:pt>
              </c:numCache>
            </c:numRef>
          </c:val>
          <c:extLst>
            <c:ext xmlns:c16="http://schemas.microsoft.com/office/drawing/2014/chart" uri="{C3380CC4-5D6E-409C-BE32-E72D297353CC}">
              <c16:uniqueId val="{00000000-6592-B44F-AA46-398DC4EDD578}"/>
            </c:ext>
          </c:extLst>
        </c:ser>
        <c:ser>
          <c:idx val="1"/>
          <c:order val="1"/>
          <c:tx>
            <c:strRef>
              <c:f>'Common Size Income Statement'!$B$11</c:f>
              <c:strCache>
                <c:ptCount val="1"/>
                <c:pt idx="0">
                  <c:v>02/01/2015</c:v>
                </c:pt>
              </c:strCache>
            </c:strRef>
          </c:tx>
          <c:spPr>
            <a:solidFill>
              <a:schemeClr val="accent2"/>
            </a:solidFill>
            <a:ln>
              <a:noFill/>
            </a:ln>
            <a:effectLst/>
          </c:spPr>
          <c:invertIfNegative val="0"/>
          <c:val>
            <c:numRef>
              <c:f>'Common Size Income Statement'!$C$11:$K$11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6592-B44F-AA46-398DC4EDD578}"/>
            </c:ext>
          </c:extLst>
        </c:ser>
        <c:dLbls>
          <c:showLegendKey val="0"/>
          <c:showVal val="0"/>
          <c:showCatName val="0"/>
          <c:showSerName val="0"/>
          <c:showPercent val="0"/>
          <c:showBubbleSize val="0"/>
        </c:dLbls>
        <c:gapWidth val="219"/>
        <c:overlap val="-27"/>
        <c:axId val="731017328"/>
        <c:axId val="730986816"/>
      </c:barChart>
      <c:catAx>
        <c:axId val="731017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86816"/>
        <c:crosses val="autoZero"/>
        <c:auto val="1"/>
        <c:lblAlgn val="ctr"/>
        <c:lblOffset val="100"/>
        <c:noMultiLvlLbl val="0"/>
      </c:catAx>
      <c:valAx>
        <c:axId val="730986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1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tx1">
                    <a:lumMod val="65000"/>
                    <a:lumOff val="35000"/>
                  </a:schemeClr>
                </a:solidFill>
              </a:rPr>
              <a:t>Volatility in Debt to Equity: COVID-19 Impact and Post Pandemic Surge</a:t>
            </a:r>
            <a:endParaRPr lang="en-US" sz="16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Debt to Equity</c:v>
          </c:tx>
          <c:spPr>
            <a:solidFill>
              <a:srgbClr val="F96302"/>
            </a:solidFill>
            <a:ln>
              <a:noFill/>
            </a:ln>
            <a:effectLst/>
          </c:spPr>
          <c:invertIfNegative val="0"/>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99-1A49-8917-7BA1193B35CD}"/>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99-1A49-8917-7BA1193B35CD}"/>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99-1A49-8917-7BA1193B35CD}"/>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99-1A49-8917-7BA1193B35CD}"/>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99-1A49-8917-7BA1193B35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Sales'!$B$54:$K$54</c:f>
              <c:numCache>
                <c:formatCode>0.00</c:formatCode>
                <c:ptCount val="10"/>
                <c:pt idx="0">
                  <c:v>3.2851319459343489</c:v>
                </c:pt>
                <c:pt idx="1">
                  <c:v>5.736700443318556</c:v>
                </c:pt>
                <c:pt idx="2">
                  <c:v>8.915993537964459</c:v>
                </c:pt>
                <c:pt idx="3">
                  <c:v>29.625171939477305</c:v>
                </c:pt>
                <c:pt idx="4">
                  <c:v>-24.430777422790204</c:v>
                </c:pt>
                <c:pt idx="5">
                  <c:v>-17.442875481386391</c:v>
                </c:pt>
                <c:pt idx="6">
                  <c:v>20.394665050015156</c:v>
                </c:pt>
                <c:pt idx="7">
                  <c:v>-43.379716981132077</c:v>
                </c:pt>
                <c:pt idx="8">
                  <c:v>47.940460947503205</c:v>
                </c:pt>
                <c:pt idx="9">
                  <c:v>72.304597701149433</c:v>
                </c:pt>
              </c:numCache>
            </c:numRef>
          </c:val>
          <c:extLst>
            <c:ext xmlns:c16="http://schemas.microsoft.com/office/drawing/2014/chart" uri="{C3380CC4-5D6E-409C-BE32-E72D297353CC}">
              <c16:uniqueId val="{00000001-D22A-5B42-8A2E-B947A35B582F}"/>
            </c:ext>
          </c:extLst>
        </c:ser>
        <c:dLbls>
          <c:showLegendKey val="0"/>
          <c:showVal val="0"/>
          <c:showCatName val="0"/>
          <c:showSerName val="0"/>
          <c:showPercent val="0"/>
          <c:showBubbleSize val="0"/>
        </c:dLbls>
        <c:gapWidth val="150"/>
        <c:axId val="997383280"/>
        <c:axId val="997384992"/>
      </c:barChart>
      <c:catAx>
        <c:axId val="997383280"/>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4992"/>
        <c:crosses val="autoZero"/>
        <c:auto val="0"/>
        <c:lblAlgn val="ctr"/>
        <c:lblOffset val="100"/>
        <c:noMultiLvlLbl val="0"/>
      </c:catAx>
      <c:valAx>
        <c:axId val="997384992"/>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3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lumMod val="65000"/>
                    <a:lumOff val="35000"/>
                  </a:schemeClr>
                </a:solidFill>
              </a:rPr>
              <a:t>Short Term Solvency</a:t>
            </a:r>
            <a:r>
              <a:rPr lang="en-US" sz="1600" b="1" baseline="0">
                <a:solidFill>
                  <a:schemeClr val="tx1">
                    <a:lumMod val="65000"/>
                    <a:lumOff val="35000"/>
                  </a:schemeClr>
                </a:solidFill>
              </a:rPr>
              <a:t> Ratios</a:t>
            </a:r>
            <a:endParaRPr lang="en-US" sz="16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Quick Ratio</c:v>
          </c:tx>
          <c:spPr>
            <a:solidFill>
              <a:srgbClr val="F96302"/>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A-25E7-8E43-8CC0-A5D1C7921F8A}"/>
                </c:ext>
              </c:extLst>
            </c:dLbl>
            <c:dLbl>
              <c:idx val="2"/>
              <c:delete val="1"/>
              <c:extLst>
                <c:ext xmlns:c15="http://schemas.microsoft.com/office/drawing/2012/chart" uri="{CE6537A1-D6FC-4f65-9D91-7224C49458BB}"/>
                <c:ext xmlns:c16="http://schemas.microsoft.com/office/drawing/2014/chart" uri="{C3380CC4-5D6E-409C-BE32-E72D297353CC}">
                  <c16:uniqueId val="{00000000-25E7-8E43-8CC0-A5D1C7921F8A}"/>
                </c:ext>
              </c:extLst>
            </c:dLbl>
            <c:dLbl>
              <c:idx val="3"/>
              <c:delete val="1"/>
              <c:extLst>
                <c:ext xmlns:c15="http://schemas.microsoft.com/office/drawing/2012/chart" uri="{CE6537A1-D6FC-4f65-9D91-7224C49458BB}"/>
                <c:ext xmlns:c16="http://schemas.microsoft.com/office/drawing/2014/chart" uri="{C3380CC4-5D6E-409C-BE32-E72D297353CC}">
                  <c16:uniqueId val="{00000002-25E7-8E43-8CC0-A5D1C7921F8A}"/>
                </c:ext>
              </c:extLst>
            </c:dLbl>
            <c:dLbl>
              <c:idx val="4"/>
              <c:delete val="1"/>
              <c:extLst>
                <c:ext xmlns:c15="http://schemas.microsoft.com/office/drawing/2012/chart" uri="{CE6537A1-D6FC-4f65-9D91-7224C49458BB}"/>
                <c:ext xmlns:c16="http://schemas.microsoft.com/office/drawing/2014/chart" uri="{C3380CC4-5D6E-409C-BE32-E72D297353CC}">
                  <c16:uniqueId val="{00000004-25E7-8E43-8CC0-A5D1C7921F8A}"/>
                </c:ext>
              </c:extLst>
            </c:dLbl>
            <c:dLbl>
              <c:idx val="7"/>
              <c:delete val="1"/>
              <c:extLst>
                <c:ext xmlns:c15="http://schemas.microsoft.com/office/drawing/2012/chart" uri="{CE6537A1-D6FC-4f65-9D91-7224C49458BB}"/>
                <c:ext xmlns:c16="http://schemas.microsoft.com/office/drawing/2014/chart" uri="{C3380CC4-5D6E-409C-BE32-E72D297353CC}">
                  <c16:uniqueId val="{00000006-25E7-8E43-8CC0-A5D1C7921F8A}"/>
                </c:ext>
              </c:extLst>
            </c:dLbl>
            <c:dLbl>
              <c:idx val="8"/>
              <c:delete val="1"/>
              <c:extLst>
                <c:ext xmlns:c15="http://schemas.microsoft.com/office/drawing/2012/chart" uri="{CE6537A1-D6FC-4f65-9D91-7224C49458BB}"/>
                <c:ext xmlns:c16="http://schemas.microsoft.com/office/drawing/2014/chart" uri="{C3380CC4-5D6E-409C-BE32-E72D297353CC}">
                  <c16:uniqueId val="{00000008-25E7-8E43-8CC0-A5D1C7921F8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Sales'!$B$49:$K$49</c:f>
              <c:numCache>
                <c:formatCode>0.00</c:formatCode>
                <c:ptCount val="10"/>
                <c:pt idx="0">
                  <c:v>0.37474487532167883</c:v>
                </c:pt>
                <c:pt idx="1">
                  <c:v>0.4138591729203257</c:v>
                </c:pt>
                <c:pt idx="2">
                  <c:v>0.36616429632774372</c:v>
                </c:pt>
                <c:pt idx="3">
                  <c:v>0.38193157959738167</c:v>
                </c:pt>
                <c:pt idx="4">
                  <c:v>0.2754247427614262</c:v>
                </c:pt>
                <c:pt idx="5">
                  <c:v>0.28729251700680286</c:v>
                </c:pt>
                <c:pt idx="6">
                  <c:v>0.51152551152551162</c:v>
                </c:pt>
                <c:pt idx="7">
                  <c:v>0.24350886975917471</c:v>
                </c:pt>
                <c:pt idx="8">
                  <c:v>0.32821289485071387</c:v>
                </c:pt>
                <c:pt idx="9">
                  <c:v>0.39968203497615268</c:v>
                </c:pt>
              </c:numCache>
            </c:numRef>
          </c:val>
          <c:extLst>
            <c:ext xmlns:c16="http://schemas.microsoft.com/office/drawing/2014/chart" uri="{C3380CC4-5D6E-409C-BE32-E72D297353CC}">
              <c16:uniqueId val="{00000001-D800-5041-8154-879CBB2AEBD1}"/>
            </c:ext>
          </c:extLst>
        </c:ser>
        <c:ser>
          <c:idx val="2"/>
          <c:order val="1"/>
          <c:tx>
            <c:v>Cash</c:v>
          </c:tx>
          <c:spPr>
            <a:solidFill>
              <a:schemeClr val="accent6">
                <a:lumMod val="60000"/>
                <a:lumOff val="4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B-25E7-8E43-8CC0-A5D1C7921F8A}"/>
                </c:ext>
              </c:extLst>
            </c:dLbl>
            <c:dLbl>
              <c:idx val="2"/>
              <c:delete val="1"/>
              <c:extLst>
                <c:ext xmlns:c15="http://schemas.microsoft.com/office/drawing/2012/chart" uri="{CE6537A1-D6FC-4f65-9D91-7224C49458BB}"/>
                <c:ext xmlns:c16="http://schemas.microsoft.com/office/drawing/2014/chart" uri="{C3380CC4-5D6E-409C-BE32-E72D297353CC}">
                  <c16:uniqueId val="{00000001-25E7-8E43-8CC0-A5D1C7921F8A}"/>
                </c:ext>
              </c:extLst>
            </c:dLbl>
            <c:dLbl>
              <c:idx val="3"/>
              <c:delete val="1"/>
              <c:extLst>
                <c:ext xmlns:c15="http://schemas.microsoft.com/office/drawing/2012/chart" uri="{CE6537A1-D6FC-4f65-9D91-7224C49458BB}"/>
                <c:ext xmlns:c16="http://schemas.microsoft.com/office/drawing/2014/chart" uri="{C3380CC4-5D6E-409C-BE32-E72D297353CC}">
                  <c16:uniqueId val="{00000003-25E7-8E43-8CC0-A5D1C7921F8A}"/>
                </c:ext>
              </c:extLst>
            </c:dLbl>
            <c:dLbl>
              <c:idx val="4"/>
              <c:delete val="1"/>
              <c:extLst>
                <c:ext xmlns:c15="http://schemas.microsoft.com/office/drawing/2012/chart" uri="{CE6537A1-D6FC-4f65-9D91-7224C49458BB}"/>
                <c:ext xmlns:c16="http://schemas.microsoft.com/office/drawing/2014/chart" uri="{C3380CC4-5D6E-409C-BE32-E72D297353CC}">
                  <c16:uniqueId val="{00000005-25E7-8E43-8CC0-A5D1C7921F8A}"/>
                </c:ext>
              </c:extLst>
            </c:dLbl>
            <c:dLbl>
              <c:idx val="7"/>
              <c:delete val="1"/>
              <c:extLst>
                <c:ext xmlns:c15="http://schemas.microsoft.com/office/drawing/2012/chart" uri="{CE6537A1-D6FC-4f65-9D91-7224C49458BB}"/>
                <c:ext xmlns:c16="http://schemas.microsoft.com/office/drawing/2014/chart" uri="{C3380CC4-5D6E-409C-BE32-E72D297353CC}">
                  <c16:uniqueId val="{00000007-25E7-8E43-8CC0-A5D1C7921F8A}"/>
                </c:ext>
              </c:extLst>
            </c:dLbl>
            <c:dLbl>
              <c:idx val="8"/>
              <c:delete val="1"/>
              <c:extLst>
                <c:ext xmlns:c15="http://schemas.microsoft.com/office/drawing/2012/chart" uri="{CE6537A1-D6FC-4f65-9D91-7224C49458BB}"/>
                <c:ext xmlns:c16="http://schemas.microsoft.com/office/drawing/2014/chart" uri="{C3380CC4-5D6E-409C-BE32-E72D297353CC}">
                  <c16:uniqueId val="{00000009-25E7-8E43-8CC0-A5D1C7921F8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Sales'!$B$50:$K$50</c:f>
              <c:numCache>
                <c:formatCode>0.00</c:formatCode>
                <c:ptCount val="10"/>
                <c:pt idx="0">
                  <c:v>0.15289732895554176</c:v>
                </c:pt>
                <c:pt idx="1">
                  <c:v>0.17691202299217626</c:v>
                </c:pt>
                <c:pt idx="2">
                  <c:v>0.17957970706856294</c:v>
                </c:pt>
                <c:pt idx="3">
                  <c:v>0.22199580091391877</c:v>
                </c:pt>
                <c:pt idx="4">
                  <c:v>0.10636515912897823</c:v>
                </c:pt>
                <c:pt idx="5">
                  <c:v>0.11608163265306125</c:v>
                </c:pt>
                <c:pt idx="6">
                  <c:v>0.34080117413450745</c:v>
                </c:pt>
                <c:pt idx="7">
                  <c:v>8.1657547136932351E-2</c:v>
                </c:pt>
                <c:pt idx="8">
                  <c:v>0.11929900475984422</c:v>
                </c:pt>
                <c:pt idx="9">
                  <c:v>0.17079264138087669</c:v>
                </c:pt>
              </c:numCache>
            </c:numRef>
          </c:val>
          <c:extLst>
            <c:ext xmlns:c16="http://schemas.microsoft.com/office/drawing/2014/chart" uri="{C3380CC4-5D6E-409C-BE32-E72D297353CC}">
              <c16:uniqueId val="{00000002-D800-5041-8154-879CBB2AEBD1}"/>
            </c:ext>
          </c:extLst>
        </c:ser>
        <c:dLbls>
          <c:showLegendKey val="0"/>
          <c:showVal val="0"/>
          <c:showCatName val="0"/>
          <c:showSerName val="0"/>
          <c:showPercent val="0"/>
          <c:showBubbleSize val="0"/>
        </c:dLbls>
        <c:gapWidth val="150"/>
        <c:axId val="997383280"/>
        <c:axId val="997384992"/>
      </c:barChart>
      <c:catAx>
        <c:axId val="997383280"/>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4992"/>
        <c:crosses val="autoZero"/>
        <c:auto val="0"/>
        <c:lblAlgn val="ctr"/>
        <c:lblOffset val="100"/>
        <c:noMultiLvlLbl val="0"/>
      </c:catAx>
      <c:valAx>
        <c:axId val="997384992"/>
        <c:scaling>
          <c:orientation val="minMax"/>
        </c:scaling>
        <c:delete val="0"/>
        <c:axPos val="l"/>
        <c:majorGridlines>
          <c:spPr>
            <a:ln w="9525" cap="flat" cmpd="sng" algn="ctr">
              <a:no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3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a:solidFill>
                  <a:schemeClr val="tx1"/>
                </a:solidFill>
              </a:rPr>
              <a:t>CURRENT</a:t>
            </a:r>
            <a:r>
              <a:rPr lang="en-US" sz="1600" b="1" baseline="0">
                <a:solidFill>
                  <a:schemeClr val="tx1"/>
                </a:solidFill>
              </a:rPr>
              <a:t> - </a:t>
            </a:r>
            <a:r>
              <a:rPr lang="en-US" sz="1600" b="1">
                <a:solidFill>
                  <a:schemeClr val="tx1"/>
                </a:solidFill>
              </a:rPr>
              <a:t>SHORT TERM SOLVENCY RATIOS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0"/>
          <c:tx>
            <c:v>Current Ratio</c:v>
          </c:tx>
          <c:spPr>
            <a:solidFill>
              <a:srgbClr val="F96302"/>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42-204D-89F6-881ED49E5838}"/>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42-204D-89F6-881ED49E5838}"/>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42-204D-89F6-881ED49E5838}"/>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42-204D-89F6-881ED49E583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Sales'!$B$48:$K$48</c:f>
              <c:numCache>
                <c:formatCode>0.00</c:formatCode>
                <c:ptCount val="10"/>
                <c:pt idx="0">
                  <c:v>1.3578844617978525</c:v>
                </c:pt>
                <c:pt idx="1">
                  <c:v>1.3566182340731276</c:v>
                </c:pt>
                <c:pt idx="2">
                  <c:v>1.2540861812778605</c:v>
                </c:pt>
                <c:pt idx="3">
                  <c:v>1.1691367173027047</c:v>
                </c:pt>
                <c:pt idx="4">
                  <c:v>1.108458961474037</c:v>
                </c:pt>
                <c:pt idx="5">
                  <c:v>1.0780952380952382</c:v>
                </c:pt>
                <c:pt idx="6">
                  <c:v>1.2292583959250625</c:v>
                </c:pt>
                <c:pt idx="7">
                  <c:v>1.0126163175687448</c:v>
                </c:pt>
                <c:pt idx="8">
                  <c:v>1.4050627434011249</c:v>
                </c:pt>
                <c:pt idx="9">
                  <c:v>1.3524869407222349</c:v>
                </c:pt>
              </c:numCache>
            </c:numRef>
          </c:val>
          <c:extLst>
            <c:ext xmlns:c16="http://schemas.microsoft.com/office/drawing/2014/chart" uri="{C3380CC4-5D6E-409C-BE32-E72D297353CC}">
              <c16:uniqueId val="{00000000-1E8A-0F4C-995D-685F9E15AD62}"/>
            </c:ext>
          </c:extLst>
        </c:ser>
        <c:dLbls>
          <c:showLegendKey val="0"/>
          <c:showVal val="0"/>
          <c:showCatName val="0"/>
          <c:showSerName val="0"/>
          <c:showPercent val="0"/>
          <c:showBubbleSize val="0"/>
        </c:dLbls>
        <c:gapWidth val="150"/>
        <c:axId val="997383280"/>
        <c:axId val="997384992"/>
      </c:barChart>
      <c:catAx>
        <c:axId val="997383280"/>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4992"/>
        <c:crosses val="autoZero"/>
        <c:auto val="0"/>
        <c:lblAlgn val="ctr"/>
        <c:lblOffset val="100"/>
        <c:noMultiLvlLbl val="0"/>
      </c:catAx>
      <c:valAx>
        <c:axId val="997384992"/>
        <c:scaling>
          <c:orientation val="minMax"/>
        </c:scaling>
        <c:delete val="0"/>
        <c:axPos val="l"/>
        <c:majorGridlines>
          <c:spPr>
            <a:ln w="9525" cap="flat" cmpd="sng" algn="ctr">
              <a:no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tx1">
                    <a:lumMod val="65000"/>
                    <a:lumOff val="35000"/>
                  </a:schemeClr>
                </a:solidFill>
              </a:rPr>
              <a:t>Fluctuations in Short Term Solvency: Recovery After 2022 Decline</a:t>
            </a:r>
            <a:endParaRPr lang="en-US" sz="16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Current Ratio</c:v>
          </c:tx>
          <c:spPr>
            <a:solidFill>
              <a:srgbClr val="F96302"/>
            </a:solidFill>
            <a:ln>
              <a:noFill/>
            </a:ln>
            <a:effectLst/>
          </c:spPr>
          <c:invertIfNegative val="0"/>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BA-F244-A2C3-7D65DCEF2C14}"/>
                </c:ext>
              </c:extLst>
            </c:dLbl>
            <c:dLbl>
              <c:idx val="7"/>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BA-F244-A2C3-7D65DCEF2C14}"/>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BA-F244-A2C3-7D65DCEF2C14}"/>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BA-F244-A2C3-7D65DCEF2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Sales'!$B$48:$K$48</c:f>
              <c:numCache>
                <c:formatCode>0.00</c:formatCode>
                <c:ptCount val="10"/>
                <c:pt idx="0">
                  <c:v>1.3578844617978525</c:v>
                </c:pt>
                <c:pt idx="1">
                  <c:v>1.3566182340731276</c:v>
                </c:pt>
                <c:pt idx="2">
                  <c:v>1.2540861812778605</c:v>
                </c:pt>
                <c:pt idx="3">
                  <c:v>1.1691367173027047</c:v>
                </c:pt>
                <c:pt idx="4">
                  <c:v>1.108458961474037</c:v>
                </c:pt>
                <c:pt idx="5">
                  <c:v>1.0780952380952382</c:v>
                </c:pt>
                <c:pt idx="6">
                  <c:v>1.2292583959250625</c:v>
                </c:pt>
                <c:pt idx="7">
                  <c:v>1.0126163175687448</c:v>
                </c:pt>
                <c:pt idx="8">
                  <c:v>1.4050627434011249</c:v>
                </c:pt>
                <c:pt idx="9">
                  <c:v>1.3524869407222349</c:v>
                </c:pt>
              </c:numCache>
            </c:numRef>
          </c:val>
          <c:extLst>
            <c:ext xmlns:c16="http://schemas.microsoft.com/office/drawing/2014/chart" uri="{C3380CC4-5D6E-409C-BE32-E72D297353CC}">
              <c16:uniqueId val="{00000002-EFB8-CB43-A14C-AF41784F8C4D}"/>
            </c:ext>
          </c:extLst>
        </c:ser>
        <c:dLbls>
          <c:showLegendKey val="0"/>
          <c:showVal val="0"/>
          <c:showCatName val="0"/>
          <c:showSerName val="0"/>
          <c:showPercent val="0"/>
          <c:showBubbleSize val="0"/>
        </c:dLbls>
        <c:gapWidth val="150"/>
        <c:axId val="997383280"/>
        <c:axId val="997384992"/>
      </c:barChart>
      <c:catAx>
        <c:axId val="997383280"/>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4992"/>
        <c:crosses val="autoZero"/>
        <c:auto val="0"/>
        <c:lblAlgn val="ctr"/>
        <c:lblOffset val="100"/>
        <c:noMultiLvlLbl val="0"/>
      </c:catAx>
      <c:valAx>
        <c:axId val="997384992"/>
        <c:scaling>
          <c:orientation val="minMax"/>
        </c:scaling>
        <c:delete val="0"/>
        <c:axPos val="l"/>
        <c:majorGridlines>
          <c:spPr>
            <a:ln w="9525" cap="flat" cmpd="sng" algn="ctr">
              <a:no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3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tx1">
                    <a:lumMod val="65000"/>
                    <a:lumOff val="35000"/>
                  </a:schemeClr>
                </a:solidFill>
              </a:rPr>
              <a:t>Long Term Solvency: Rising Debt Until 2020, Followed by Stabilization</a:t>
            </a:r>
            <a:endParaRPr lang="en-US" sz="1600" b="1" i="0" u="none" strike="noStrike" kern="1200" spc="0" baseline="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Total Debt</c:v>
          </c:tx>
          <c:spPr>
            <a:solidFill>
              <a:srgbClr val="F96302"/>
            </a:solidFill>
            <a:ln>
              <a:noFill/>
            </a:ln>
            <a:effectLst/>
          </c:spPr>
          <c:invertIfNegative val="0"/>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7B-694F-A84A-46B83ABDE532}"/>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7B-694F-A84A-46B83ABDE532}"/>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7B-694F-A84A-46B83ABDE532}"/>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7B-694F-A84A-46B83ABDE53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Sales'!$B$53:$K$53</c:f>
              <c:numCache>
                <c:formatCode>0.00</c:formatCode>
                <c:ptCount val="10"/>
                <c:pt idx="0">
                  <c:v>0.76663495719220942</c:v>
                </c:pt>
                <c:pt idx="1">
                  <c:v>0.85155937859879205</c:v>
                </c:pt>
                <c:pt idx="2">
                  <c:v>0.89915281850765727</c:v>
                </c:pt>
                <c:pt idx="3">
                  <c:v>0.96734712210020446</c:v>
                </c:pt>
                <c:pt idx="4">
                  <c:v>1.0426789082562553</c:v>
                </c:pt>
                <c:pt idx="5">
                  <c:v>1.0608166133187602</c:v>
                </c:pt>
                <c:pt idx="6">
                  <c:v>0.95325937575268138</c:v>
                </c:pt>
                <c:pt idx="7">
                  <c:v>1.0235961934442652</c:v>
                </c:pt>
                <c:pt idx="8">
                  <c:v>0.97956700896069071</c:v>
                </c:pt>
                <c:pt idx="9">
                  <c:v>0.98635829086632698</c:v>
                </c:pt>
              </c:numCache>
            </c:numRef>
          </c:val>
          <c:extLst>
            <c:ext xmlns:c16="http://schemas.microsoft.com/office/drawing/2014/chart" uri="{C3380CC4-5D6E-409C-BE32-E72D297353CC}">
              <c16:uniqueId val="{00000000-642F-9D42-9CFD-1C2B98E6CB6E}"/>
            </c:ext>
          </c:extLst>
        </c:ser>
        <c:dLbls>
          <c:showLegendKey val="0"/>
          <c:showVal val="0"/>
          <c:showCatName val="0"/>
          <c:showSerName val="0"/>
          <c:showPercent val="0"/>
          <c:showBubbleSize val="0"/>
        </c:dLbls>
        <c:gapWidth val="150"/>
        <c:axId val="997383280"/>
        <c:axId val="997384992"/>
      </c:barChart>
      <c:catAx>
        <c:axId val="997383280"/>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4992"/>
        <c:crosses val="autoZero"/>
        <c:auto val="0"/>
        <c:lblAlgn val="ctr"/>
        <c:lblOffset val="100"/>
        <c:noMultiLvlLbl val="0"/>
      </c:catAx>
      <c:valAx>
        <c:axId val="997384992"/>
        <c:scaling>
          <c:orientation val="minMax"/>
        </c:scaling>
        <c:delete val="0"/>
        <c:axPos val="l"/>
        <c:majorGridlines>
          <c:spPr>
            <a:ln w="9525" cap="flat" cmpd="sng" algn="ctr">
              <a:no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3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HD vs. S&amp;P 500</a:t>
            </a:r>
          </a:p>
          <a:p>
            <a:pPr>
              <a:defRPr b="1"/>
            </a:pPr>
            <a:r>
              <a:rPr lang="en-US" sz="1200" b="1" i="0" u="none" strike="noStrike" baseline="0"/>
              <a:t>$50 Investment Growth Shows Superior Long-Term Returns (2015-2024)</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'HD &amp; S&amp;P500'!$O$1</c:f>
              <c:strCache>
                <c:ptCount val="1"/>
                <c:pt idx="0">
                  <c:v>HD $50 Investment Growth</c:v>
                </c:pt>
              </c:strCache>
            </c:strRef>
          </c:tx>
          <c:spPr>
            <a:ln w="28575" cap="rnd">
              <a:solidFill>
                <a:srgbClr val="F96302"/>
              </a:solidFill>
              <a:round/>
            </a:ln>
            <a:effectLst/>
          </c:spPr>
          <c:marker>
            <c:symbol val="none"/>
          </c:marker>
          <c:cat>
            <c:numRef>
              <c:f>'HD &amp; S&amp;P500'!$A$2:$A$121</c:f>
              <c:numCache>
                <c:formatCode>m/d/yy</c:formatCode>
                <c:ptCount val="120"/>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pt idx="111">
                  <c:v>45383</c:v>
                </c:pt>
                <c:pt idx="112">
                  <c:v>45413</c:v>
                </c:pt>
                <c:pt idx="113">
                  <c:v>45444</c:v>
                </c:pt>
                <c:pt idx="114">
                  <c:v>45474</c:v>
                </c:pt>
                <c:pt idx="115">
                  <c:v>45505</c:v>
                </c:pt>
                <c:pt idx="116">
                  <c:v>45536</c:v>
                </c:pt>
                <c:pt idx="117">
                  <c:v>45566</c:v>
                </c:pt>
                <c:pt idx="118">
                  <c:v>45597</c:v>
                </c:pt>
                <c:pt idx="119">
                  <c:v>45627</c:v>
                </c:pt>
              </c:numCache>
            </c:numRef>
          </c:cat>
          <c:val>
            <c:numRef>
              <c:f>'HD &amp; S&amp;P500'!$O$2:$O$121</c:f>
              <c:numCache>
                <c:formatCode>"$"#,##0.00_);[Red]\("$"#,##0.00\)</c:formatCode>
                <c:ptCount val="120"/>
                <c:pt idx="0">
                  <c:v>50</c:v>
                </c:pt>
                <c:pt idx="1">
                  <c:v>54.946363732399064</c:v>
                </c:pt>
                <c:pt idx="2">
                  <c:v>54.400499113268893</c:v>
                </c:pt>
                <c:pt idx="3">
                  <c:v>51.489404184381925</c:v>
                </c:pt>
                <c:pt idx="4">
                  <c:v>53.6263737752369</c:v>
                </c:pt>
                <c:pt idx="5">
                  <c:v>53.486797657209806</c:v>
                </c:pt>
                <c:pt idx="6">
                  <c:v>56.625650147114413</c:v>
                </c:pt>
                <c:pt idx="7">
                  <c:v>56.349847660483967</c:v>
                </c:pt>
                <c:pt idx="8">
                  <c:v>55.880495696633339</c:v>
                </c:pt>
                <c:pt idx="9">
                  <c:v>60.128545832833105</c:v>
                </c:pt>
                <c:pt idx="10">
                  <c:v>65.108466930419766</c:v>
                </c:pt>
                <c:pt idx="11">
                  <c:v>64.315742893384737</c:v>
                </c:pt>
                <c:pt idx="12">
                  <c:v>61.430255797969345</c:v>
                </c:pt>
                <c:pt idx="13">
                  <c:v>60.629170994409066</c:v>
                </c:pt>
                <c:pt idx="14">
                  <c:v>65.176835926963065</c:v>
                </c:pt>
                <c:pt idx="15">
                  <c:v>65.761181238606838</c:v>
                </c:pt>
                <c:pt idx="16">
                  <c:v>64.891824199634868</c:v>
                </c:pt>
                <c:pt idx="17">
                  <c:v>63.040761981332217</c:v>
                </c:pt>
                <c:pt idx="18">
                  <c:v>68.249303023521691</c:v>
                </c:pt>
                <c:pt idx="19">
                  <c:v>66.215238291340654</c:v>
                </c:pt>
                <c:pt idx="20">
                  <c:v>63.85531412013664</c:v>
                </c:pt>
                <c:pt idx="21">
                  <c:v>60.545437539685679</c:v>
                </c:pt>
                <c:pt idx="22">
                  <c:v>64.212593712853561</c:v>
                </c:pt>
                <c:pt idx="23">
                  <c:v>66.888267599102093</c:v>
                </c:pt>
                <c:pt idx="24">
                  <c:v>68.634317380333641</c:v>
                </c:pt>
                <c:pt idx="25">
                  <c:v>72.290976784996744</c:v>
                </c:pt>
                <c:pt idx="26">
                  <c:v>73.248819459766651</c:v>
                </c:pt>
                <c:pt idx="27">
                  <c:v>78.347258429364132</c:v>
                </c:pt>
                <c:pt idx="28">
                  <c:v>77.047334311862542</c:v>
                </c:pt>
                <c:pt idx="29">
                  <c:v>77.437022836086669</c:v>
                </c:pt>
                <c:pt idx="30">
                  <c:v>75.518804159170799</c:v>
                </c:pt>
                <c:pt idx="31">
                  <c:v>75.655085560667743</c:v>
                </c:pt>
                <c:pt idx="32">
                  <c:v>83.054132313541956</c:v>
                </c:pt>
                <c:pt idx="33">
                  <c:v>84.181407358243803</c:v>
                </c:pt>
                <c:pt idx="34">
                  <c:v>91.310797165856783</c:v>
                </c:pt>
                <c:pt idx="35">
                  <c:v>96.728991156588961</c:v>
                </c:pt>
                <c:pt idx="36">
                  <c:v>102.53182032144869</c:v>
                </c:pt>
                <c:pt idx="37">
                  <c:v>93.023764920959579</c:v>
                </c:pt>
                <c:pt idx="38">
                  <c:v>90.967004260610338</c:v>
                </c:pt>
                <c:pt idx="39">
                  <c:v>94.852846638710602</c:v>
                </c:pt>
                <c:pt idx="40">
                  <c:v>95.751086875458</c:v>
                </c:pt>
                <c:pt idx="41">
                  <c:v>100.70018229555286</c:v>
                </c:pt>
                <c:pt idx="42">
                  <c:v>101.94927476685226</c:v>
                </c:pt>
                <c:pt idx="43">
                  <c:v>103.62677049587636</c:v>
                </c:pt>
                <c:pt idx="44">
                  <c:v>107.46784936023839</c:v>
                </c:pt>
                <c:pt idx="45">
                  <c:v>91.245196142433656</c:v>
                </c:pt>
                <c:pt idx="46">
                  <c:v>93.548664426662612</c:v>
                </c:pt>
                <c:pt idx="47">
                  <c:v>89.67212321233508</c:v>
                </c:pt>
                <c:pt idx="48">
                  <c:v>95.783495202208144</c:v>
                </c:pt>
                <c:pt idx="49">
                  <c:v>96.623774916384477</c:v>
                </c:pt>
                <c:pt idx="50">
                  <c:v>100.14656590026931</c:v>
                </c:pt>
                <c:pt idx="51">
                  <c:v>107.10177962347487</c:v>
                </c:pt>
                <c:pt idx="52">
                  <c:v>99.81970619304866</c:v>
                </c:pt>
                <c:pt idx="53">
                  <c:v>109.34687252178112</c:v>
                </c:pt>
                <c:pt idx="54">
                  <c:v>113.14241136432398</c:v>
                </c:pt>
                <c:pt idx="55">
                  <c:v>120.67147786396801</c:v>
                </c:pt>
                <c:pt idx="56">
                  <c:v>122.84760124195815</c:v>
                </c:pt>
                <c:pt idx="57">
                  <c:v>124.96151023613031</c:v>
                </c:pt>
                <c:pt idx="58">
                  <c:v>117.46635609407534</c:v>
                </c:pt>
                <c:pt idx="59">
                  <c:v>116.33173506521568</c:v>
                </c:pt>
                <c:pt idx="60">
                  <c:v>122.28675074257518</c:v>
                </c:pt>
                <c:pt idx="61">
                  <c:v>116.78624447623962</c:v>
                </c:pt>
                <c:pt idx="62">
                  <c:v>100.09715059513056</c:v>
                </c:pt>
                <c:pt idx="63">
                  <c:v>118.64159805072765</c:v>
                </c:pt>
                <c:pt idx="64">
                  <c:v>134.10393011543385</c:v>
                </c:pt>
                <c:pt idx="65">
                  <c:v>135.19949895634653</c:v>
                </c:pt>
                <c:pt idx="66">
                  <c:v>144.13971770375286</c:v>
                </c:pt>
                <c:pt idx="67">
                  <c:v>154.75381512813365</c:v>
                </c:pt>
                <c:pt idx="68">
                  <c:v>150.77418944228168</c:v>
                </c:pt>
                <c:pt idx="69">
                  <c:v>145.56571734239844</c:v>
                </c:pt>
                <c:pt idx="70">
                  <c:v>151.4055969492957</c:v>
                </c:pt>
                <c:pt idx="71">
                  <c:v>144.97083413876896</c:v>
                </c:pt>
                <c:pt idx="72">
                  <c:v>148.61484263023559</c:v>
                </c:pt>
                <c:pt idx="73">
                  <c:v>141.76631228789205</c:v>
                </c:pt>
                <c:pt idx="74">
                  <c:v>167.50859172325116</c:v>
                </c:pt>
                <c:pt idx="75">
                  <c:v>178.72978118703801</c:v>
                </c:pt>
                <c:pt idx="76">
                  <c:v>176.10126202399178</c:v>
                </c:pt>
                <c:pt idx="77">
                  <c:v>176.09022520742141</c:v>
                </c:pt>
                <c:pt idx="78">
                  <c:v>182.17598089722387</c:v>
                </c:pt>
                <c:pt idx="79">
                  <c:v>181.06020349398159</c:v>
                </c:pt>
                <c:pt idx="80">
                  <c:v>182.21483049155165</c:v>
                </c:pt>
                <c:pt idx="81">
                  <c:v>207.39937815974989</c:v>
                </c:pt>
                <c:pt idx="82">
                  <c:v>223.50636916843945</c:v>
                </c:pt>
                <c:pt idx="83">
                  <c:v>231.54042112815114</c:v>
                </c:pt>
                <c:pt idx="84">
                  <c:v>205.59051468044169</c:v>
                </c:pt>
                <c:pt idx="85">
                  <c:v>176.93512828941581</c:v>
                </c:pt>
                <c:pt idx="86">
                  <c:v>167.691414019522</c:v>
                </c:pt>
                <c:pt idx="87">
                  <c:v>169.30649277110891</c:v>
                </c:pt>
                <c:pt idx="88">
                  <c:v>170.63096760671959</c:v>
                </c:pt>
                <c:pt idx="89">
                  <c:v>154.57951023046979</c:v>
                </c:pt>
                <c:pt idx="90">
                  <c:v>170.6820163607108</c:v>
                </c:pt>
                <c:pt idx="91">
                  <c:v>163.58112210158987</c:v>
                </c:pt>
                <c:pt idx="92">
                  <c:v>157.52408390612499</c:v>
                </c:pt>
                <c:pt idx="93">
                  <c:v>169.04981088883494</c:v>
                </c:pt>
                <c:pt idx="94">
                  <c:v>184.95404680814903</c:v>
                </c:pt>
                <c:pt idx="95">
                  <c:v>181.40377505813953</c:v>
                </c:pt>
                <c:pt idx="96">
                  <c:v>186.17635096017159</c:v>
                </c:pt>
                <c:pt idx="97">
                  <c:v>170.30799285893175</c:v>
                </c:pt>
                <c:pt idx="98">
                  <c:v>169.49247129454034</c:v>
                </c:pt>
                <c:pt idx="99">
                  <c:v>173.85518216214345</c:v>
                </c:pt>
                <c:pt idx="100">
                  <c:v>163.96902477817935</c:v>
                </c:pt>
                <c:pt idx="101">
                  <c:v>180.99147466698025</c:v>
                </c:pt>
                <c:pt idx="102">
                  <c:v>194.50875861201285</c:v>
                </c:pt>
                <c:pt idx="103">
                  <c:v>192.44618381717004</c:v>
                </c:pt>
                <c:pt idx="104">
                  <c:v>177.17490479248937</c:v>
                </c:pt>
                <c:pt idx="105">
                  <c:v>166.9311859990126</c:v>
                </c:pt>
                <c:pt idx="106">
                  <c:v>183.81837410674055</c:v>
                </c:pt>
                <c:pt idx="107">
                  <c:v>204.56793820389038</c:v>
                </c:pt>
                <c:pt idx="108">
                  <c:v>208.35176713524132</c:v>
                </c:pt>
                <c:pt idx="109">
                  <c:v>224.67350858983642</c:v>
                </c:pt>
                <c:pt idx="110">
                  <c:v>226.4385404860549</c:v>
                </c:pt>
                <c:pt idx="111">
                  <c:v>198.46954067224749</c:v>
                </c:pt>
                <c:pt idx="112">
                  <c:v>198.85552384988932</c:v>
                </c:pt>
                <c:pt idx="113">
                  <c:v>205.84077404260728</c:v>
                </c:pt>
                <c:pt idx="114">
                  <c:v>220.14392105568911</c:v>
                </c:pt>
                <c:pt idx="115">
                  <c:v>220.34722949778578</c:v>
                </c:pt>
                <c:pt idx="116">
                  <c:v>243.76390412103967</c:v>
                </c:pt>
                <c:pt idx="117">
                  <c:v>236.87571199562024</c:v>
                </c:pt>
                <c:pt idx="118">
                  <c:v>258.15993879664904</c:v>
                </c:pt>
                <c:pt idx="119">
                  <c:v>235.24444752574891</c:v>
                </c:pt>
              </c:numCache>
            </c:numRef>
          </c:val>
          <c:smooth val="0"/>
          <c:extLst>
            <c:ext xmlns:c16="http://schemas.microsoft.com/office/drawing/2014/chart" uri="{C3380CC4-5D6E-409C-BE32-E72D297353CC}">
              <c16:uniqueId val="{00000000-3C22-6C44-9BF5-2F0AC9935947}"/>
            </c:ext>
          </c:extLst>
        </c:ser>
        <c:ser>
          <c:idx val="1"/>
          <c:order val="1"/>
          <c:tx>
            <c:strRef>
              <c:f>'HD &amp; S&amp;P500'!$P$1</c:f>
              <c:strCache>
                <c:ptCount val="1"/>
                <c:pt idx="0">
                  <c:v>S&amp;P 500 $50 Investment Growth</c:v>
                </c:pt>
              </c:strCache>
            </c:strRef>
          </c:tx>
          <c:spPr>
            <a:ln w="28575" cap="rnd">
              <a:solidFill>
                <a:schemeClr val="tx1">
                  <a:lumMod val="50000"/>
                  <a:lumOff val="50000"/>
                </a:schemeClr>
              </a:solidFill>
              <a:round/>
            </a:ln>
            <a:effectLst/>
          </c:spPr>
          <c:marker>
            <c:symbol val="none"/>
          </c:marker>
          <c:cat>
            <c:numRef>
              <c:f>'HD &amp; S&amp;P500'!$A$2:$A$121</c:f>
              <c:numCache>
                <c:formatCode>m/d/yy</c:formatCode>
                <c:ptCount val="120"/>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pt idx="111">
                  <c:v>45383</c:v>
                </c:pt>
                <c:pt idx="112">
                  <c:v>45413</c:v>
                </c:pt>
                <c:pt idx="113">
                  <c:v>45444</c:v>
                </c:pt>
                <c:pt idx="114">
                  <c:v>45474</c:v>
                </c:pt>
                <c:pt idx="115">
                  <c:v>45505</c:v>
                </c:pt>
                <c:pt idx="116">
                  <c:v>45536</c:v>
                </c:pt>
                <c:pt idx="117">
                  <c:v>45566</c:v>
                </c:pt>
                <c:pt idx="118">
                  <c:v>45597</c:v>
                </c:pt>
                <c:pt idx="119">
                  <c:v>45627</c:v>
                </c:pt>
              </c:numCache>
            </c:numRef>
          </c:cat>
          <c:val>
            <c:numRef>
              <c:f>'HD &amp; S&amp;P500'!$P$2:$P$121</c:f>
              <c:numCache>
                <c:formatCode>"$"#,##0.00_);[Red]\("$"#,##0.00\)</c:formatCode>
                <c:ptCount val="120"/>
                <c:pt idx="0">
                  <c:v>50</c:v>
                </c:pt>
                <c:pt idx="1">
                  <c:v>52.744625286342284</c:v>
                </c:pt>
                <c:pt idx="2">
                  <c:v>51.827076827452764</c:v>
                </c:pt>
                <c:pt idx="3">
                  <c:v>52.268683051042863</c:v>
                </c:pt>
                <c:pt idx="4">
                  <c:v>52.817056727101388</c:v>
                </c:pt>
                <c:pt idx="5">
                  <c:v>51.707276728204157</c:v>
                </c:pt>
                <c:pt idx="6">
                  <c:v>52.728083850044364</c:v>
                </c:pt>
                <c:pt idx="7">
                  <c:v>49.428317936430759</c:v>
                </c:pt>
                <c:pt idx="8">
                  <c:v>48.121293841071882</c:v>
                </c:pt>
                <c:pt idx="9">
                  <c:v>52.114546940084914</c:v>
                </c:pt>
                <c:pt idx="10">
                  <c:v>52.140862861467973</c:v>
                </c:pt>
                <c:pt idx="11">
                  <c:v>51.226823192096205</c:v>
                </c:pt>
                <c:pt idx="12">
                  <c:v>48.627812670740205</c:v>
                </c:pt>
                <c:pt idx="13">
                  <c:v>48.427059784760829</c:v>
                </c:pt>
                <c:pt idx="14">
                  <c:v>51.622815151955649</c:v>
                </c:pt>
                <c:pt idx="15">
                  <c:v>51.762164221374555</c:v>
                </c:pt>
                <c:pt idx="16">
                  <c:v>52.55565190802961</c:v>
                </c:pt>
                <c:pt idx="17">
                  <c:v>52.603271194341829</c:v>
                </c:pt>
                <c:pt idx="18">
                  <c:v>54.476463541170631</c:v>
                </c:pt>
                <c:pt idx="19">
                  <c:v>54.410047168156225</c:v>
                </c:pt>
                <c:pt idx="20">
                  <c:v>54.342878911673743</c:v>
                </c:pt>
                <c:pt idx="21">
                  <c:v>53.287234522478812</c:v>
                </c:pt>
                <c:pt idx="22">
                  <c:v>55.108296282186878</c:v>
                </c:pt>
                <c:pt idx="23">
                  <c:v>56.111308828615677</c:v>
                </c:pt>
                <c:pt idx="24">
                  <c:v>57.114822630689879</c:v>
                </c:pt>
                <c:pt idx="25">
                  <c:v>59.239394683682619</c:v>
                </c:pt>
                <c:pt idx="26">
                  <c:v>59.216336923994604</c:v>
                </c:pt>
                <c:pt idx="27">
                  <c:v>59.754685487145295</c:v>
                </c:pt>
                <c:pt idx="28">
                  <c:v>60.44641827778586</c:v>
                </c:pt>
                <c:pt idx="29">
                  <c:v>60.737397179935741</c:v>
                </c:pt>
                <c:pt idx="30">
                  <c:v>61.912591040556599</c:v>
                </c:pt>
                <c:pt idx="31">
                  <c:v>61.946425796620538</c:v>
                </c:pt>
                <c:pt idx="32">
                  <c:v>63.142171138702452</c:v>
                </c:pt>
                <c:pt idx="33">
                  <c:v>64.543180667572273</c:v>
                </c:pt>
                <c:pt idx="34">
                  <c:v>66.355721081308673</c:v>
                </c:pt>
                <c:pt idx="35">
                  <c:v>67.008105303785996</c:v>
                </c:pt>
                <c:pt idx="36">
                  <c:v>70.772535200677694</c:v>
                </c:pt>
                <c:pt idx="37">
                  <c:v>68.016130406668708</c:v>
                </c:pt>
                <c:pt idx="38">
                  <c:v>66.187549812279755</c:v>
                </c:pt>
                <c:pt idx="39">
                  <c:v>66.367500588975389</c:v>
                </c:pt>
                <c:pt idx="40">
                  <c:v>67.801592990441051</c:v>
                </c:pt>
                <c:pt idx="41">
                  <c:v>68.129915438172617</c:v>
                </c:pt>
                <c:pt idx="42">
                  <c:v>70.584063078010416</c:v>
                </c:pt>
                <c:pt idx="43">
                  <c:v>72.720164010847171</c:v>
                </c:pt>
                <c:pt idx="44">
                  <c:v>73.032446277926212</c:v>
                </c:pt>
                <c:pt idx="45">
                  <c:v>67.96374919172527</c:v>
                </c:pt>
                <c:pt idx="46">
                  <c:v>69.1775397370413</c:v>
                </c:pt>
                <c:pt idx="47">
                  <c:v>62.82863573250993</c:v>
                </c:pt>
                <c:pt idx="48">
                  <c:v>67.772269535185643</c:v>
                </c:pt>
                <c:pt idx="49">
                  <c:v>69.787066601837594</c:v>
                </c:pt>
                <c:pt idx="50">
                  <c:v>71.037950064912607</c:v>
                </c:pt>
                <c:pt idx="51">
                  <c:v>73.830695893212493</c:v>
                </c:pt>
                <c:pt idx="52">
                  <c:v>68.974280572834942</c:v>
                </c:pt>
                <c:pt idx="53">
                  <c:v>73.7286903693753</c:v>
                </c:pt>
                <c:pt idx="54">
                  <c:v>74.69661502062668</c:v>
                </c:pt>
                <c:pt idx="55">
                  <c:v>73.345229800650628</c:v>
                </c:pt>
                <c:pt idx="56">
                  <c:v>74.605386493165369</c:v>
                </c:pt>
                <c:pt idx="57">
                  <c:v>76.12970491080155</c:v>
                </c:pt>
                <c:pt idx="58">
                  <c:v>78.72169785312208</c:v>
                </c:pt>
                <c:pt idx="59">
                  <c:v>80.972335700930827</c:v>
                </c:pt>
                <c:pt idx="60">
                  <c:v>80.840505466192809</c:v>
                </c:pt>
                <c:pt idx="61">
                  <c:v>74.040972636454313</c:v>
                </c:pt>
                <c:pt idx="62">
                  <c:v>64.777016426147497</c:v>
                </c:pt>
                <c:pt idx="63">
                  <c:v>72.993598965408353</c:v>
                </c:pt>
                <c:pt idx="64">
                  <c:v>76.298878691121246</c:v>
                </c:pt>
                <c:pt idx="65">
                  <c:v>77.701893242572638</c:v>
                </c:pt>
                <c:pt idx="66">
                  <c:v>81.983368337685903</c:v>
                </c:pt>
                <c:pt idx="67">
                  <c:v>87.727507406052169</c:v>
                </c:pt>
                <c:pt idx="68">
                  <c:v>84.286136772615407</c:v>
                </c:pt>
                <c:pt idx="69">
                  <c:v>81.954295510253189</c:v>
                </c:pt>
                <c:pt idx="70">
                  <c:v>90.768124150998247</c:v>
                </c:pt>
                <c:pt idx="71">
                  <c:v>94.137564599321294</c:v>
                </c:pt>
                <c:pt idx="72">
                  <c:v>93.089188416984541</c:v>
                </c:pt>
                <c:pt idx="73">
                  <c:v>95.51802264673006</c:v>
                </c:pt>
                <c:pt idx="74">
                  <c:v>99.571677051012784</c:v>
                </c:pt>
                <c:pt idx="75">
                  <c:v>104.79175334212201</c:v>
                </c:pt>
                <c:pt idx="76">
                  <c:v>105.36669356738631</c:v>
                </c:pt>
                <c:pt idx="77">
                  <c:v>107.70730680354288</c:v>
                </c:pt>
                <c:pt idx="78">
                  <c:v>110.15744439821754</c:v>
                </c:pt>
                <c:pt idx="79">
                  <c:v>113.3509441150081</c:v>
                </c:pt>
                <c:pt idx="80">
                  <c:v>107.9589371375295</c:v>
                </c:pt>
                <c:pt idx="81">
                  <c:v>115.42363620870279</c:v>
                </c:pt>
                <c:pt idx="82">
                  <c:v>114.46172662519612</c:v>
                </c:pt>
                <c:pt idx="83">
                  <c:v>119.45373159765214</c:v>
                </c:pt>
                <c:pt idx="84">
                  <c:v>113.17224647742596</c:v>
                </c:pt>
                <c:pt idx="85">
                  <c:v>109.62310588022997</c:v>
                </c:pt>
                <c:pt idx="86">
                  <c:v>113.54467942195198</c:v>
                </c:pt>
                <c:pt idx="87">
                  <c:v>103.55766194316764</c:v>
                </c:pt>
                <c:pt idx="88">
                  <c:v>103.56317575526694</c:v>
                </c:pt>
                <c:pt idx="89">
                  <c:v>94.872154747642838</c:v>
                </c:pt>
                <c:pt idx="90">
                  <c:v>103.51655898024552</c:v>
                </c:pt>
                <c:pt idx="91">
                  <c:v>99.123303876209903</c:v>
                </c:pt>
                <c:pt idx="92">
                  <c:v>89.86561336147048</c:v>
                </c:pt>
                <c:pt idx="93">
                  <c:v>97.042591692188935</c:v>
                </c:pt>
                <c:pt idx="94">
                  <c:v>102.25890856595771</c:v>
                </c:pt>
                <c:pt idx="95">
                  <c:v>96.228552524072796</c:v>
                </c:pt>
                <c:pt idx="96">
                  <c:v>102.17093820019147</c:v>
                </c:pt>
                <c:pt idx="97">
                  <c:v>99.503005027594128</c:v>
                </c:pt>
                <c:pt idx="98">
                  <c:v>102.99074180822963</c:v>
                </c:pt>
                <c:pt idx="99">
                  <c:v>104.49876941739056</c:v>
                </c:pt>
                <c:pt idx="100">
                  <c:v>104.75816921388076</c:v>
                </c:pt>
                <c:pt idx="101">
                  <c:v>111.53890495691708</c:v>
                </c:pt>
                <c:pt idx="102">
                  <c:v>115.01210532383621</c:v>
                </c:pt>
                <c:pt idx="103">
                  <c:v>112.97450112531892</c:v>
                </c:pt>
                <c:pt idx="104">
                  <c:v>107.4704635110953</c:v>
                </c:pt>
                <c:pt idx="105">
                  <c:v>105.10829628218687</c:v>
                </c:pt>
                <c:pt idx="106">
                  <c:v>114.4817768510118</c:v>
                </c:pt>
                <c:pt idx="107">
                  <c:v>119.5452107529361</c:v>
                </c:pt>
                <c:pt idx="108">
                  <c:v>121.44547090461606</c:v>
                </c:pt>
                <c:pt idx="109">
                  <c:v>127.72670539701953</c:v>
                </c:pt>
                <c:pt idx="110">
                  <c:v>131.6886300181956</c:v>
                </c:pt>
                <c:pt idx="111">
                  <c:v>126.20840204712805</c:v>
                </c:pt>
                <c:pt idx="112">
                  <c:v>132.26908405555918</c:v>
                </c:pt>
                <c:pt idx="113">
                  <c:v>136.85482132742519</c:v>
                </c:pt>
                <c:pt idx="114">
                  <c:v>138.40420252733097</c:v>
                </c:pt>
                <c:pt idx="115">
                  <c:v>141.56461937152568</c:v>
                </c:pt>
                <c:pt idx="116">
                  <c:v>144.42378157283994</c:v>
                </c:pt>
                <c:pt idx="117">
                  <c:v>142.99445110000551</c:v>
                </c:pt>
                <c:pt idx="118">
                  <c:v>151.18822650740105</c:v>
                </c:pt>
                <c:pt idx="119">
                  <c:v>147.41001208026105</c:v>
                </c:pt>
              </c:numCache>
            </c:numRef>
          </c:val>
          <c:smooth val="0"/>
          <c:extLst>
            <c:ext xmlns:c16="http://schemas.microsoft.com/office/drawing/2014/chart" uri="{C3380CC4-5D6E-409C-BE32-E72D297353CC}">
              <c16:uniqueId val="{00000001-3C22-6C44-9BF5-2F0AC9935947}"/>
            </c:ext>
          </c:extLst>
        </c:ser>
        <c:dLbls>
          <c:showLegendKey val="0"/>
          <c:showVal val="0"/>
          <c:showCatName val="0"/>
          <c:showSerName val="0"/>
          <c:showPercent val="0"/>
          <c:showBubbleSize val="0"/>
        </c:dLbls>
        <c:smooth val="0"/>
        <c:axId val="281993199"/>
        <c:axId val="281673183"/>
      </c:lineChart>
      <c:dateAx>
        <c:axId val="281993199"/>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1673183"/>
        <c:crosses val="autoZero"/>
        <c:auto val="1"/>
        <c:lblOffset val="100"/>
        <c:baseTimeUnit val="months"/>
        <c:majorUnit val="1"/>
        <c:majorTimeUnit val="months"/>
      </c:dateAx>
      <c:valAx>
        <c:axId val="281673183"/>
        <c:scaling>
          <c:orientation val="minMax"/>
          <c:max val="300"/>
          <c:min val="50"/>
        </c:scaling>
        <c:delete val="0"/>
        <c:axPos val="l"/>
        <c:numFmt formatCode="&quot;$&quot;#,##0_);[Red]\(&quot;$&quot;#,##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1993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Current Ratio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Home Depot</c:v>
          </c:tx>
          <c:spPr>
            <a:ln w="28575" cap="rnd">
              <a:solidFill>
                <a:srgbClr val="F96302"/>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Ratios'!$E$2:$N$2</c:f>
              <c:numCache>
                <c:formatCode>0.00</c:formatCode>
                <c:ptCount val="10"/>
                <c:pt idx="0">
                  <c:v>1.3578844617978525</c:v>
                </c:pt>
                <c:pt idx="1">
                  <c:v>1.3566182340731276</c:v>
                </c:pt>
                <c:pt idx="2">
                  <c:v>1.2540861812778605</c:v>
                </c:pt>
                <c:pt idx="3">
                  <c:v>1.1691367173027047</c:v>
                </c:pt>
                <c:pt idx="4">
                  <c:v>1.108458961474037</c:v>
                </c:pt>
                <c:pt idx="5">
                  <c:v>1.0780952380952382</c:v>
                </c:pt>
                <c:pt idx="6">
                  <c:v>1.2292583959250625</c:v>
                </c:pt>
                <c:pt idx="7">
                  <c:v>1.0126163175687448</c:v>
                </c:pt>
                <c:pt idx="8">
                  <c:v>1.4050627434011249</c:v>
                </c:pt>
                <c:pt idx="9">
                  <c:v>1.3524869407222349</c:v>
                </c:pt>
              </c:numCache>
            </c:numRef>
          </c:val>
          <c:smooth val="0"/>
          <c:extLst>
            <c:ext xmlns:c16="http://schemas.microsoft.com/office/drawing/2014/chart" uri="{C3380CC4-5D6E-409C-BE32-E72D297353CC}">
              <c16:uniqueId val="{00000000-D450-0044-A314-3D20EB51495E}"/>
            </c:ext>
          </c:extLst>
        </c:ser>
        <c:ser>
          <c:idx val="1"/>
          <c:order val="1"/>
          <c:tx>
            <c:v>Floor &amp; Decor</c:v>
          </c:tx>
          <c:spPr>
            <a:ln w="28575" cap="rnd">
              <a:solidFill>
                <a:schemeClr val="accent2"/>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Ratios'!$E$11:$N$11</c:f>
              <c:numCache>
                <c:formatCode>0.00</c:formatCode>
                <c:ptCount val="10"/>
                <c:pt idx="0">
                  <c:v>1.5525450975205268</c:v>
                </c:pt>
                <c:pt idx="1">
                  <c:v>1.3795473382735501</c:v>
                </c:pt>
                <c:pt idx="2">
                  <c:v>1.4005343723907597</c:v>
                </c:pt>
                <c:pt idx="3">
                  <c:v>1.3838208194714123</c:v>
                </c:pt>
                <c:pt idx="4">
                  <c:v>1.2695637065846697</c:v>
                </c:pt>
                <c:pt idx="5">
                  <c:v>1.4888414449169765</c:v>
                </c:pt>
                <c:pt idx="6">
                  <c:v>1.2338435003367199</c:v>
                </c:pt>
                <c:pt idx="7">
                  <c:v>1.4477014337109813</c:v>
                </c:pt>
                <c:pt idx="8">
                  <c:v>1.1429037693151032</c:v>
                </c:pt>
              </c:numCache>
            </c:numRef>
          </c:val>
          <c:smooth val="0"/>
          <c:extLst>
            <c:ext xmlns:c16="http://schemas.microsoft.com/office/drawing/2014/chart" uri="{C3380CC4-5D6E-409C-BE32-E72D297353CC}">
              <c16:uniqueId val="{00000001-D450-0044-A314-3D20EB51495E}"/>
            </c:ext>
          </c:extLst>
        </c:ser>
        <c:ser>
          <c:idx val="2"/>
          <c:order val="2"/>
          <c:tx>
            <c:v>Lowes</c:v>
          </c:tx>
          <c:spPr>
            <a:ln w="28575" cap="rnd">
              <a:solidFill>
                <a:srgbClr val="004990"/>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Ratios'!$E$20:$N$20</c:f>
              <c:numCache>
                <c:formatCode>0.00</c:formatCode>
                <c:ptCount val="10"/>
                <c:pt idx="0">
                  <c:v>1.0783055198973042</c:v>
                </c:pt>
                <c:pt idx="1">
                  <c:v>1.0065764391917651</c:v>
                </c:pt>
                <c:pt idx="2">
                  <c:v>1.0021713713044931</c:v>
                </c:pt>
                <c:pt idx="3">
                  <c:v>1.0558862433862433</c:v>
                </c:pt>
                <c:pt idx="4">
                  <c:v>0.98144443678002347</c:v>
                </c:pt>
                <c:pt idx="5">
                  <c:v>1.0089579765511789</c:v>
                </c:pt>
                <c:pt idx="6">
                  <c:v>1.191991457554725</c:v>
                </c:pt>
                <c:pt idx="7">
                  <c:v>1.0199308521456174</c:v>
                </c:pt>
                <c:pt idx="8">
                  <c:v>1.098969811900979</c:v>
                </c:pt>
                <c:pt idx="9">
                  <c:v>1.2250128468653647</c:v>
                </c:pt>
              </c:numCache>
            </c:numRef>
          </c:val>
          <c:smooth val="0"/>
          <c:extLst>
            <c:ext xmlns:c16="http://schemas.microsoft.com/office/drawing/2014/chart" uri="{C3380CC4-5D6E-409C-BE32-E72D297353CC}">
              <c16:uniqueId val="{00000002-D450-0044-A314-3D20EB51495E}"/>
            </c:ext>
          </c:extLst>
        </c:ser>
        <c:ser>
          <c:idx val="3"/>
          <c:order val="3"/>
          <c:tx>
            <c:v>Walmart</c:v>
          </c:tx>
          <c:spPr>
            <a:ln w="28575" cap="rnd">
              <a:solidFill>
                <a:srgbClr val="0071CE"/>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Ratios'!$E$29:$N$29</c:f>
              <c:numCache>
                <c:formatCode>0.00</c:formatCode>
                <c:ptCount val="10"/>
                <c:pt idx="0">
                  <c:v>0.83186712113834327</c:v>
                </c:pt>
                <c:pt idx="1">
                  <c:v>0.82057094513980777</c:v>
                </c:pt>
                <c:pt idx="2">
                  <c:v>0.92779729683333512</c:v>
                </c:pt>
                <c:pt idx="3">
                  <c:v>0.97217334988396553</c:v>
                </c:pt>
                <c:pt idx="4">
                  <c:v>0.7945237177015041</c:v>
                </c:pt>
                <c:pt idx="5">
                  <c:v>0.79890806303806283</c:v>
                </c:pt>
                <c:pt idx="6">
                  <c:v>0.75984768405904157</c:v>
                </c:pt>
                <c:pt idx="7">
                  <c:v>0.86195613196270626</c:v>
                </c:pt>
                <c:pt idx="8">
                  <c:v>0.93221807827419167</c:v>
                </c:pt>
                <c:pt idx="9">
                  <c:v>0.96945091310209586</c:v>
                </c:pt>
              </c:numCache>
            </c:numRef>
          </c:val>
          <c:smooth val="0"/>
          <c:extLst>
            <c:ext xmlns:c16="http://schemas.microsoft.com/office/drawing/2014/chart" uri="{C3380CC4-5D6E-409C-BE32-E72D297353CC}">
              <c16:uniqueId val="{00000003-D450-0044-A314-3D20EB51495E}"/>
            </c:ext>
          </c:extLst>
        </c:ser>
        <c:dLbls>
          <c:showLegendKey val="0"/>
          <c:showVal val="0"/>
          <c:showCatName val="0"/>
          <c:showSerName val="0"/>
          <c:showPercent val="0"/>
          <c:showBubbleSize val="0"/>
        </c:dLbls>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12700"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ax val="1.7"/>
          <c:min val="0.7"/>
        </c:scaling>
        <c:delete val="0"/>
        <c:axPos val="l"/>
        <c:majorGridlines>
          <c:spPr>
            <a:ln w="9525" cap="flat" cmpd="sng" algn="ctr">
              <a:noFill/>
              <a:round/>
            </a:ln>
            <a:effectLst/>
          </c:spPr>
        </c:majorGridlines>
        <c:numFmt formatCode="0.00" sourceLinked="1"/>
        <c:majorTickMark val="none"/>
        <c:minorTickMark val="none"/>
        <c:tickLblPos val="nextTo"/>
        <c:spPr>
          <a:noFill/>
          <a:ln w="12700">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Home Depot</c:v>
          </c:tx>
          <c:spPr>
            <a:ln w="28575" cap="rnd">
              <a:solidFill>
                <a:srgbClr val="F96302"/>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Ratios'!$E$2:$N$2</c:f>
              <c:numCache>
                <c:formatCode>0.00</c:formatCode>
                <c:ptCount val="10"/>
                <c:pt idx="0">
                  <c:v>1.3578844617978525</c:v>
                </c:pt>
                <c:pt idx="1">
                  <c:v>1.3566182340731276</c:v>
                </c:pt>
                <c:pt idx="2">
                  <c:v>1.2540861812778605</c:v>
                </c:pt>
                <c:pt idx="3">
                  <c:v>1.1691367173027047</c:v>
                </c:pt>
                <c:pt idx="4">
                  <c:v>1.108458961474037</c:v>
                </c:pt>
                <c:pt idx="5">
                  <c:v>1.0780952380952382</c:v>
                </c:pt>
                <c:pt idx="6">
                  <c:v>1.2292583959250625</c:v>
                </c:pt>
                <c:pt idx="7">
                  <c:v>1.0126163175687448</c:v>
                </c:pt>
                <c:pt idx="8">
                  <c:v>1.4050627434011249</c:v>
                </c:pt>
                <c:pt idx="9">
                  <c:v>1.3524869407222349</c:v>
                </c:pt>
              </c:numCache>
            </c:numRef>
          </c:val>
          <c:smooth val="0"/>
          <c:extLst>
            <c:ext xmlns:c16="http://schemas.microsoft.com/office/drawing/2014/chart" uri="{C3380CC4-5D6E-409C-BE32-E72D297353CC}">
              <c16:uniqueId val="{00000000-85E9-BE4D-B7E7-073919BEFD1B}"/>
            </c:ext>
          </c:extLst>
        </c:ser>
        <c:ser>
          <c:idx val="1"/>
          <c:order val="1"/>
          <c:tx>
            <c:v>Floor &amp; Decor</c:v>
          </c:tx>
          <c:spPr>
            <a:ln w="28575" cap="rnd">
              <a:solidFill>
                <a:schemeClr val="accent2"/>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Ratios'!$E$11:$N$11</c:f>
              <c:numCache>
                <c:formatCode>0.00</c:formatCode>
                <c:ptCount val="10"/>
                <c:pt idx="0">
                  <c:v>1.5525450975205268</c:v>
                </c:pt>
                <c:pt idx="1">
                  <c:v>1.3795473382735501</c:v>
                </c:pt>
                <c:pt idx="2">
                  <c:v>1.4005343723907597</c:v>
                </c:pt>
                <c:pt idx="3">
                  <c:v>1.3838208194714123</c:v>
                </c:pt>
                <c:pt idx="4">
                  <c:v>1.2695637065846697</c:v>
                </c:pt>
                <c:pt idx="5">
                  <c:v>1.4888414449169765</c:v>
                </c:pt>
                <c:pt idx="6">
                  <c:v>1.2338435003367199</c:v>
                </c:pt>
                <c:pt idx="7">
                  <c:v>1.4477014337109813</c:v>
                </c:pt>
                <c:pt idx="8">
                  <c:v>1.1429037693151032</c:v>
                </c:pt>
              </c:numCache>
            </c:numRef>
          </c:val>
          <c:smooth val="0"/>
          <c:extLst>
            <c:ext xmlns:c16="http://schemas.microsoft.com/office/drawing/2014/chart" uri="{C3380CC4-5D6E-409C-BE32-E72D297353CC}">
              <c16:uniqueId val="{00000001-85E9-BE4D-B7E7-073919BEFD1B}"/>
            </c:ext>
          </c:extLst>
        </c:ser>
        <c:ser>
          <c:idx val="2"/>
          <c:order val="2"/>
          <c:tx>
            <c:v>Lowes</c:v>
          </c:tx>
          <c:spPr>
            <a:ln w="28575" cap="rnd">
              <a:solidFill>
                <a:srgbClr val="004990"/>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Ratios'!$E$20:$N$20</c:f>
              <c:numCache>
                <c:formatCode>0.00</c:formatCode>
                <c:ptCount val="10"/>
                <c:pt idx="0">
                  <c:v>1.0783055198973042</c:v>
                </c:pt>
                <c:pt idx="1">
                  <c:v>1.0065764391917651</c:v>
                </c:pt>
                <c:pt idx="2">
                  <c:v>1.0021713713044931</c:v>
                </c:pt>
                <c:pt idx="3">
                  <c:v>1.0558862433862433</c:v>
                </c:pt>
                <c:pt idx="4">
                  <c:v>0.98144443678002347</c:v>
                </c:pt>
                <c:pt idx="5">
                  <c:v>1.0089579765511789</c:v>
                </c:pt>
                <c:pt idx="6">
                  <c:v>1.191991457554725</c:v>
                </c:pt>
                <c:pt idx="7">
                  <c:v>1.0199308521456174</c:v>
                </c:pt>
                <c:pt idx="8">
                  <c:v>1.098969811900979</c:v>
                </c:pt>
                <c:pt idx="9">
                  <c:v>1.2250128468653647</c:v>
                </c:pt>
              </c:numCache>
            </c:numRef>
          </c:val>
          <c:smooth val="0"/>
          <c:extLst>
            <c:ext xmlns:c16="http://schemas.microsoft.com/office/drawing/2014/chart" uri="{C3380CC4-5D6E-409C-BE32-E72D297353CC}">
              <c16:uniqueId val="{00000002-85E9-BE4D-B7E7-073919BEFD1B}"/>
            </c:ext>
          </c:extLst>
        </c:ser>
        <c:ser>
          <c:idx val="3"/>
          <c:order val="3"/>
          <c:tx>
            <c:v>Walmart</c:v>
          </c:tx>
          <c:spPr>
            <a:ln w="28575" cap="rnd">
              <a:solidFill>
                <a:srgbClr val="0071CE"/>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Ratios'!$E$29:$N$29</c:f>
              <c:numCache>
                <c:formatCode>0.00</c:formatCode>
                <c:ptCount val="10"/>
                <c:pt idx="0">
                  <c:v>0.83186712113834327</c:v>
                </c:pt>
                <c:pt idx="1">
                  <c:v>0.82057094513980777</c:v>
                </c:pt>
                <c:pt idx="2">
                  <c:v>0.92779729683333512</c:v>
                </c:pt>
                <c:pt idx="3">
                  <c:v>0.97217334988396553</c:v>
                </c:pt>
                <c:pt idx="4">
                  <c:v>0.7945237177015041</c:v>
                </c:pt>
                <c:pt idx="5">
                  <c:v>0.79890806303806283</c:v>
                </c:pt>
                <c:pt idx="6">
                  <c:v>0.75984768405904157</c:v>
                </c:pt>
                <c:pt idx="7">
                  <c:v>0.86195613196270626</c:v>
                </c:pt>
                <c:pt idx="8">
                  <c:v>0.93221807827419167</c:v>
                </c:pt>
                <c:pt idx="9">
                  <c:v>0.96945091310209586</c:v>
                </c:pt>
              </c:numCache>
            </c:numRef>
          </c:val>
          <c:smooth val="0"/>
          <c:extLst>
            <c:ext xmlns:c16="http://schemas.microsoft.com/office/drawing/2014/chart" uri="{C3380CC4-5D6E-409C-BE32-E72D297353CC}">
              <c16:uniqueId val="{00000003-85E9-BE4D-B7E7-073919BEFD1B}"/>
            </c:ext>
          </c:extLst>
        </c:ser>
        <c:dLbls>
          <c:showLegendKey val="0"/>
          <c:showVal val="0"/>
          <c:showCatName val="0"/>
          <c:showSerName val="0"/>
          <c:showPercent val="0"/>
          <c:showBubbleSize val="0"/>
        </c:dLbls>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12700"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ax val="1.7"/>
          <c:min val="0.7"/>
        </c:scaling>
        <c:delete val="0"/>
        <c:axPos val="l"/>
        <c:majorGridlines>
          <c:spPr>
            <a:ln w="9525" cap="flat" cmpd="sng" algn="ctr">
              <a:noFill/>
              <a:round/>
            </a:ln>
            <a:effectLst/>
          </c:spPr>
        </c:majorGridlines>
        <c:numFmt formatCode="0.00" sourceLinked="1"/>
        <c:majorTickMark val="none"/>
        <c:minorTickMark val="none"/>
        <c:tickLblPos val="nextTo"/>
        <c:spPr>
          <a:noFill/>
          <a:ln w="12700">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a:t>
            </a:r>
            <a:r>
              <a:rPr lang="en-US" b="1" baseline="0"/>
              <a:t> Efficiency Improvements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'Projected Tables'!$AA$4</c:f>
              <c:strCache>
                <c:ptCount val="1"/>
                <c:pt idx="0">
                  <c:v>COGS as % of Revenue</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dPt>
            <c:idx val="0"/>
            <c:marker>
              <c:symbol val="circle"/>
              <c:size val="5"/>
              <c:spPr>
                <a:solidFill>
                  <a:schemeClr val="tx1">
                    <a:alpha val="60000"/>
                  </a:schemeClr>
                </a:solidFill>
                <a:ln w="9525">
                  <a:solidFill>
                    <a:schemeClr val="tx1"/>
                  </a:solidFill>
                </a:ln>
                <a:effectLst/>
              </c:spPr>
            </c:marker>
            <c:bubble3D val="0"/>
            <c:spPr>
              <a:ln w="28575" cap="rnd">
                <a:solidFill>
                  <a:schemeClr val="tx1">
                    <a:alpha val="60000"/>
                  </a:schemeClr>
                </a:solidFill>
                <a:round/>
              </a:ln>
              <a:effectLst/>
            </c:spPr>
            <c:extLst>
              <c:ext xmlns:c16="http://schemas.microsoft.com/office/drawing/2014/chart" uri="{C3380CC4-5D6E-409C-BE32-E72D297353CC}">
                <c16:uniqueId val="{00000000-AF79-7C42-BDEF-DBB8BC6F0620}"/>
              </c:ext>
            </c:extLst>
          </c:dPt>
          <c:dPt>
            <c:idx val="1"/>
            <c:marker>
              <c:symbol val="circle"/>
              <c:size val="5"/>
              <c:spPr>
                <a:solidFill>
                  <a:schemeClr val="tx1">
                    <a:alpha val="60000"/>
                  </a:schemeClr>
                </a:solidFill>
                <a:ln w="9525">
                  <a:solidFill>
                    <a:schemeClr val="tx1"/>
                  </a:solidFill>
                </a:ln>
                <a:effectLst/>
              </c:spPr>
            </c:marker>
            <c:bubble3D val="0"/>
            <c:spPr>
              <a:ln w="28575" cap="rnd">
                <a:solidFill>
                  <a:schemeClr val="tx1">
                    <a:alpha val="60000"/>
                  </a:schemeClr>
                </a:solidFill>
                <a:round/>
              </a:ln>
              <a:effectLst/>
            </c:spPr>
            <c:extLst>
              <c:ext xmlns:c16="http://schemas.microsoft.com/office/drawing/2014/chart" uri="{C3380CC4-5D6E-409C-BE32-E72D297353CC}">
                <c16:uniqueId val="{00000005-AF79-7C42-BDEF-DBB8BC6F0620}"/>
              </c:ext>
            </c:extLst>
          </c:dPt>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79-7C42-BDEF-DBB8BC6F0620}"/>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79-7C42-BDEF-DBB8BC6F0620}"/>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Tables'!$B$4:$K$4</c:f>
              <c:strCache>
                <c:ptCount val="10"/>
                <c:pt idx="0">
                  <c:v>2023</c:v>
                </c:pt>
                <c:pt idx="1">
                  <c:v>2024</c:v>
                </c:pt>
                <c:pt idx="2">
                  <c:v>2025E</c:v>
                </c:pt>
                <c:pt idx="3">
                  <c:v>2026E</c:v>
                </c:pt>
                <c:pt idx="4">
                  <c:v>2027E</c:v>
                </c:pt>
                <c:pt idx="5">
                  <c:v>2028E</c:v>
                </c:pt>
                <c:pt idx="6">
                  <c:v>2029E</c:v>
                </c:pt>
                <c:pt idx="7">
                  <c:v>2030E</c:v>
                </c:pt>
                <c:pt idx="8">
                  <c:v>2031E</c:v>
                </c:pt>
                <c:pt idx="9">
                  <c:v>2032E</c:v>
                </c:pt>
              </c:strCache>
            </c:strRef>
          </c:cat>
          <c:val>
            <c:numRef>
              <c:f>'Projected Tables'!$AB$4:$AK$4</c:f>
              <c:numCache>
                <c:formatCode>0.00%</c:formatCode>
                <c:ptCount val="10"/>
                <c:pt idx="0">
                  <c:v>0.66469508205053274</c:v>
                </c:pt>
                <c:pt idx="1">
                  <c:v>0.66620597501784906</c:v>
                </c:pt>
                <c:pt idx="2">
                  <c:v>0.65620597501784905</c:v>
                </c:pt>
                <c:pt idx="3">
                  <c:v>0.64620597501784904</c:v>
                </c:pt>
                <c:pt idx="4">
                  <c:v>0.63620597501784903</c:v>
                </c:pt>
                <c:pt idx="5">
                  <c:v>0.62620597501784903</c:v>
                </c:pt>
                <c:pt idx="6">
                  <c:v>0.61620597501784902</c:v>
                </c:pt>
                <c:pt idx="7">
                  <c:v>0.60620597501784901</c:v>
                </c:pt>
                <c:pt idx="8">
                  <c:v>0.596205975017849</c:v>
                </c:pt>
                <c:pt idx="9">
                  <c:v>0.58620597501784899</c:v>
                </c:pt>
              </c:numCache>
            </c:numRef>
          </c:val>
          <c:smooth val="0"/>
          <c:extLst>
            <c:ext xmlns:c16="http://schemas.microsoft.com/office/drawing/2014/chart" uri="{C3380CC4-5D6E-409C-BE32-E72D297353CC}">
              <c16:uniqueId val="{00000002-AF79-7C42-BDEF-DBB8BC6F0620}"/>
            </c:ext>
          </c:extLst>
        </c:ser>
        <c:dLbls>
          <c:showLegendKey val="0"/>
          <c:showVal val="0"/>
          <c:showCatName val="0"/>
          <c:showSerName val="0"/>
          <c:showPercent val="0"/>
          <c:showBubbleSize val="0"/>
        </c:dLbls>
        <c:marker val="1"/>
        <c:smooth val="0"/>
        <c:axId val="565025743"/>
        <c:axId val="565018559"/>
      </c:lineChart>
      <c:catAx>
        <c:axId val="5650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018559"/>
        <c:crosses val="autoZero"/>
        <c:auto val="1"/>
        <c:lblAlgn val="ctr"/>
        <c:lblOffset val="100"/>
        <c:noMultiLvlLbl val="0"/>
      </c:catAx>
      <c:valAx>
        <c:axId val="565018559"/>
        <c:scaling>
          <c:orientation val="minMax"/>
        </c:scaling>
        <c:delete val="0"/>
        <c:axPos val="l"/>
        <c:numFmt formatCode="0%" sourceLinked="0"/>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025743"/>
        <c:crosses val="autoZero"/>
        <c:crossBetween val="between"/>
        <c:majorUnit val="0.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Cash Ratio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2225" cap="rnd">
              <a:solidFill>
                <a:srgbClr val="F96302"/>
              </a:solidFill>
              <a:round/>
            </a:ln>
            <a:effectLst/>
          </c:spPr>
          <c:marker>
            <c:symbol val="circle"/>
            <c:size val="6"/>
            <c:spPr>
              <a:solidFill>
                <a:srgbClr val="F96302"/>
              </a:solidFill>
              <a:ln w="9525">
                <a:solidFill>
                  <a:srgbClr val="F96302"/>
                </a:solidFill>
                <a:round/>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9D-6D4A-9FC5-5818D1A492EE}"/>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9D-6D4A-9FC5-5818D1A492EE}"/>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9D-6D4A-9FC5-5818D1A492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Ratios'!$E$4:$N$4</c:f>
              <c:numCache>
                <c:formatCode>0.00</c:formatCode>
                <c:ptCount val="10"/>
                <c:pt idx="0">
                  <c:v>0.15289732895554176</c:v>
                </c:pt>
                <c:pt idx="1">
                  <c:v>0.17691202299217626</c:v>
                </c:pt>
                <c:pt idx="2">
                  <c:v>0.17957970706856294</c:v>
                </c:pt>
                <c:pt idx="3">
                  <c:v>0.22199580091391877</c:v>
                </c:pt>
                <c:pt idx="4">
                  <c:v>0.10636515912897823</c:v>
                </c:pt>
                <c:pt idx="5">
                  <c:v>0.11608163265306125</c:v>
                </c:pt>
                <c:pt idx="6">
                  <c:v>0.34080117413450745</c:v>
                </c:pt>
                <c:pt idx="7">
                  <c:v>8.1657547136932351E-2</c:v>
                </c:pt>
                <c:pt idx="8">
                  <c:v>0.11929900475984422</c:v>
                </c:pt>
                <c:pt idx="9">
                  <c:v>0.17079264138087669</c:v>
                </c:pt>
              </c:numCache>
            </c:numRef>
          </c:val>
          <c:smooth val="0"/>
          <c:extLst>
            <c:ext xmlns:c16="http://schemas.microsoft.com/office/drawing/2014/chart" uri="{C3380CC4-5D6E-409C-BE32-E72D297353CC}">
              <c16:uniqueId val="{00000003-909D-6D4A-9FC5-5818D1A492EE}"/>
            </c:ext>
          </c:extLst>
        </c:ser>
        <c:ser>
          <c:idx val="1"/>
          <c:order val="1"/>
          <c:tx>
            <c:strRef>
              <c:f>'Consolidated Ratios'!$A$11</c:f>
              <c:strCache>
                <c:ptCount val="1"/>
                <c:pt idx="0">
                  <c:v>Floor &amp; Decor</c:v>
                </c:pt>
              </c:strCache>
            </c:strRef>
          </c:tx>
          <c:spPr>
            <a:ln w="22225" cap="rnd">
              <a:solidFill>
                <a:srgbClr val="FF0000">
                  <a:alpha val="25048"/>
                </a:srgbClr>
              </a:solidFill>
              <a:round/>
            </a:ln>
            <a:effectLst/>
          </c:spPr>
          <c:marker>
            <c:symbol val="none"/>
          </c:marker>
          <c:dLbls>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9D-6D4A-9FC5-5818D1A492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Ratios'!$E$13:$N$13</c:f>
              <c:numCache>
                <c:formatCode>0.00</c:formatCode>
                <c:ptCount val="10"/>
                <c:pt idx="0">
                  <c:v>1.6177113962172007E-3</c:v>
                </c:pt>
                <c:pt idx="1">
                  <c:v>1.850529719261101E-3</c:v>
                </c:pt>
                <c:pt idx="2">
                  <c:v>1.5474533815752851E-3</c:v>
                </c:pt>
                <c:pt idx="3">
                  <c:v>1.5929356765647996E-3</c:v>
                </c:pt>
                <c:pt idx="4">
                  <c:v>4.8932115444826715E-2</c:v>
                </c:pt>
                <c:pt idx="5">
                  <c:v>0.44040661900646222</c:v>
                </c:pt>
                <c:pt idx="6">
                  <c:v>0.13511819111156331</c:v>
                </c:pt>
                <c:pt idx="7">
                  <c:v>9.728256442958487E-3</c:v>
                </c:pt>
                <c:pt idx="8">
                  <c:v>2.984514931689139E-2</c:v>
                </c:pt>
              </c:numCache>
            </c:numRef>
          </c:val>
          <c:smooth val="0"/>
          <c:extLst>
            <c:ext xmlns:c16="http://schemas.microsoft.com/office/drawing/2014/chart" uri="{C3380CC4-5D6E-409C-BE32-E72D297353CC}">
              <c16:uniqueId val="{00000005-909D-6D4A-9FC5-5818D1A492EE}"/>
            </c:ext>
          </c:extLst>
        </c:ser>
        <c:ser>
          <c:idx val="2"/>
          <c:order val="2"/>
          <c:tx>
            <c:strRef>
              <c:f>'Consolidated Ratios'!$A$20</c:f>
              <c:strCache>
                <c:ptCount val="1"/>
                <c:pt idx="0">
                  <c:v>Lowes</c:v>
                </c:pt>
              </c:strCache>
            </c:strRef>
          </c:tx>
          <c:spPr>
            <a:ln w="2222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Ratios'!$E$22:$N$22</c:f>
              <c:numCache>
                <c:formatCode>0.00</c:formatCode>
                <c:ptCount val="10"/>
                <c:pt idx="0">
                  <c:v>6.322207958921694E-2</c:v>
                </c:pt>
                <c:pt idx="1">
                  <c:v>6.786122760198246E-2</c:v>
                </c:pt>
                <c:pt idx="2">
                  <c:v>5.4952396859863042E-2</c:v>
                </c:pt>
                <c:pt idx="3">
                  <c:v>5.7043650793650799E-2</c:v>
                </c:pt>
                <c:pt idx="4">
                  <c:v>5.0286266124025661E-2</c:v>
                </c:pt>
                <c:pt idx="5">
                  <c:v>5.7699907785535506E-2</c:v>
                </c:pt>
                <c:pt idx="6">
                  <c:v>0.27741591030432461</c:v>
                </c:pt>
                <c:pt idx="7">
                  <c:v>7.1384990848078103E-2</c:v>
                </c:pt>
                <c:pt idx="8">
                  <c:v>8.8770437189277823E-2</c:v>
                </c:pt>
                <c:pt idx="9">
                  <c:v>7.8879753340184988E-2</c:v>
                </c:pt>
              </c:numCache>
            </c:numRef>
          </c:val>
          <c:smooth val="0"/>
          <c:extLst>
            <c:ext xmlns:c16="http://schemas.microsoft.com/office/drawing/2014/chart" uri="{C3380CC4-5D6E-409C-BE32-E72D297353CC}">
              <c16:uniqueId val="{00000006-909D-6D4A-9FC5-5818D1A492EE}"/>
            </c:ext>
          </c:extLst>
        </c:ser>
        <c:ser>
          <c:idx val="3"/>
          <c:order val="3"/>
          <c:tx>
            <c:strRef>
              <c:f>'Consolidated Ratios'!$A$29</c:f>
              <c:strCache>
                <c:ptCount val="1"/>
                <c:pt idx="0">
                  <c:v>Walmart</c:v>
                </c:pt>
              </c:strCache>
            </c:strRef>
          </c:tx>
          <c:spPr>
            <a:ln w="2222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Ratios'!$E$31:$N$31</c:f>
              <c:numCache>
                <c:formatCode>0.00</c:formatCode>
                <c:ptCount val="10"/>
                <c:pt idx="0">
                  <c:v>0.10676838175620841</c:v>
                </c:pt>
                <c:pt idx="1">
                  <c:v>9.3548666999284158E-2</c:v>
                </c:pt>
                <c:pt idx="2">
                  <c:v>0.16891930555396606</c:v>
                </c:pt>
                <c:pt idx="3">
                  <c:v>0.19149441416158455</c:v>
                </c:pt>
                <c:pt idx="4">
                  <c:v>0.12167373698418821</c:v>
                </c:pt>
                <c:pt idx="5">
                  <c:v>9.9668288653406822E-2</c:v>
                </c:pt>
                <c:pt idx="6">
                  <c:v>8.6040677016339578E-2</c:v>
                </c:pt>
                <c:pt idx="7">
                  <c:v>0.10260279703562036</c:v>
                </c:pt>
                <c:pt idx="8">
                  <c:v>0.13471270059889506</c:v>
                </c:pt>
                <c:pt idx="9">
                  <c:v>0.13995281284471137</c:v>
                </c:pt>
              </c:numCache>
            </c:numRef>
          </c:val>
          <c:smooth val="0"/>
          <c:extLst>
            <c:ext xmlns:c16="http://schemas.microsoft.com/office/drawing/2014/chart" uri="{C3380CC4-5D6E-409C-BE32-E72D297353CC}">
              <c16:uniqueId val="{00000007-909D-6D4A-9FC5-5818D1A492EE}"/>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debt Ratio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2225" cap="rnd">
              <a:solidFill>
                <a:srgbClr val="F96302"/>
              </a:solidFill>
              <a:round/>
            </a:ln>
            <a:effectLst/>
          </c:spPr>
          <c:marker>
            <c:symbol val="circle"/>
            <c:size val="6"/>
            <c:spPr>
              <a:solidFill>
                <a:srgbClr val="F96302"/>
              </a:solidFill>
              <a:ln w="9525">
                <a:solidFill>
                  <a:srgbClr val="F96302"/>
                </a:solidFill>
                <a:round/>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5D-0C47-8C5C-E1AF81F14E96}"/>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5D-0C47-8C5C-E1AF81F14E96}"/>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5D-0C47-8C5C-E1AF81F14E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Ratios'!$E$5:$N$5</c:f>
              <c:numCache>
                <c:formatCode>0.00</c:formatCode>
                <c:ptCount val="10"/>
                <c:pt idx="0">
                  <c:v>0.76663495719220942</c:v>
                </c:pt>
                <c:pt idx="1">
                  <c:v>0.85155937859879205</c:v>
                </c:pt>
                <c:pt idx="2">
                  <c:v>0.89915281850765727</c:v>
                </c:pt>
                <c:pt idx="3">
                  <c:v>0.96734712210020446</c:v>
                </c:pt>
                <c:pt idx="4">
                  <c:v>1.0426789082562553</c:v>
                </c:pt>
                <c:pt idx="5">
                  <c:v>1.0608166133187602</c:v>
                </c:pt>
                <c:pt idx="6">
                  <c:v>0.95325937575268138</c:v>
                </c:pt>
                <c:pt idx="7">
                  <c:v>1.0235961934442652</c:v>
                </c:pt>
                <c:pt idx="8">
                  <c:v>0.97956700896069071</c:v>
                </c:pt>
                <c:pt idx="9">
                  <c:v>0.98635829086632698</c:v>
                </c:pt>
              </c:numCache>
            </c:numRef>
          </c:val>
          <c:smooth val="0"/>
          <c:extLst>
            <c:ext xmlns:c16="http://schemas.microsoft.com/office/drawing/2014/chart" uri="{C3380CC4-5D6E-409C-BE32-E72D297353CC}">
              <c16:uniqueId val="{00000003-B05D-0C47-8C5C-E1AF81F14E96}"/>
            </c:ext>
          </c:extLst>
        </c:ser>
        <c:ser>
          <c:idx val="1"/>
          <c:order val="1"/>
          <c:tx>
            <c:strRef>
              <c:f>'Consolidated Ratios'!$A$11</c:f>
              <c:strCache>
                <c:ptCount val="1"/>
                <c:pt idx="0">
                  <c:v>Floor &amp; Decor</c:v>
                </c:pt>
              </c:strCache>
            </c:strRef>
          </c:tx>
          <c:spPr>
            <a:ln w="22225" cap="rnd">
              <a:solidFill>
                <a:srgbClr val="FF0000">
                  <a:alpha val="25048"/>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Ratios'!$E$14:$N$14</c:f>
              <c:numCache>
                <c:formatCode>0.00</c:formatCode>
                <c:ptCount val="10"/>
                <c:pt idx="0">
                  <c:v>0.58289490551324097</c:v>
                </c:pt>
                <c:pt idx="1">
                  <c:v>0.83844021531198354</c:v>
                </c:pt>
                <c:pt idx="2">
                  <c:v>0.58533397253912012</c:v>
                </c:pt>
                <c:pt idx="3">
                  <c:v>0.52652681204222374</c:v>
                </c:pt>
                <c:pt idx="4">
                  <c:v>0.67115559936307956</c:v>
                </c:pt>
                <c:pt idx="5">
                  <c:v>0.65373582023486121</c:v>
                </c:pt>
                <c:pt idx="6">
                  <c:v>0.64532104607854557</c:v>
                </c:pt>
                <c:pt idx="7">
                  <c:v>0.61914873960124484</c:v>
                </c:pt>
                <c:pt idx="8">
                  <c:v>0.58585109006873926</c:v>
                </c:pt>
              </c:numCache>
            </c:numRef>
          </c:val>
          <c:smooth val="0"/>
          <c:extLst>
            <c:ext xmlns:c16="http://schemas.microsoft.com/office/drawing/2014/chart" uri="{C3380CC4-5D6E-409C-BE32-E72D297353CC}">
              <c16:uniqueId val="{00000004-B05D-0C47-8C5C-E1AF81F14E96}"/>
            </c:ext>
          </c:extLst>
        </c:ser>
        <c:ser>
          <c:idx val="2"/>
          <c:order val="2"/>
          <c:tx>
            <c:strRef>
              <c:f>'Consolidated Ratios'!$A$20</c:f>
              <c:strCache>
                <c:ptCount val="1"/>
                <c:pt idx="0">
                  <c:v>Lowes</c:v>
                </c:pt>
              </c:strCache>
            </c:strRef>
          </c:tx>
          <c:spPr>
            <a:ln w="2222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Ratios'!$E$23:$N$23</c:f>
              <c:numCache>
                <c:formatCode>0.00</c:formatCode>
                <c:ptCount val="10"/>
                <c:pt idx="0">
                  <c:v>0.6868067992584912</c:v>
                </c:pt>
                <c:pt idx="1">
                  <c:v>0.75519733896245111</c:v>
                </c:pt>
                <c:pt idx="2">
                  <c:v>0.81300860265054642</c:v>
                </c:pt>
                <c:pt idx="3">
                  <c:v>0.83358363322093454</c:v>
                </c:pt>
                <c:pt idx="4">
                  <c:v>0.89440129824968118</c:v>
                </c:pt>
                <c:pt idx="5">
                  <c:v>0.95003926933698168</c:v>
                </c:pt>
                <c:pt idx="6">
                  <c:v>0.96925216647052548</c:v>
                </c:pt>
                <c:pt idx="7">
                  <c:v>1.1078853046594981</c:v>
                </c:pt>
                <c:pt idx="8">
                  <c:v>1.3261187883225038</c:v>
                </c:pt>
                <c:pt idx="9">
                  <c:v>1.360090919966503</c:v>
                </c:pt>
              </c:numCache>
            </c:numRef>
          </c:val>
          <c:smooth val="0"/>
          <c:extLst>
            <c:ext xmlns:c16="http://schemas.microsoft.com/office/drawing/2014/chart" uri="{C3380CC4-5D6E-409C-BE32-E72D297353CC}">
              <c16:uniqueId val="{00000005-B05D-0C47-8C5C-E1AF81F14E96}"/>
            </c:ext>
          </c:extLst>
        </c:ser>
        <c:ser>
          <c:idx val="3"/>
          <c:order val="3"/>
          <c:tx>
            <c:strRef>
              <c:f>'Consolidated Ratios'!$A$29</c:f>
              <c:strCache>
                <c:ptCount val="1"/>
                <c:pt idx="0">
                  <c:v>Walmart</c:v>
                </c:pt>
              </c:strCache>
            </c:strRef>
          </c:tx>
          <c:spPr>
            <a:ln w="2222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Ratios'!$E$32:$N$32</c:f>
              <c:numCache>
                <c:formatCode>0.00</c:formatCode>
                <c:ptCount val="10"/>
                <c:pt idx="0">
                  <c:v>0.66774432545295348</c:v>
                </c:pt>
                <c:pt idx="1">
                  <c:v>0.68464660337092975</c:v>
                </c:pt>
                <c:pt idx="2">
                  <c:v>0.65999754962019119</c:v>
                </c:pt>
                <c:pt idx="3">
                  <c:v>0.67949987326531891</c:v>
                </c:pt>
                <c:pt idx="4">
                  <c:v>0.68426816634601151</c:v>
                </c:pt>
                <c:pt idx="5">
                  <c:v>0.66941334731754032</c:v>
                </c:pt>
                <c:pt idx="6">
                  <c:v>0.61926345332042521</c:v>
                </c:pt>
                <c:pt idx="7">
                  <c:v>0.60871117817175902</c:v>
                </c:pt>
                <c:pt idx="8">
                  <c:v>0.59642450934708213</c:v>
                </c:pt>
                <c:pt idx="9">
                  <c:v>0.60043395874446504</c:v>
                </c:pt>
              </c:numCache>
            </c:numRef>
          </c:val>
          <c:smooth val="0"/>
          <c:extLst>
            <c:ext xmlns:c16="http://schemas.microsoft.com/office/drawing/2014/chart" uri="{C3380CC4-5D6E-409C-BE32-E72D297353CC}">
              <c16:uniqueId val="{00000006-B05D-0C47-8C5C-E1AF81F14E96}"/>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ax val="1.4"/>
          <c:min val="0.5"/>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iNVENTORY TURNOVER</a:t>
            </a:r>
            <a:r>
              <a:rPr lang="en-US" baseline="0"/>
              <a:t> </a:t>
            </a:r>
            <a:r>
              <a:rPr lang="en-US"/>
              <a:t>RATIO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2225" cap="rnd">
              <a:solidFill>
                <a:srgbClr val="F96302"/>
              </a:solidFill>
              <a:round/>
            </a:ln>
            <a:effectLst/>
          </c:spPr>
          <c:marker>
            <c:symbol val="circle"/>
            <c:size val="6"/>
            <c:spPr>
              <a:solidFill>
                <a:srgbClr val="F96302"/>
              </a:solidFill>
              <a:ln w="9525">
                <a:solidFill>
                  <a:srgbClr val="F96302"/>
                </a:solidFill>
                <a:round/>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DB-8246-A30A-630DB2D15AD3}"/>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DB-8246-A30A-630DB2D15AD3}"/>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DB-8246-A30A-630DB2D15A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Ratios'!$E$7:$N$7</c:f>
              <c:numCache>
                <c:formatCode>0.00</c:formatCode>
                <c:ptCount val="10"/>
                <c:pt idx="0">
                  <c:v>4.8941240184132138</c:v>
                </c:pt>
                <c:pt idx="1">
                  <c:v>4.9330171902786013</c:v>
                </c:pt>
                <c:pt idx="2">
                  <c:v>4.9631046298509842</c:v>
                </c:pt>
                <c:pt idx="3">
                  <c:v>5.2202698462503916</c:v>
                </c:pt>
                <c:pt idx="4">
                  <c:v>5.101831238779174</c:v>
                </c:pt>
                <c:pt idx="5">
                  <c:v>4.9998623632234533</c:v>
                </c:pt>
                <c:pt idx="6">
                  <c:v>5.2479100258615503</c:v>
                </c:pt>
                <c:pt idx="7">
                  <c:v>4.5461754576762736</c:v>
                </c:pt>
                <c:pt idx="8">
                  <c:v>4.2041710198505182</c:v>
                </c:pt>
                <c:pt idx="9">
                  <c:v>4.8488272311212812</c:v>
                </c:pt>
              </c:numCache>
            </c:numRef>
          </c:val>
          <c:smooth val="0"/>
          <c:extLst>
            <c:ext xmlns:c16="http://schemas.microsoft.com/office/drawing/2014/chart" uri="{C3380CC4-5D6E-409C-BE32-E72D297353CC}">
              <c16:uniqueId val="{00000003-3ADB-8246-A30A-630DB2D15AD3}"/>
            </c:ext>
          </c:extLst>
        </c:ser>
        <c:ser>
          <c:idx val="1"/>
          <c:order val="1"/>
          <c:tx>
            <c:strRef>
              <c:f>'Consolidated Ratios'!$A$11</c:f>
              <c:strCache>
                <c:ptCount val="1"/>
                <c:pt idx="0">
                  <c:v>Floor &amp; Decor</c:v>
                </c:pt>
              </c:strCache>
            </c:strRef>
          </c:tx>
          <c:spPr>
            <a:ln w="22225" cap="rnd">
              <a:solidFill>
                <a:srgbClr val="FF0000">
                  <a:alpha val="25048"/>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Ratios'!$E$16:$N$16</c:f>
              <c:numCache>
                <c:formatCode>0.00</c:formatCode>
                <c:ptCount val="10"/>
                <c:pt idx="0">
                  <c:v>1.7294336479937189</c:v>
                </c:pt>
                <c:pt idx="1">
                  <c:v>2.1160802446016711</c:v>
                </c:pt>
                <c:pt idx="2">
                  <c:v>1.8978922771351792</c:v>
                </c:pt>
                <c:pt idx="3">
                  <c:v>2.1391720840569493</c:v>
                </c:pt>
                <c:pt idx="4">
                  <c:v>2.0321586622326486</c:v>
                </c:pt>
                <c:pt idx="5">
                  <c:v>2.1267522935779817</c:v>
                </c:pt>
                <c:pt idx="6">
                  <c:v>1.9950057084702588</c:v>
                </c:pt>
                <c:pt idx="7">
                  <c:v>1.9629237288135593</c:v>
                </c:pt>
                <c:pt idx="8">
                  <c:v>2.3102978800343532</c:v>
                </c:pt>
              </c:numCache>
            </c:numRef>
          </c:val>
          <c:smooth val="0"/>
          <c:extLst>
            <c:ext xmlns:c16="http://schemas.microsoft.com/office/drawing/2014/chart" uri="{C3380CC4-5D6E-409C-BE32-E72D297353CC}">
              <c16:uniqueId val="{00000004-3ADB-8246-A30A-630DB2D15AD3}"/>
            </c:ext>
          </c:extLst>
        </c:ser>
        <c:ser>
          <c:idx val="2"/>
          <c:order val="2"/>
          <c:tx>
            <c:strRef>
              <c:f>'Consolidated Ratios'!$A$20</c:f>
              <c:strCache>
                <c:ptCount val="1"/>
                <c:pt idx="0">
                  <c:v>Lowes</c:v>
                </c:pt>
              </c:strCache>
            </c:strRef>
          </c:tx>
          <c:spPr>
            <a:ln w="2222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Ratios'!$E$25:$N$25</c:f>
              <c:numCache>
                <c:formatCode>0.00</c:formatCode>
                <c:ptCount val="10"/>
                <c:pt idx="0">
                  <c:v>4.1145774884973623</c:v>
                </c:pt>
                <c:pt idx="1">
                  <c:v>4.0710509621484459</c:v>
                </c:pt>
                <c:pt idx="2">
                  <c:v>4.0689424364123159</c:v>
                </c:pt>
                <c:pt idx="3">
                  <c:v>3.9682261037479147</c:v>
                </c:pt>
                <c:pt idx="4">
                  <c:v>3.8532760130562851</c:v>
                </c:pt>
                <c:pt idx="5">
                  <c:v>3.7335913195234842</c:v>
                </c:pt>
                <c:pt idx="6">
                  <c:v>3.7068486383004999</c:v>
                </c:pt>
                <c:pt idx="7">
                  <c:v>3.6463504686168706</c:v>
                </c:pt>
                <c:pt idx="8">
                  <c:v>3.4967623570041009</c:v>
                </c:pt>
                <c:pt idx="9">
                  <c:v>3.4055285900319641</c:v>
                </c:pt>
              </c:numCache>
            </c:numRef>
          </c:val>
          <c:smooth val="0"/>
          <c:extLst>
            <c:ext xmlns:c16="http://schemas.microsoft.com/office/drawing/2014/chart" uri="{C3380CC4-5D6E-409C-BE32-E72D297353CC}">
              <c16:uniqueId val="{00000005-3ADB-8246-A30A-630DB2D15AD3}"/>
            </c:ext>
          </c:extLst>
        </c:ser>
        <c:ser>
          <c:idx val="3"/>
          <c:order val="3"/>
          <c:tx>
            <c:strRef>
              <c:f>'Consolidated Ratios'!$A$29</c:f>
              <c:strCache>
                <c:ptCount val="1"/>
                <c:pt idx="0">
                  <c:v>Walmart</c:v>
                </c:pt>
              </c:strCache>
            </c:strRef>
          </c:tx>
          <c:spPr>
            <a:ln w="2222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Ratios'!$E$34:$N$34</c:f>
              <c:numCache>
                <c:formatCode>0.00</c:formatCode>
                <c:ptCount val="10"/>
                <c:pt idx="0">
                  <c:v>6.6509873934270933</c:v>
                </c:pt>
                <c:pt idx="1">
                  <c:v>6.3805147058823533</c:v>
                </c:pt>
                <c:pt idx="2">
                  <c:v>6.3926669144060444</c:v>
                </c:pt>
                <c:pt idx="3">
                  <c:v>8.3071036063093722</c:v>
                </c:pt>
                <c:pt idx="4">
                  <c:v>8.6711151119612904</c:v>
                </c:pt>
                <c:pt idx="5">
                  <c:v>8.913799724412117</c:v>
                </c:pt>
                <c:pt idx="6">
                  <c:v>9.5999588881529352</c:v>
                </c:pt>
                <c:pt idx="7">
                  <c:v>9.966082795149374</c:v>
                </c:pt>
                <c:pt idx="8">
                  <c:v>10.427961051519036</c:v>
                </c:pt>
                <c:pt idx="9">
                  <c:v>10.858022640171905</c:v>
                </c:pt>
              </c:numCache>
            </c:numRef>
          </c:val>
          <c:smooth val="0"/>
          <c:extLst>
            <c:ext xmlns:c16="http://schemas.microsoft.com/office/drawing/2014/chart" uri="{C3380CC4-5D6E-409C-BE32-E72D297353CC}">
              <c16:uniqueId val="{00000006-3ADB-8246-A30A-630DB2D15AD3}"/>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scaling>
        <c:delete val="0"/>
        <c:axPos val="l"/>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DAYS IN iNVENTORY</a:t>
            </a:r>
            <a:r>
              <a:rPr lang="en-US" baseline="0"/>
              <a:t> </a:t>
            </a:r>
            <a:r>
              <a:rPr lang="en-US"/>
              <a:t>RATIO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2225" cap="rnd">
              <a:solidFill>
                <a:srgbClr val="F96302"/>
              </a:solidFill>
              <a:round/>
            </a:ln>
            <a:effectLst/>
          </c:spPr>
          <c:marker>
            <c:symbol val="circle"/>
            <c:size val="6"/>
            <c:spPr>
              <a:solidFill>
                <a:srgbClr val="F96302"/>
              </a:solidFill>
              <a:ln w="9525">
                <a:solidFill>
                  <a:srgbClr val="F96302"/>
                </a:solidFill>
                <a:round/>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E4-4747-A504-81AD8B912195}"/>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E4-4747-A504-81AD8B912195}"/>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E4-4747-A504-81AD8B912195}"/>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E4-4747-A504-81AD8B9121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Ratios'!$E$8:$N$8</c:f>
              <c:numCache>
                <c:formatCode>0.00</c:formatCode>
                <c:ptCount val="10"/>
                <c:pt idx="0">
                  <c:v>74.579229832909164</c:v>
                </c:pt>
                <c:pt idx="1">
                  <c:v>73.991228070175438</c:v>
                </c:pt>
                <c:pt idx="2">
                  <c:v>73.542676856876781</c:v>
                </c:pt>
                <c:pt idx="3">
                  <c:v>69.919757167758618</c:v>
                </c:pt>
                <c:pt idx="4">
                  <c:v>71.542938783553623</c:v>
                </c:pt>
                <c:pt idx="5">
                  <c:v>73.002009552255245</c:v>
                </c:pt>
                <c:pt idx="6">
                  <c:v>69.551497301076139</c:v>
                </c:pt>
                <c:pt idx="7">
                  <c:v>80.287266384251183</c:v>
                </c:pt>
                <c:pt idx="8">
                  <c:v>86.818542413381124</c:v>
                </c:pt>
                <c:pt idx="9">
                  <c:v>75.27593428310179</c:v>
                </c:pt>
              </c:numCache>
            </c:numRef>
          </c:val>
          <c:smooth val="0"/>
          <c:extLst>
            <c:ext xmlns:c16="http://schemas.microsoft.com/office/drawing/2014/chart" uri="{C3380CC4-5D6E-409C-BE32-E72D297353CC}">
              <c16:uniqueId val="{00000004-6FE4-4747-A504-81AD8B912195}"/>
            </c:ext>
          </c:extLst>
        </c:ser>
        <c:ser>
          <c:idx val="1"/>
          <c:order val="1"/>
          <c:tx>
            <c:strRef>
              <c:f>'Consolidated Ratios'!$A$11</c:f>
              <c:strCache>
                <c:ptCount val="1"/>
                <c:pt idx="0">
                  <c:v>Floor &amp; Decor</c:v>
                </c:pt>
              </c:strCache>
            </c:strRef>
          </c:tx>
          <c:spPr>
            <a:ln w="22225" cap="rnd">
              <a:solidFill>
                <a:srgbClr val="FF0000">
                  <a:alpha val="25048"/>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Ratios'!$E$17:$N$17</c:f>
              <c:numCache>
                <c:formatCode>0.00</c:formatCode>
                <c:ptCount val="10"/>
                <c:pt idx="0">
                  <c:v>211.0517512038864</c:v>
                </c:pt>
                <c:pt idx="1">
                  <c:v>172.48873284987698</c:v>
                </c:pt>
                <c:pt idx="2">
                  <c:v>192.31860754023319</c:v>
                </c:pt>
                <c:pt idx="3">
                  <c:v>170.62675916552533</c:v>
                </c:pt>
                <c:pt idx="4">
                  <c:v>179.61195982551362</c:v>
                </c:pt>
                <c:pt idx="5">
                  <c:v>171.62318390447595</c:v>
                </c:pt>
                <c:pt idx="6">
                  <c:v>182.95686997300709</c:v>
                </c:pt>
                <c:pt idx="7">
                  <c:v>185.94711279007015</c:v>
                </c:pt>
                <c:pt idx="8">
                  <c:v>157.98828504078989</c:v>
                </c:pt>
              </c:numCache>
            </c:numRef>
          </c:val>
          <c:smooth val="0"/>
          <c:extLst>
            <c:ext xmlns:c16="http://schemas.microsoft.com/office/drawing/2014/chart" uri="{C3380CC4-5D6E-409C-BE32-E72D297353CC}">
              <c16:uniqueId val="{00000005-6FE4-4747-A504-81AD8B912195}"/>
            </c:ext>
          </c:extLst>
        </c:ser>
        <c:ser>
          <c:idx val="2"/>
          <c:order val="2"/>
          <c:tx>
            <c:strRef>
              <c:f>'Consolidated Ratios'!$A$20</c:f>
              <c:strCache>
                <c:ptCount val="1"/>
                <c:pt idx="0">
                  <c:v>Lowes</c:v>
                </c:pt>
              </c:strCache>
            </c:strRef>
          </c:tx>
          <c:spPr>
            <a:ln w="2222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Ratios'!$E$26:$N$26</c:f>
              <c:numCache>
                <c:formatCode>0.00</c:formatCode>
                <c:ptCount val="10"/>
                <c:pt idx="0">
                  <c:v>88.708986772126011</c:v>
                </c:pt>
                <c:pt idx="1">
                  <c:v>89.657438188240178</c:v>
                </c:pt>
                <c:pt idx="2">
                  <c:v>89.70389866754401</c:v>
                </c:pt>
                <c:pt idx="3">
                  <c:v>91.98064587480647</c:v>
                </c:pt>
                <c:pt idx="4">
                  <c:v>94.724592467097793</c:v>
                </c:pt>
                <c:pt idx="5">
                  <c:v>97.761101514073772</c:v>
                </c:pt>
                <c:pt idx="6">
                  <c:v>98.46638900458143</c:v>
                </c:pt>
                <c:pt idx="7">
                  <c:v>100.10008723556717</c:v>
                </c:pt>
                <c:pt idx="8">
                  <c:v>104.38227215209407</c:v>
                </c:pt>
                <c:pt idx="9">
                  <c:v>107.17866268054856</c:v>
                </c:pt>
              </c:numCache>
            </c:numRef>
          </c:val>
          <c:smooth val="0"/>
          <c:extLst>
            <c:ext xmlns:c16="http://schemas.microsoft.com/office/drawing/2014/chart" uri="{C3380CC4-5D6E-409C-BE32-E72D297353CC}">
              <c16:uniqueId val="{00000006-6FE4-4747-A504-81AD8B912195}"/>
            </c:ext>
          </c:extLst>
        </c:ser>
        <c:ser>
          <c:idx val="3"/>
          <c:order val="3"/>
          <c:tx>
            <c:strRef>
              <c:f>'Consolidated Ratios'!$A$29</c:f>
              <c:strCache>
                <c:ptCount val="1"/>
                <c:pt idx="0">
                  <c:v>Walmart</c:v>
                </c:pt>
              </c:strCache>
            </c:strRef>
          </c:tx>
          <c:spPr>
            <a:ln w="2222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Ratios'!$E$35:$N$35</c:f>
              <c:numCache>
                <c:formatCode>0.00</c:formatCode>
                <c:ptCount val="10"/>
                <c:pt idx="0">
                  <c:v>54.879069589083116</c:v>
                </c:pt>
                <c:pt idx="1">
                  <c:v>57.205416306539902</c:v>
                </c:pt>
                <c:pt idx="2">
                  <c:v>57.096671058750587</c:v>
                </c:pt>
                <c:pt idx="3">
                  <c:v>43.938298749852706</c:v>
                </c:pt>
                <c:pt idx="4">
                  <c:v>42.093778630213791</c:v>
                </c:pt>
                <c:pt idx="5">
                  <c:v>40.947745213567998</c:v>
                </c:pt>
                <c:pt idx="6">
                  <c:v>38.020996157643673</c:v>
                </c:pt>
                <c:pt idx="7">
                  <c:v>36.624219114219116</c:v>
                </c:pt>
                <c:pt idx="8">
                  <c:v>35.002048645629593</c:v>
                </c:pt>
                <c:pt idx="9">
                  <c:v>33.61569708370228</c:v>
                </c:pt>
              </c:numCache>
            </c:numRef>
          </c:val>
          <c:smooth val="0"/>
          <c:extLst>
            <c:ext xmlns:c16="http://schemas.microsoft.com/office/drawing/2014/chart" uri="{C3380CC4-5D6E-409C-BE32-E72D297353CC}">
              <c16:uniqueId val="{00000007-6FE4-4747-A504-81AD8B912195}"/>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ax val="220"/>
          <c:min val="30"/>
        </c:scaling>
        <c:delete val="0"/>
        <c:axPos val="l"/>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ASSETS TURNOVER RATIO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2225" cap="rnd">
              <a:solidFill>
                <a:srgbClr val="F96302"/>
              </a:solidFill>
              <a:round/>
            </a:ln>
            <a:effectLst/>
          </c:spPr>
          <c:marker>
            <c:symbol val="circle"/>
            <c:size val="6"/>
            <c:spPr>
              <a:solidFill>
                <a:srgbClr val="F96302"/>
              </a:solidFill>
              <a:ln w="9525">
                <a:solidFill>
                  <a:srgbClr val="F96302"/>
                </a:solidFill>
                <a:round/>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53-B442-A1EC-C4645EF57894}"/>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53-B442-A1EC-C4645EF57894}"/>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53-B442-A1EC-C4645EF57894}"/>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53-B442-A1EC-C4645EF578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Ratios'!$E$9:$N$9</c:f>
              <c:numCache>
                <c:formatCode>0.00</c:formatCode>
                <c:ptCount val="10"/>
                <c:pt idx="0">
                  <c:v>2.0822109848295196</c:v>
                </c:pt>
                <c:pt idx="1">
                  <c:v>2.0804014195398248</c:v>
                </c:pt>
                <c:pt idx="2">
                  <c:v>2.2016245403342176</c:v>
                </c:pt>
                <c:pt idx="3">
                  <c:v>2.266028880055694</c:v>
                </c:pt>
                <c:pt idx="4">
                  <c:v>2.4589914324023363</c:v>
                </c:pt>
                <c:pt idx="5">
                  <c:v>2.1513193848075569</c:v>
                </c:pt>
                <c:pt idx="6">
                  <c:v>1.8717501877275755</c:v>
                </c:pt>
                <c:pt idx="7">
                  <c:v>2.1030246535700372</c:v>
                </c:pt>
                <c:pt idx="8">
                  <c:v>2.059035908169272</c:v>
                </c:pt>
                <c:pt idx="9">
                  <c:v>1.9948908924604731</c:v>
                </c:pt>
              </c:numCache>
            </c:numRef>
          </c:val>
          <c:smooth val="0"/>
          <c:extLst>
            <c:ext xmlns:c16="http://schemas.microsoft.com/office/drawing/2014/chart" uri="{C3380CC4-5D6E-409C-BE32-E72D297353CC}">
              <c16:uniqueId val="{00000004-8053-B442-A1EC-C4645EF57894}"/>
            </c:ext>
          </c:extLst>
        </c:ser>
        <c:ser>
          <c:idx val="1"/>
          <c:order val="1"/>
          <c:tx>
            <c:strRef>
              <c:f>'Consolidated Ratios'!$A$11</c:f>
              <c:strCache>
                <c:ptCount val="1"/>
                <c:pt idx="0">
                  <c:v>Floor &amp; Decor</c:v>
                </c:pt>
              </c:strCache>
            </c:strRef>
          </c:tx>
          <c:spPr>
            <a:ln w="22225" cap="rnd">
              <a:solidFill>
                <a:srgbClr val="FF0000">
                  <a:alpha val="25048"/>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Ratios'!$E$18:$N$18</c:f>
              <c:numCache>
                <c:formatCode>0.00</c:formatCode>
                <c:ptCount val="10"/>
                <c:pt idx="0">
                  <c:v>1.0469015393490082</c:v>
                </c:pt>
                <c:pt idx="1">
                  <c:v>1.2641987280519176</c:v>
                </c:pt>
                <c:pt idx="2">
                  <c:v>1.2966080270264198</c:v>
                </c:pt>
                <c:pt idx="3">
                  <c:v>1.3855120894650395</c:v>
                </c:pt>
                <c:pt idx="4">
                  <c:v>0.88002756948409189</c:v>
                </c:pt>
                <c:pt idx="5">
                  <c:v>0.84216322244113284</c:v>
                </c:pt>
                <c:pt idx="6">
                  <c:v>0.92034674504348379</c:v>
                </c:pt>
                <c:pt idx="7">
                  <c:v>0.98005879700554455</c:v>
                </c:pt>
                <c:pt idx="8">
                  <c:v>0.94666738158303931</c:v>
                </c:pt>
              </c:numCache>
            </c:numRef>
          </c:val>
          <c:smooth val="0"/>
          <c:extLst>
            <c:ext xmlns:c16="http://schemas.microsoft.com/office/drawing/2014/chart" uri="{C3380CC4-5D6E-409C-BE32-E72D297353CC}">
              <c16:uniqueId val="{00000005-8053-B442-A1EC-C4645EF57894}"/>
            </c:ext>
          </c:extLst>
        </c:ser>
        <c:ser>
          <c:idx val="2"/>
          <c:order val="2"/>
          <c:tx>
            <c:strRef>
              <c:f>'Consolidated Ratios'!$A$20</c:f>
              <c:strCache>
                <c:ptCount val="1"/>
                <c:pt idx="0">
                  <c:v>Lowes</c:v>
                </c:pt>
              </c:strCache>
            </c:strRef>
          </c:tx>
          <c:spPr>
            <a:ln w="2222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Ratios'!$E$27:$N$27</c:f>
              <c:numCache>
                <c:formatCode>0.00</c:formatCode>
                <c:ptCount val="10"/>
                <c:pt idx="0">
                  <c:v>1.7665189933075689</c:v>
                </c:pt>
                <c:pt idx="1">
                  <c:v>1.8894006268790378</c:v>
                </c:pt>
                <c:pt idx="2">
                  <c:v>1.8895896303185307</c:v>
                </c:pt>
                <c:pt idx="3">
                  <c:v>1.944376753279873</c:v>
                </c:pt>
                <c:pt idx="4">
                  <c:v>2.066448359800626</c:v>
                </c:pt>
                <c:pt idx="5">
                  <c:v>1.8278736287400879</c:v>
                </c:pt>
                <c:pt idx="6">
                  <c:v>1.9171284904247352</c:v>
                </c:pt>
                <c:pt idx="7">
                  <c:v>2.1561379928315412</c:v>
                </c:pt>
                <c:pt idx="8">
                  <c:v>2.2206232268692232</c:v>
                </c:pt>
                <c:pt idx="9">
                  <c:v>2.0666826175379831</c:v>
                </c:pt>
              </c:numCache>
            </c:numRef>
          </c:val>
          <c:smooth val="0"/>
          <c:extLst>
            <c:ext xmlns:c16="http://schemas.microsoft.com/office/drawing/2014/chart" uri="{C3380CC4-5D6E-409C-BE32-E72D297353CC}">
              <c16:uniqueId val="{00000006-8053-B442-A1EC-C4645EF57894}"/>
            </c:ext>
          </c:extLst>
        </c:ser>
        <c:ser>
          <c:idx val="3"/>
          <c:order val="3"/>
          <c:tx>
            <c:strRef>
              <c:f>'Consolidated Ratios'!$A$29</c:f>
              <c:strCache>
                <c:ptCount val="1"/>
                <c:pt idx="0">
                  <c:v>Walmart</c:v>
                </c:pt>
              </c:strCache>
            </c:strRef>
          </c:tx>
          <c:spPr>
            <a:ln w="2222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Ratios'!$E$36:$N$36</c:f>
              <c:numCache>
                <c:formatCode>0.00</c:formatCode>
                <c:ptCount val="10"/>
                <c:pt idx="0">
                  <c:v>1.9241399530109071</c:v>
                </c:pt>
                <c:pt idx="1">
                  <c:v>1.9824668889830055</c:v>
                </c:pt>
                <c:pt idx="2">
                  <c:v>1.984288981458793</c:v>
                </c:pt>
                <c:pt idx="3">
                  <c:v>1.9815878271338949</c:v>
                </c:pt>
                <c:pt idx="4">
                  <c:v>2.1751199813949555</c:v>
                </c:pt>
                <c:pt idx="5">
                  <c:v>2.3893112018057865</c:v>
                </c:pt>
                <c:pt idx="6">
                  <c:v>2.7339406029669182</c:v>
                </c:pt>
                <c:pt idx="7">
                  <c:v>2.8806940777065257</c:v>
                </c:pt>
                <c:pt idx="8">
                  <c:v>3.0628616952515522</c:v>
                </c:pt>
                <c:pt idx="9">
                  <c:v>3.1816686793712505</c:v>
                </c:pt>
              </c:numCache>
            </c:numRef>
          </c:val>
          <c:smooth val="0"/>
          <c:extLst>
            <c:ext xmlns:c16="http://schemas.microsoft.com/office/drawing/2014/chart" uri="{C3380CC4-5D6E-409C-BE32-E72D297353CC}">
              <c16:uniqueId val="{00000007-8053-B442-A1EC-C4645EF57894}"/>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ax val="3.3"/>
          <c:min val="0.6"/>
        </c:scaling>
        <c:delete val="0"/>
        <c:axPos val="l"/>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CURRENT Ratio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2225" cap="rnd">
              <a:solidFill>
                <a:srgbClr val="F96302"/>
              </a:solidFill>
              <a:round/>
            </a:ln>
            <a:effectLst/>
          </c:spPr>
          <c:marker>
            <c:symbol val="circle"/>
            <c:size val="6"/>
            <c:spPr>
              <a:solidFill>
                <a:srgbClr val="F96302"/>
              </a:solidFill>
              <a:ln w="9525">
                <a:solidFill>
                  <a:srgbClr val="F96302"/>
                </a:solidFill>
                <a:round/>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AC-1C48-9FD2-EC0E7D52AF84}"/>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AC-1C48-9FD2-EC0E7D52AF84}"/>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AC-1C48-9FD2-EC0E7D52AF84}"/>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AC-1C48-9FD2-EC0E7D52AF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Ratios'!$E$2:$N$2</c:f>
              <c:numCache>
                <c:formatCode>0.00</c:formatCode>
                <c:ptCount val="10"/>
                <c:pt idx="0">
                  <c:v>1.3578844617978525</c:v>
                </c:pt>
                <c:pt idx="1">
                  <c:v>1.3566182340731276</c:v>
                </c:pt>
                <c:pt idx="2">
                  <c:v>1.2540861812778605</c:v>
                </c:pt>
                <c:pt idx="3">
                  <c:v>1.1691367173027047</c:v>
                </c:pt>
                <c:pt idx="4">
                  <c:v>1.108458961474037</c:v>
                </c:pt>
                <c:pt idx="5">
                  <c:v>1.0780952380952382</c:v>
                </c:pt>
                <c:pt idx="6">
                  <c:v>1.2292583959250625</c:v>
                </c:pt>
                <c:pt idx="7">
                  <c:v>1.0126163175687448</c:v>
                </c:pt>
                <c:pt idx="8">
                  <c:v>1.4050627434011249</c:v>
                </c:pt>
                <c:pt idx="9">
                  <c:v>1.3524869407222349</c:v>
                </c:pt>
              </c:numCache>
            </c:numRef>
          </c:val>
          <c:smooth val="0"/>
          <c:extLst>
            <c:ext xmlns:c16="http://schemas.microsoft.com/office/drawing/2014/chart" uri="{C3380CC4-5D6E-409C-BE32-E72D297353CC}">
              <c16:uniqueId val="{00000004-ABAC-1C48-9FD2-EC0E7D52AF84}"/>
            </c:ext>
          </c:extLst>
        </c:ser>
        <c:ser>
          <c:idx val="1"/>
          <c:order val="1"/>
          <c:tx>
            <c:strRef>
              <c:f>'Consolidated Ratios'!$A$11</c:f>
              <c:strCache>
                <c:ptCount val="1"/>
                <c:pt idx="0">
                  <c:v>Floor &amp; Decor</c:v>
                </c:pt>
              </c:strCache>
            </c:strRef>
          </c:tx>
          <c:spPr>
            <a:ln w="22225" cap="rnd">
              <a:solidFill>
                <a:srgbClr val="FF0000">
                  <a:alpha val="25048"/>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Ratios'!$E$11:$N$11</c:f>
              <c:numCache>
                <c:formatCode>0.00</c:formatCode>
                <c:ptCount val="10"/>
                <c:pt idx="0">
                  <c:v>1.5525450975205268</c:v>
                </c:pt>
                <c:pt idx="1">
                  <c:v>1.3795473382735501</c:v>
                </c:pt>
                <c:pt idx="2">
                  <c:v>1.4005343723907597</c:v>
                </c:pt>
                <c:pt idx="3">
                  <c:v>1.3838208194714123</c:v>
                </c:pt>
                <c:pt idx="4">
                  <c:v>1.2695637065846697</c:v>
                </c:pt>
                <c:pt idx="5">
                  <c:v>1.4888414449169765</c:v>
                </c:pt>
                <c:pt idx="6">
                  <c:v>1.2338435003367199</c:v>
                </c:pt>
                <c:pt idx="7">
                  <c:v>1.4477014337109813</c:v>
                </c:pt>
                <c:pt idx="8">
                  <c:v>1.1429037693151032</c:v>
                </c:pt>
              </c:numCache>
            </c:numRef>
          </c:val>
          <c:smooth val="0"/>
          <c:extLst>
            <c:ext xmlns:c16="http://schemas.microsoft.com/office/drawing/2014/chart" uri="{C3380CC4-5D6E-409C-BE32-E72D297353CC}">
              <c16:uniqueId val="{00000005-ABAC-1C48-9FD2-EC0E7D52AF84}"/>
            </c:ext>
          </c:extLst>
        </c:ser>
        <c:ser>
          <c:idx val="2"/>
          <c:order val="2"/>
          <c:tx>
            <c:strRef>
              <c:f>'Consolidated Ratios'!$A$20</c:f>
              <c:strCache>
                <c:ptCount val="1"/>
                <c:pt idx="0">
                  <c:v>Lowes</c:v>
                </c:pt>
              </c:strCache>
            </c:strRef>
          </c:tx>
          <c:spPr>
            <a:ln w="22225" cap="rnd">
              <a:solidFill>
                <a:srgbClr val="004990">
                  <a:alpha val="45000"/>
                </a:srgbClr>
              </a:solidFill>
              <a:round/>
            </a:ln>
            <a:effectLst/>
          </c:spPr>
          <c:marker>
            <c:symbol val="none"/>
          </c:marker>
          <c:dLbls>
            <c:dLbl>
              <c:idx val="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BAC-1C48-9FD2-EC0E7D52AF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Ratios'!$E$20:$N$20</c:f>
              <c:numCache>
                <c:formatCode>0.00</c:formatCode>
                <c:ptCount val="10"/>
                <c:pt idx="0">
                  <c:v>1.0783055198973042</c:v>
                </c:pt>
                <c:pt idx="1">
                  <c:v>1.0065764391917651</c:v>
                </c:pt>
                <c:pt idx="2">
                  <c:v>1.0021713713044931</c:v>
                </c:pt>
                <c:pt idx="3">
                  <c:v>1.0558862433862433</c:v>
                </c:pt>
                <c:pt idx="4">
                  <c:v>0.98144443678002347</c:v>
                </c:pt>
                <c:pt idx="5">
                  <c:v>1.0089579765511789</c:v>
                </c:pt>
                <c:pt idx="6">
                  <c:v>1.191991457554725</c:v>
                </c:pt>
                <c:pt idx="7">
                  <c:v>1.0199308521456174</c:v>
                </c:pt>
                <c:pt idx="8">
                  <c:v>1.098969811900979</c:v>
                </c:pt>
                <c:pt idx="9">
                  <c:v>1.2250128468653647</c:v>
                </c:pt>
              </c:numCache>
            </c:numRef>
          </c:val>
          <c:smooth val="0"/>
          <c:extLst>
            <c:ext xmlns:c16="http://schemas.microsoft.com/office/drawing/2014/chart" uri="{C3380CC4-5D6E-409C-BE32-E72D297353CC}">
              <c16:uniqueId val="{00000007-ABAC-1C48-9FD2-EC0E7D52AF84}"/>
            </c:ext>
          </c:extLst>
        </c:ser>
        <c:ser>
          <c:idx val="3"/>
          <c:order val="3"/>
          <c:tx>
            <c:strRef>
              <c:f>'Consolidated Ratios'!$A$29</c:f>
              <c:strCache>
                <c:ptCount val="1"/>
                <c:pt idx="0">
                  <c:v>Walmart</c:v>
                </c:pt>
              </c:strCache>
            </c:strRef>
          </c:tx>
          <c:spPr>
            <a:ln w="2222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Ratios'!$E$29:$N$29</c:f>
              <c:numCache>
                <c:formatCode>0.00</c:formatCode>
                <c:ptCount val="10"/>
                <c:pt idx="0">
                  <c:v>0.83186712113834327</c:v>
                </c:pt>
                <c:pt idx="1">
                  <c:v>0.82057094513980777</c:v>
                </c:pt>
                <c:pt idx="2">
                  <c:v>0.92779729683333512</c:v>
                </c:pt>
                <c:pt idx="3">
                  <c:v>0.97217334988396553</c:v>
                </c:pt>
                <c:pt idx="4">
                  <c:v>0.7945237177015041</c:v>
                </c:pt>
                <c:pt idx="5">
                  <c:v>0.79890806303806283</c:v>
                </c:pt>
                <c:pt idx="6">
                  <c:v>0.75984768405904157</c:v>
                </c:pt>
                <c:pt idx="7">
                  <c:v>0.86195613196270626</c:v>
                </c:pt>
                <c:pt idx="8">
                  <c:v>0.93221807827419167</c:v>
                </c:pt>
                <c:pt idx="9">
                  <c:v>0.96945091310209586</c:v>
                </c:pt>
              </c:numCache>
            </c:numRef>
          </c:val>
          <c:smooth val="0"/>
          <c:extLst>
            <c:ext xmlns:c16="http://schemas.microsoft.com/office/drawing/2014/chart" uri="{C3380CC4-5D6E-409C-BE32-E72D297353CC}">
              <c16:uniqueId val="{00000008-ABAC-1C48-9FD2-EC0E7D52AF84}"/>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in val="0.7"/>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QUICK Ratio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2225" cap="rnd">
              <a:solidFill>
                <a:srgbClr val="F96302"/>
              </a:solidFill>
              <a:round/>
            </a:ln>
            <a:effectLst/>
          </c:spPr>
          <c:marker>
            <c:symbol val="circle"/>
            <c:size val="6"/>
            <c:spPr>
              <a:solidFill>
                <a:srgbClr val="F96302"/>
              </a:solidFill>
              <a:ln w="9525">
                <a:solidFill>
                  <a:srgbClr val="F96302"/>
                </a:solidFill>
                <a:round/>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15-6440-A315-CB595EBD247A}"/>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15-6440-A315-CB595EBD247A}"/>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15-6440-A315-CB595EBD247A}"/>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15-6440-A315-CB595EBD24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Ratios'!$E$3:$N$3</c:f>
              <c:numCache>
                <c:formatCode>0.00</c:formatCode>
                <c:ptCount val="10"/>
                <c:pt idx="0">
                  <c:v>0.37474487532167883</c:v>
                </c:pt>
                <c:pt idx="1">
                  <c:v>0.4138591729203257</c:v>
                </c:pt>
                <c:pt idx="2">
                  <c:v>0.36616429632774372</c:v>
                </c:pt>
                <c:pt idx="3">
                  <c:v>0.38193157959738167</c:v>
                </c:pt>
                <c:pt idx="4">
                  <c:v>0.2754247427614262</c:v>
                </c:pt>
                <c:pt idx="5">
                  <c:v>0.28729251700680286</c:v>
                </c:pt>
                <c:pt idx="6">
                  <c:v>0.51152551152551162</c:v>
                </c:pt>
                <c:pt idx="7">
                  <c:v>0.24350886975917471</c:v>
                </c:pt>
                <c:pt idx="8">
                  <c:v>0.32821289485071387</c:v>
                </c:pt>
                <c:pt idx="9">
                  <c:v>0.39968203497615268</c:v>
                </c:pt>
              </c:numCache>
            </c:numRef>
          </c:val>
          <c:smooth val="0"/>
          <c:extLst>
            <c:ext xmlns:c16="http://schemas.microsoft.com/office/drawing/2014/chart" uri="{C3380CC4-5D6E-409C-BE32-E72D297353CC}">
              <c16:uniqueId val="{00000004-F115-6440-A315-CB595EBD247A}"/>
            </c:ext>
          </c:extLst>
        </c:ser>
        <c:ser>
          <c:idx val="1"/>
          <c:order val="1"/>
          <c:tx>
            <c:strRef>
              <c:f>'Consolidated Ratios'!$A$11</c:f>
              <c:strCache>
                <c:ptCount val="1"/>
                <c:pt idx="0">
                  <c:v>Floor &amp; Decor</c:v>
                </c:pt>
              </c:strCache>
            </c:strRef>
          </c:tx>
          <c:spPr>
            <a:ln w="22225" cap="rnd">
              <a:solidFill>
                <a:srgbClr val="FF0000">
                  <a:alpha val="25048"/>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Ratios'!$E$12:$N$12</c:f>
              <c:numCache>
                <c:formatCode>0.00</c:formatCode>
                <c:ptCount val="10"/>
                <c:pt idx="0">
                  <c:v>0.16594768382390351</c:v>
                </c:pt>
                <c:pt idx="1">
                  <c:v>0.17443807085354152</c:v>
                </c:pt>
                <c:pt idx="2">
                  <c:v>0.20946841079877551</c:v>
                </c:pt>
                <c:pt idx="3">
                  <c:v>0.21876646425170346</c:v>
                </c:pt>
                <c:pt idx="4">
                  <c:v>0.21649253177592256</c:v>
                </c:pt>
                <c:pt idx="5">
                  <c:v>0.5529995592671243</c:v>
                </c:pt>
                <c:pt idx="6">
                  <c:v>0.25696719524425504</c:v>
                </c:pt>
                <c:pt idx="7">
                  <c:v>0.16404041487626625</c:v>
                </c:pt>
                <c:pt idx="8">
                  <c:v>0.18271495200140955</c:v>
                </c:pt>
              </c:numCache>
            </c:numRef>
          </c:val>
          <c:smooth val="0"/>
          <c:extLst>
            <c:ext xmlns:c16="http://schemas.microsoft.com/office/drawing/2014/chart" uri="{C3380CC4-5D6E-409C-BE32-E72D297353CC}">
              <c16:uniqueId val="{00000005-F115-6440-A315-CB595EBD247A}"/>
            </c:ext>
          </c:extLst>
        </c:ser>
        <c:ser>
          <c:idx val="2"/>
          <c:order val="2"/>
          <c:tx>
            <c:strRef>
              <c:f>'Consolidated Ratios'!$A$20</c:f>
              <c:strCache>
                <c:ptCount val="1"/>
                <c:pt idx="0">
                  <c:v>Lowes</c:v>
                </c:pt>
              </c:strCache>
            </c:strRef>
          </c:tx>
          <c:spPr>
            <a:ln w="2222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Ratios'!$E$21:$N$21</c:f>
              <c:numCache>
                <c:formatCode>0.00</c:formatCode>
                <c:ptCount val="10"/>
                <c:pt idx="0">
                  <c:v>0.12505348737697894</c:v>
                </c:pt>
                <c:pt idx="1">
                  <c:v>0.10512771635531833</c:v>
                </c:pt>
                <c:pt idx="2">
                  <c:v>0.12877902121262733</c:v>
                </c:pt>
                <c:pt idx="3">
                  <c:v>0.11400462962962948</c:v>
                </c:pt>
                <c:pt idx="4">
                  <c:v>0.11498930813271714</c:v>
                </c:pt>
                <c:pt idx="5">
                  <c:v>0.14089052825714657</c:v>
                </c:pt>
                <c:pt idx="6">
                  <c:v>0.32744260544580883</c:v>
                </c:pt>
                <c:pt idx="7">
                  <c:v>0.12482204596298556</c:v>
                </c:pt>
                <c:pt idx="8">
                  <c:v>0.14914663523140792</c:v>
                </c:pt>
                <c:pt idx="9">
                  <c:v>0.13983812949640281</c:v>
                </c:pt>
              </c:numCache>
            </c:numRef>
          </c:val>
          <c:smooth val="0"/>
          <c:extLst>
            <c:ext xmlns:c16="http://schemas.microsoft.com/office/drawing/2014/chart" uri="{C3380CC4-5D6E-409C-BE32-E72D297353CC}">
              <c16:uniqueId val="{00000006-F115-6440-A315-CB595EBD247A}"/>
            </c:ext>
          </c:extLst>
        </c:ser>
        <c:ser>
          <c:idx val="3"/>
          <c:order val="3"/>
          <c:tx>
            <c:strRef>
              <c:f>'Consolidated Ratios'!$A$29</c:f>
              <c:strCache>
                <c:ptCount val="1"/>
                <c:pt idx="0">
                  <c:v>Walmart</c:v>
                </c:pt>
              </c:strCache>
            </c:strRef>
          </c:tx>
          <c:spPr>
            <a:ln w="2222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Ratios'!$E$30:$N$30</c:f>
              <c:numCache>
                <c:formatCode>0.00</c:formatCode>
                <c:ptCount val="10"/>
                <c:pt idx="0">
                  <c:v>0.23789428123140174</c:v>
                </c:pt>
                <c:pt idx="1">
                  <c:v>0.2069350745135469</c:v>
                </c:pt>
                <c:pt idx="2">
                  <c:v>0.28106295563007122</c:v>
                </c:pt>
                <c:pt idx="3">
                  <c:v>0.48699875870257425</c:v>
                </c:pt>
                <c:pt idx="4">
                  <c:v>0.22330633757552384</c:v>
                </c:pt>
                <c:pt idx="5">
                  <c:v>0.22752558823909033</c:v>
                </c:pt>
                <c:pt idx="6">
                  <c:v>0.20225162695329907</c:v>
                </c:pt>
                <c:pt idx="7">
                  <c:v>0.21878735357398996</c:v>
                </c:pt>
                <c:pt idx="8">
                  <c:v>0.24404586886209931</c:v>
                </c:pt>
                <c:pt idx="9">
                  <c:v>0.27786799852923155</c:v>
                </c:pt>
              </c:numCache>
            </c:numRef>
          </c:val>
          <c:smooth val="0"/>
          <c:extLst>
            <c:ext xmlns:c16="http://schemas.microsoft.com/office/drawing/2014/chart" uri="{C3380CC4-5D6E-409C-BE32-E72D297353CC}">
              <c16:uniqueId val="{00000007-F115-6440-A315-CB595EBD247A}"/>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PROFIT</a:t>
            </a:r>
            <a:r>
              <a:rPr lang="en-US" baseline="0"/>
              <a:t> MARGIN</a:t>
            </a:r>
            <a:r>
              <a:rPr lang="en-US"/>
              <a:t> RATIO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2225" cap="rnd">
              <a:solidFill>
                <a:srgbClr val="F96302"/>
              </a:solidFill>
              <a:round/>
            </a:ln>
            <a:effectLst/>
          </c:spPr>
          <c:marker>
            <c:symbol val="circle"/>
            <c:size val="6"/>
            <c:spPr>
              <a:solidFill>
                <a:srgbClr val="F96302"/>
              </a:solidFill>
              <a:ln w="9525">
                <a:solidFill>
                  <a:srgbClr val="F96302"/>
                </a:solidFill>
                <a:round/>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B6-D544-AF3F-290E38FF8997}"/>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B6-D544-AF3F-290E38FF8997}"/>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B6-D544-AF3F-290E38FF8997}"/>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B6-D544-AF3F-290E38FF89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Ratios'!$E$10:$N$10</c:f>
              <c:numCache>
                <c:formatCode>0.00</c:formatCode>
                <c:ptCount val="10"/>
                <c:pt idx="0">
                  <c:v>7.6284024237760886E-2</c:v>
                </c:pt>
                <c:pt idx="1">
                  <c:v>7.9180740857894921E-2</c:v>
                </c:pt>
                <c:pt idx="2">
                  <c:v>8.4116496643585809E-2</c:v>
                </c:pt>
                <c:pt idx="3">
                  <c:v>8.5526837389994448E-2</c:v>
                </c:pt>
                <c:pt idx="4">
                  <c:v>0.10277903570141309</c:v>
                </c:pt>
                <c:pt idx="5">
                  <c:v>0.10199138126559311</c:v>
                </c:pt>
                <c:pt idx="6">
                  <c:v>9.738853985315267E-2</c:v>
                </c:pt>
                <c:pt idx="7">
                  <c:v>0.10871477999695681</c:v>
                </c:pt>
                <c:pt idx="8">
                  <c:v>0.10867010158637383</c:v>
                </c:pt>
                <c:pt idx="9">
                  <c:v>9.9188440351348342E-2</c:v>
                </c:pt>
              </c:numCache>
            </c:numRef>
          </c:val>
          <c:smooth val="0"/>
          <c:extLst>
            <c:ext xmlns:c16="http://schemas.microsoft.com/office/drawing/2014/chart" uri="{C3380CC4-5D6E-409C-BE32-E72D297353CC}">
              <c16:uniqueId val="{00000004-13B6-D544-AF3F-290E38FF8997}"/>
            </c:ext>
          </c:extLst>
        </c:ser>
        <c:ser>
          <c:idx val="1"/>
          <c:order val="1"/>
          <c:tx>
            <c:strRef>
              <c:f>'Consolidated Ratios'!$A$11</c:f>
              <c:strCache>
                <c:ptCount val="1"/>
                <c:pt idx="0">
                  <c:v>Floor &amp; Decor</c:v>
                </c:pt>
              </c:strCache>
            </c:strRef>
          </c:tx>
          <c:spPr>
            <a:ln w="22225" cap="rnd">
              <a:solidFill>
                <a:srgbClr val="FF0000">
                  <a:alpha val="25048"/>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Ratios'!$E$19:$N$19</c:f>
              <c:numCache>
                <c:formatCode>0.00%</c:formatCode>
                <c:ptCount val="10"/>
                <c:pt idx="0">
                  <c:v>3.4192078692673072E-2</c:v>
                </c:pt>
                <c:pt idx="1">
                  <c:v>4.0959915641931216E-2</c:v>
                </c:pt>
                <c:pt idx="2">
                  <c:v>7.422764985011919E-2</c:v>
                </c:pt>
                <c:pt idx="3">
                  <c:v>6.7951654182126134E-2</c:v>
                </c:pt>
                <c:pt idx="4">
                  <c:v>7.364176985474144E-2</c:v>
                </c:pt>
                <c:pt idx="5">
                  <c:v>8.0378417240088582E-2</c:v>
                </c:pt>
                <c:pt idx="6">
                  <c:v>8.2489377559499213E-2</c:v>
                </c:pt>
                <c:pt idx="7">
                  <c:v>6.992540461623277E-2</c:v>
                </c:pt>
                <c:pt idx="8">
                  <c:v>5.5728696087164957E-2</c:v>
                </c:pt>
              </c:numCache>
            </c:numRef>
          </c:val>
          <c:smooth val="0"/>
          <c:extLst>
            <c:ext xmlns:c16="http://schemas.microsoft.com/office/drawing/2014/chart" uri="{C3380CC4-5D6E-409C-BE32-E72D297353CC}">
              <c16:uniqueId val="{00000005-13B6-D544-AF3F-290E38FF8997}"/>
            </c:ext>
          </c:extLst>
        </c:ser>
        <c:ser>
          <c:idx val="2"/>
          <c:order val="2"/>
          <c:tx>
            <c:strRef>
              <c:f>'Consolidated Ratios'!$A$20</c:f>
              <c:strCache>
                <c:ptCount val="1"/>
                <c:pt idx="0">
                  <c:v>Lowes</c:v>
                </c:pt>
              </c:strCache>
            </c:strRef>
          </c:tx>
          <c:spPr>
            <a:ln w="2222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Ratios'!$E$28:$N$28</c:f>
              <c:numCache>
                <c:formatCode>0.00%</c:formatCode>
                <c:ptCount val="10"/>
                <c:pt idx="0">
                  <c:v>4.798747843409281E-2</c:v>
                </c:pt>
                <c:pt idx="1">
                  <c:v>4.30984866438704E-2</c:v>
                </c:pt>
                <c:pt idx="2">
                  <c:v>4.7572173431564051E-2</c:v>
                </c:pt>
                <c:pt idx="3">
                  <c:v>5.023390023171425E-2</c:v>
                </c:pt>
                <c:pt idx="4">
                  <c:v>3.2450321838758081E-2</c:v>
                </c:pt>
                <c:pt idx="5">
                  <c:v>5.9336364140378114E-2</c:v>
                </c:pt>
                <c:pt idx="6">
                  <c:v>6.5124948379968073E-2</c:v>
                </c:pt>
                <c:pt idx="7">
                  <c:v>8.7709090909090903E-2</c:v>
                </c:pt>
                <c:pt idx="8">
                  <c:v>6.6320485477905186E-2</c:v>
                </c:pt>
                <c:pt idx="9">
                  <c:v>8.9445106915035252E-2</c:v>
                </c:pt>
              </c:numCache>
            </c:numRef>
          </c:val>
          <c:smooth val="0"/>
          <c:extLst>
            <c:ext xmlns:c16="http://schemas.microsoft.com/office/drawing/2014/chart" uri="{C3380CC4-5D6E-409C-BE32-E72D297353CC}">
              <c16:uniqueId val="{00000006-13B6-D544-AF3F-290E38FF8997}"/>
            </c:ext>
          </c:extLst>
        </c:ser>
        <c:ser>
          <c:idx val="3"/>
          <c:order val="3"/>
          <c:tx>
            <c:strRef>
              <c:f>'Consolidated Ratios'!$A$29</c:f>
              <c:strCache>
                <c:ptCount val="1"/>
                <c:pt idx="0">
                  <c:v>Walmart</c:v>
                </c:pt>
              </c:strCache>
            </c:strRef>
          </c:tx>
          <c:spPr>
            <a:ln w="2222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Ratios'!$E$37:$N$37</c:f>
              <c:numCache>
                <c:formatCode>0.00%</c:formatCode>
                <c:ptCount val="10"/>
                <c:pt idx="0">
                  <c:v>3.369291940096901E-2</c:v>
                </c:pt>
                <c:pt idx="1">
                  <c:v>3.0477257171302344E-2</c:v>
                </c:pt>
                <c:pt idx="2">
                  <c:v>2.8079354069890691E-2</c:v>
                </c:pt>
                <c:pt idx="3">
                  <c:v>1.9710478611672393E-2</c:v>
                </c:pt>
                <c:pt idx="4">
                  <c:v>1.2966436951429322E-2</c:v>
                </c:pt>
                <c:pt idx="5">
                  <c:v>2.8400806162255422E-2</c:v>
                </c:pt>
                <c:pt idx="6">
                  <c:v>2.4161630758059986E-2</c:v>
                </c:pt>
                <c:pt idx="7">
                  <c:v>2.3872378019184501E-2</c:v>
                </c:pt>
                <c:pt idx="8">
                  <c:v>1.9107165350595218E-2</c:v>
                </c:pt>
                <c:pt idx="9">
                  <c:v>2.3932111861137896E-2</c:v>
                </c:pt>
              </c:numCache>
            </c:numRef>
          </c:val>
          <c:smooth val="0"/>
          <c:extLst>
            <c:ext xmlns:c16="http://schemas.microsoft.com/office/drawing/2014/chart" uri="{C3380CC4-5D6E-409C-BE32-E72D297353CC}">
              <c16:uniqueId val="{00000007-13B6-D544-AF3F-290E38FF8997}"/>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scaling>
        <c:delete val="0"/>
        <c:axPos val="l"/>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'PPT Graphs'!$B$3</c:f>
              <c:strCache>
                <c:ptCount val="1"/>
                <c:pt idx="0">
                  <c:v>United States</c:v>
                </c:pt>
              </c:strCache>
            </c:strRef>
          </c:tx>
          <c:spPr>
            <a:solidFill>
              <a:srgbClr val="F9630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Graphs'!$C$2</c:f>
              <c:strCache>
                <c:ptCount val="1"/>
                <c:pt idx="0">
                  <c:v>% of Revenue</c:v>
                </c:pt>
              </c:strCache>
            </c:strRef>
          </c:cat>
          <c:val>
            <c:numRef>
              <c:f>'PPT Graphs'!$C$3</c:f>
              <c:numCache>
                <c:formatCode>0%</c:formatCode>
                <c:ptCount val="1"/>
                <c:pt idx="0">
                  <c:v>0.85</c:v>
                </c:pt>
              </c:numCache>
            </c:numRef>
          </c:val>
          <c:extLst>
            <c:ext xmlns:c16="http://schemas.microsoft.com/office/drawing/2014/chart" uri="{C3380CC4-5D6E-409C-BE32-E72D297353CC}">
              <c16:uniqueId val="{00000000-0830-BE4D-998D-C89871167209}"/>
            </c:ext>
          </c:extLst>
        </c:ser>
        <c:ser>
          <c:idx val="1"/>
          <c:order val="1"/>
          <c:tx>
            <c:strRef>
              <c:f>'PPT Graphs'!$B$4</c:f>
              <c:strCache>
                <c:ptCount val="1"/>
                <c:pt idx="0">
                  <c:v>Canada</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Graphs'!$C$2</c:f>
              <c:strCache>
                <c:ptCount val="1"/>
                <c:pt idx="0">
                  <c:v>% of Revenue</c:v>
                </c:pt>
              </c:strCache>
            </c:strRef>
          </c:cat>
          <c:val>
            <c:numRef>
              <c:f>'PPT Graphs'!$C$4</c:f>
              <c:numCache>
                <c:formatCode>0%</c:formatCode>
                <c:ptCount val="1"/>
                <c:pt idx="0">
                  <c:v>0.09</c:v>
                </c:pt>
              </c:numCache>
            </c:numRef>
          </c:val>
          <c:extLst>
            <c:ext xmlns:c16="http://schemas.microsoft.com/office/drawing/2014/chart" uri="{C3380CC4-5D6E-409C-BE32-E72D297353CC}">
              <c16:uniqueId val="{00000001-0830-BE4D-998D-C89871167209}"/>
            </c:ext>
          </c:extLst>
        </c:ser>
        <c:ser>
          <c:idx val="2"/>
          <c:order val="2"/>
          <c:tx>
            <c:strRef>
              <c:f>'PPT Graphs'!$B$5</c:f>
              <c:strCache>
                <c:ptCount val="1"/>
                <c:pt idx="0">
                  <c:v>Mexico &amp; Caribbean</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Graphs'!$C$2</c:f>
              <c:strCache>
                <c:ptCount val="1"/>
                <c:pt idx="0">
                  <c:v>% of Revenue</c:v>
                </c:pt>
              </c:strCache>
            </c:strRef>
          </c:cat>
          <c:val>
            <c:numRef>
              <c:f>'PPT Graphs'!$C$5</c:f>
              <c:numCache>
                <c:formatCode>0%</c:formatCode>
                <c:ptCount val="1"/>
                <c:pt idx="0">
                  <c:v>0.06</c:v>
                </c:pt>
              </c:numCache>
            </c:numRef>
          </c:val>
          <c:extLst>
            <c:ext xmlns:c16="http://schemas.microsoft.com/office/drawing/2014/chart" uri="{C3380CC4-5D6E-409C-BE32-E72D297353CC}">
              <c16:uniqueId val="{00000002-0830-BE4D-998D-C89871167209}"/>
            </c:ext>
          </c:extLst>
        </c:ser>
        <c:dLbls>
          <c:showLegendKey val="0"/>
          <c:showVal val="0"/>
          <c:showCatName val="0"/>
          <c:showSerName val="0"/>
          <c:showPercent val="0"/>
          <c:showBubbleSize val="0"/>
        </c:dLbls>
        <c:gapWidth val="150"/>
        <c:overlap val="100"/>
        <c:axId val="1042242000"/>
        <c:axId val="1042096368"/>
      </c:barChart>
      <c:catAx>
        <c:axId val="104224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096368"/>
        <c:crosses val="autoZero"/>
        <c:auto val="1"/>
        <c:lblAlgn val="ctr"/>
        <c:lblOffset val="100"/>
        <c:noMultiLvlLbl val="0"/>
      </c:catAx>
      <c:valAx>
        <c:axId val="1042096368"/>
        <c:scaling>
          <c:orientation val="minMax"/>
        </c:scaling>
        <c:delete val="1"/>
        <c:axPos val="l"/>
        <c:numFmt formatCode="0%" sourceLinked="1"/>
        <c:majorTickMark val="none"/>
        <c:minorTickMark val="none"/>
        <c:tickLblPos val="nextTo"/>
        <c:crossAx val="104224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strRef>
              <c:f>'PPT Graphs'!$C$29</c:f>
              <c:strCache>
                <c:ptCount val="1"/>
                <c:pt idx="0">
                  <c:v>International</c:v>
                </c:pt>
              </c:strCache>
            </c:strRef>
          </c:tx>
          <c:spPr>
            <a:solidFill>
              <a:schemeClr val="tx1">
                <a:lumMod val="75000"/>
                <a:lumOff val="25000"/>
              </a:schemeClr>
            </a:solidFill>
            <a:ln>
              <a:noFill/>
            </a:ln>
            <a:effectLst/>
          </c:spPr>
          <c:invertIfNegative val="0"/>
          <c:cat>
            <c:numRef>
              <c:f>'PPT Graphs'!$A$30:$A$49</c:f>
              <c:numCache>
                <c:formatCode>[$-409]mmm\-yy;@</c:formatCode>
                <c:ptCount val="20"/>
                <c:pt idx="0">
                  <c:v>43830</c:v>
                </c:pt>
                <c:pt idx="1">
                  <c:v>43921</c:v>
                </c:pt>
                <c:pt idx="2">
                  <c:v>44012</c:v>
                </c:pt>
                <c:pt idx="3">
                  <c:v>44104</c:v>
                </c:pt>
                <c:pt idx="4">
                  <c:v>44196</c:v>
                </c:pt>
                <c:pt idx="5">
                  <c:v>44286</c:v>
                </c:pt>
                <c:pt idx="6">
                  <c:v>44377</c:v>
                </c:pt>
                <c:pt idx="7">
                  <c:v>44469</c:v>
                </c:pt>
                <c:pt idx="8">
                  <c:v>44561</c:v>
                </c:pt>
                <c:pt idx="9">
                  <c:v>44651</c:v>
                </c:pt>
                <c:pt idx="10">
                  <c:v>44742</c:v>
                </c:pt>
                <c:pt idx="11">
                  <c:v>44834</c:v>
                </c:pt>
                <c:pt idx="12">
                  <c:v>44926</c:v>
                </c:pt>
                <c:pt idx="13">
                  <c:v>45016</c:v>
                </c:pt>
                <c:pt idx="14">
                  <c:v>45107</c:v>
                </c:pt>
                <c:pt idx="15">
                  <c:v>45199</c:v>
                </c:pt>
                <c:pt idx="16">
                  <c:v>45291</c:v>
                </c:pt>
                <c:pt idx="17">
                  <c:v>45382</c:v>
                </c:pt>
                <c:pt idx="18">
                  <c:v>45473</c:v>
                </c:pt>
                <c:pt idx="19">
                  <c:v>45565</c:v>
                </c:pt>
              </c:numCache>
            </c:numRef>
          </c:cat>
          <c:val>
            <c:numRef>
              <c:f>'PPT Graphs'!$C$30:$C$49</c:f>
              <c:numCache>
                <c:formatCode>#,##0</c:formatCode>
                <c:ptCount val="20"/>
                <c:pt idx="0">
                  <c:v>8890000000</c:v>
                </c:pt>
                <c:pt idx="1">
                  <c:v>8810000000</c:v>
                </c:pt>
                <c:pt idx="2">
                  <c:v>9000000000</c:v>
                </c:pt>
                <c:pt idx="3">
                  <c:v>9460000000</c:v>
                </c:pt>
                <c:pt idx="4">
                  <c:v>9950000000</c:v>
                </c:pt>
                <c:pt idx="5">
                  <c:v>10890000000</c:v>
                </c:pt>
                <c:pt idx="6">
                  <c:v>11520000000</c:v>
                </c:pt>
                <c:pt idx="7">
                  <c:v>11910000000</c:v>
                </c:pt>
                <c:pt idx="8">
                  <c:v>12240000000</c:v>
                </c:pt>
                <c:pt idx="9">
                  <c:v>12360000000</c:v>
                </c:pt>
                <c:pt idx="10">
                  <c:v>12630000000</c:v>
                </c:pt>
                <c:pt idx="11">
                  <c:v>12630000000</c:v>
                </c:pt>
                <c:pt idx="12">
                  <c:v>12560000000</c:v>
                </c:pt>
                <c:pt idx="13">
                  <c:v>12410000000</c:v>
                </c:pt>
                <c:pt idx="14">
                  <c:v>12390000000</c:v>
                </c:pt>
                <c:pt idx="15">
                  <c:v>12470000000</c:v>
                </c:pt>
                <c:pt idx="16">
                  <c:v>12590000000</c:v>
                </c:pt>
                <c:pt idx="17">
                  <c:v>12690000000</c:v>
                </c:pt>
                <c:pt idx="18">
                  <c:v>12620000000</c:v>
                </c:pt>
                <c:pt idx="19">
                  <c:v>12540000000</c:v>
                </c:pt>
              </c:numCache>
            </c:numRef>
          </c:val>
          <c:extLst>
            <c:ext xmlns:c16="http://schemas.microsoft.com/office/drawing/2014/chart" uri="{C3380CC4-5D6E-409C-BE32-E72D297353CC}">
              <c16:uniqueId val="{00000000-C79B-974B-AD04-D4E5A902AA66}"/>
            </c:ext>
          </c:extLst>
        </c:ser>
        <c:ser>
          <c:idx val="0"/>
          <c:order val="1"/>
          <c:tx>
            <c:strRef>
              <c:f>'PPT Graphs'!$B$29</c:f>
              <c:strCache>
                <c:ptCount val="1"/>
                <c:pt idx="0">
                  <c:v>US</c:v>
                </c:pt>
              </c:strCache>
            </c:strRef>
          </c:tx>
          <c:spPr>
            <a:solidFill>
              <a:srgbClr val="F96302"/>
            </a:solidFill>
            <a:ln>
              <a:noFill/>
            </a:ln>
            <a:effectLst/>
          </c:spPr>
          <c:invertIfNegative val="0"/>
          <c:cat>
            <c:numRef>
              <c:f>'PPT Graphs'!$A$30:$A$49</c:f>
              <c:numCache>
                <c:formatCode>[$-409]mmm\-yy;@</c:formatCode>
                <c:ptCount val="20"/>
                <c:pt idx="0">
                  <c:v>43830</c:v>
                </c:pt>
                <c:pt idx="1">
                  <c:v>43921</c:v>
                </c:pt>
                <c:pt idx="2">
                  <c:v>44012</c:v>
                </c:pt>
                <c:pt idx="3">
                  <c:v>44104</c:v>
                </c:pt>
                <c:pt idx="4">
                  <c:v>44196</c:v>
                </c:pt>
                <c:pt idx="5">
                  <c:v>44286</c:v>
                </c:pt>
                <c:pt idx="6">
                  <c:v>44377</c:v>
                </c:pt>
                <c:pt idx="7">
                  <c:v>44469</c:v>
                </c:pt>
                <c:pt idx="8">
                  <c:v>44561</c:v>
                </c:pt>
                <c:pt idx="9">
                  <c:v>44651</c:v>
                </c:pt>
                <c:pt idx="10">
                  <c:v>44742</c:v>
                </c:pt>
                <c:pt idx="11">
                  <c:v>44834</c:v>
                </c:pt>
                <c:pt idx="12">
                  <c:v>44926</c:v>
                </c:pt>
                <c:pt idx="13">
                  <c:v>45016</c:v>
                </c:pt>
                <c:pt idx="14">
                  <c:v>45107</c:v>
                </c:pt>
                <c:pt idx="15">
                  <c:v>45199</c:v>
                </c:pt>
                <c:pt idx="16">
                  <c:v>45291</c:v>
                </c:pt>
                <c:pt idx="17">
                  <c:v>45382</c:v>
                </c:pt>
                <c:pt idx="18">
                  <c:v>45473</c:v>
                </c:pt>
                <c:pt idx="19">
                  <c:v>45565</c:v>
                </c:pt>
              </c:numCache>
            </c:numRef>
          </c:cat>
          <c:val>
            <c:numRef>
              <c:f>'PPT Graphs'!$B$30:$B$49</c:f>
              <c:numCache>
                <c:formatCode>#,##0</c:formatCode>
                <c:ptCount val="20"/>
                <c:pt idx="0">
                  <c:v>101330000000</c:v>
                </c:pt>
                <c:pt idx="1">
                  <c:v>103300000000</c:v>
                </c:pt>
                <c:pt idx="2">
                  <c:v>110320000000</c:v>
                </c:pt>
                <c:pt idx="3">
                  <c:v>116170000000</c:v>
                </c:pt>
                <c:pt idx="4">
                  <c:v>122160000000</c:v>
                </c:pt>
                <c:pt idx="5">
                  <c:v>130460000000</c:v>
                </c:pt>
                <c:pt idx="6">
                  <c:v>132890000000</c:v>
                </c:pt>
                <c:pt idx="7">
                  <c:v>135790000000</c:v>
                </c:pt>
                <c:pt idx="8">
                  <c:v>138920000000</c:v>
                </c:pt>
                <c:pt idx="9">
                  <c:v>140210000000</c:v>
                </c:pt>
                <c:pt idx="10">
                  <c:v>142610000000</c:v>
                </c:pt>
                <c:pt idx="11">
                  <c:v>144660000000</c:v>
                </c:pt>
                <c:pt idx="12">
                  <c:v>144840000000</c:v>
                </c:pt>
                <c:pt idx="13">
                  <c:v>143340000000</c:v>
                </c:pt>
                <c:pt idx="14">
                  <c:v>142490000000</c:v>
                </c:pt>
                <c:pt idx="15">
                  <c:v>141250000000</c:v>
                </c:pt>
                <c:pt idx="16">
                  <c:v>140080000000</c:v>
                </c:pt>
                <c:pt idx="17">
                  <c:v>139150000000</c:v>
                </c:pt>
                <c:pt idx="18">
                  <c:v>139470000000</c:v>
                </c:pt>
                <c:pt idx="19">
                  <c:v>142060000000</c:v>
                </c:pt>
              </c:numCache>
            </c:numRef>
          </c:val>
          <c:extLst>
            <c:ext xmlns:c16="http://schemas.microsoft.com/office/drawing/2014/chart" uri="{C3380CC4-5D6E-409C-BE32-E72D297353CC}">
              <c16:uniqueId val="{00000001-C79B-974B-AD04-D4E5A902AA66}"/>
            </c:ext>
          </c:extLst>
        </c:ser>
        <c:dLbls>
          <c:showLegendKey val="0"/>
          <c:showVal val="0"/>
          <c:showCatName val="0"/>
          <c:showSerName val="0"/>
          <c:showPercent val="0"/>
          <c:showBubbleSize val="0"/>
        </c:dLbls>
        <c:gapWidth val="0"/>
        <c:overlap val="100"/>
        <c:axId val="596447103"/>
        <c:axId val="596618543"/>
      </c:barChart>
      <c:dateAx>
        <c:axId val="596447103"/>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18543"/>
        <c:crosses val="autoZero"/>
        <c:auto val="1"/>
        <c:lblOffset val="100"/>
        <c:baseTimeUnit val="months"/>
      </c:dateAx>
      <c:valAx>
        <c:axId val="596618543"/>
        <c:scaling>
          <c:orientation val="minMax"/>
        </c:scaling>
        <c:delete val="0"/>
        <c:axPos val="l"/>
        <c:numFmt formatCode="#,##0.0,,,&quot;B&quot;\&#1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4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 EV/EBITDA vs. Industry Standards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Tables'!$M$26</c:f>
              <c:strCache>
                <c:ptCount val="1"/>
                <c:pt idx="0">
                  <c:v>EV/EBITDA</c:v>
                </c:pt>
              </c:strCache>
            </c:strRef>
          </c:tx>
          <c:spPr>
            <a:solidFill>
              <a:schemeClr val="bg1">
                <a:lumMod val="85000"/>
              </a:schemeClr>
            </a:solidFill>
            <a:ln>
              <a:noFill/>
            </a:ln>
            <a:effectLst/>
          </c:spPr>
          <c:invertIfNegative val="0"/>
          <c:dPt>
            <c:idx val="0"/>
            <c:invertIfNegative val="0"/>
            <c:bubble3D val="0"/>
            <c:spPr>
              <a:solidFill>
                <a:srgbClr val="F96302"/>
              </a:solidFill>
              <a:ln>
                <a:noFill/>
              </a:ln>
              <a:effectLst/>
            </c:spPr>
            <c:extLst>
              <c:ext xmlns:c16="http://schemas.microsoft.com/office/drawing/2014/chart" uri="{C3380CC4-5D6E-409C-BE32-E72D297353CC}">
                <c16:uniqueId val="{00000005-9E2A-3845-AB8E-CC3A9432AD8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9E2A-3845-AB8E-CC3A9432AD8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9E2A-3845-AB8E-CC3A9432AD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Tables'!$N$24:$P$24</c:f>
              <c:strCache>
                <c:ptCount val="3"/>
                <c:pt idx="0">
                  <c:v>Home Depot</c:v>
                </c:pt>
                <c:pt idx="1">
                  <c:v>Walmart</c:v>
                </c:pt>
                <c:pt idx="2">
                  <c:v>Lowe’s</c:v>
                </c:pt>
              </c:strCache>
            </c:strRef>
          </c:cat>
          <c:val>
            <c:numRef>
              <c:f>'Projected Tables'!$N$26:$P$26</c:f>
              <c:numCache>
                <c:formatCode>General</c:formatCode>
                <c:ptCount val="3"/>
                <c:pt idx="0">
                  <c:v>7.07</c:v>
                </c:pt>
                <c:pt idx="1">
                  <c:v>21.12</c:v>
                </c:pt>
                <c:pt idx="2">
                  <c:v>11.49</c:v>
                </c:pt>
              </c:numCache>
            </c:numRef>
          </c:val>
          <c:extLst>
            <c:ext xmlns:c16="http://schemas.microsoft.com/office/drawing/2014/chart" uri="{C3380CC4-5D6E-409C-BE32-E72D297353CC}">
              <c16:uniqueId val="{00000000-9E2A-3845-AB8E-CC3A9432AD83}"/>
            </c:ext>
          </c:extLst>
        </c:ser>
        <c:dLbls>
          <c:showLegendKey val="0"/>
          <c:showVal val="0"/>
          <c:showCatName val="0"/>
          <c:showSerName val="0"/>
          <c:showPercent val="0"/>
          <c:showBubbleSize val="0"/>
        </c:dLbls>
        <c:gapWidth val="219"/>
        <c:overlap val="-27"/>
        <c:axId val="809686687"/>
        <c:axId val="809839535"/>
      </c:barChart>
      <c:catAx>
        <c:axId val="80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9839535"/>
        <c:crosses val="autoZero"/>
        <c:auto val="1"/>
        <c:lblAlgn val="ctr"/>
        <c:lblOffset val="100"/>
        <c:noMultiLvlLbl val="0"/>
      </c:catAx>
      <c:valAx>
        <c:axId val="809839535"/>
        <c:scaling>
          <c:orientation val="minMax"/>
        </c:scaling>
        <c:delete val="0"/>
        <c:axPos val="l"/>
        <c:numFmt formatCode="General" sourceLinked="1"/>
        <c:majorTickMark val="none"/>
        <c:minorTickMark val="none"/>
        <c:tickLblPos val="nextTo"/>
        <c:spPr>
          <a:noFill/>
          <a:ln w="9525">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'PPT Graphs'!$F$3</c:f>
              <c:strCache>
                <c:ptCount val="1"/>
                <c:pt idx="0">
                  <c:v>Building Materials</c:v>
                </c:pt>
              </c:strCache>
            </c:strRef>
          </c:tx>
          <c:spPr>
            <a:solidFill>
              <a:srgbClr val="F9630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Graphs'!$G$2</c:f>
              <c:strCache>
                <c:ptCount val="1"/>
                <c:pt idx="0">
                  <c:v>% of Revenue</c:v>
                </c:pt>
              </c:strCache>
            </c:strRef>
          </c:cat>
          <c:val>
            <c:numRef>
              <c:f>'PPT Graphs'!$G$3</c:f>
              <c:numCache>
                <c:formatCode>0.0%</c:formatCode>
                <c:ptCount val="1"/>
                <c:pt idx="0">
                  <c:v>0.34200000000000003</c:v>
                </c:pt>
              </c:numCache>
            </c:numRef>
          </c:val>
          <c:extLst>
            <c:ext xmlns:c16="http://schemas.microsoft.com/office/drawing/2014/chart" uri="{C3380CC4-5D6E-409C-BE32-E72D297353CC}">
              <c16:uniqueId val="{00000000-8460-C643-AE35-B971E8B9CB3D}"/>
            </c:ext>
          </c:extLst>
        </c:ser>
        <c:ser>
          <c:idx val="1"/>
          <c:order val="1"/>
          <c:tx>
            <c:strRef>
              <c:f>'PPT Graphs'!$F$4</c:f>
              <c:strCache>
                <c:ptCount val="1"/>
                <c:pt idx="0">
                  <c:v>Décor</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Graphs'!$G$2</c:f>
              <c:strCache>
                <c:ptCount val="1"/>
                <c:pt idx="0">
                  <c:v>% of Revenue</c:v>
                </c:pt>
              </c:strCache>
            </c:strRef>
          </c:cat>
          <c:val>
            <c:numRef>
              <c:f>'PPT Graphs'!$G$4</c:f>
              <c:numCache>
                <c:formatCode>0.0%</c:formatCode>
                <c:ptCount val="1"/>
                <c:pt idx="0">
                  <c:v>0.32500000000000001</c:v>
                </c:pt>
              </c:numCache>
            </c:numRef>
          </c:val>
          <c:extLst>
            <c:ext xmlns:c16="http://schemas.microsoft.com/office/drawing/2014/chart" uri="{C3380CC4-5D6E-409C-BE32-E72D297353CC}">
              <c16:uniqueId val="{00000001-8460-C643-AE35-B971E8B9CB3D}"/>
            </c:ext>
          </c:extLst>
        </c:ser>
        <c:ser>
          <c:idx val="2"/>
          <c:order val="2"/>
          <c:tx>
            <c:strRef>
              <c:f>'PPT Graphs'!$F$5</c:f>
              <c:strCache>
                <c:ptCount val="1"/>
                <c:pt idx="0">
                  <c:v>Hardlines</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Graphs'!$G$2</c:f>
              <c:strCache>
                <c:ptCount val="1"/>
                <c:pt idx="0">
                  <c:v>% of Revenue</c:v>
                </c:pt>
              </c:strCache>
            </c:strRef>
          </c:cat>
          <c:val>
            <c:numRef>
              <c:f>'PPT Graphs'!$G$5</c:f>
              <c:numCache>
                <c:formatCode>0.0%</c:formatCode>
                <c:ptCount val="1"/>
                <c:pt idx="0">
                  <c:v>0.29299999999999998</c:v>
                </c:pt>
              </c:numCache>
            </c:numRef>
          </c:val>
          <c:extLst>
            <c:ext xmlns:c16="http://schemas.microsoft.com/office/drawing/2014/chart" uri="{C3380CC4-5D6E-409C-BE32-E72D297353CC}">
              <c16:uniqueId val="{00000002-8460-C643-AE35-B971E8B9CB3D}"/>
            </c:ext>
          </c:extLst>
        </c:ser>
        <c:ser>
          <c:idx val="3"/>
          <c:order val="3"/>
          <c:tx>
            <c:strRef>
              <c:f>'PPT Graphs'!$F$6</c:f>
              <c:strCache>
                <c:ptCount val="1"/>
                <c:pt idx="0">
                  <c:v>Other</c:v>
                </c:pt>
              </c:strCache>
            </c:strRef>
          </c:tx>
          <c:spPr>
            <a:solidFill>
              <a:schemeClr val="bg1">
                <a:lumMod val="85000"/>
              </a:schemeClr>
            </a:solidFill>
            <a:ln>
              <a:noFill/>
            </a:ln>
            <a:effectLst/>
          </c:spPr>
          <c:invertIfNegative val="0"/>
          <c:cat>
            <c:strRef>
              <c:f>'PPT Graphs'!$G$2</c:f>
              <c:strCache>
                <c:ptCount val="1"/>
                <c:pt idx="0">
                  <c:v>% of Revenue</c:v>
                </c:pt>
              </c:strCache>
            </c:strRef>
          </c:cat>
          <c:val>
            <c:numRef>
              <c:f>'PPT Graphs'!$G$6</c:f>
              <c:numCache>
                <c:formatCode>0.0%</c:formatCode>
                <c:ptCount val="1"/>
                <c:pt idx="0">
                  <c:v>4.0000000000000036E-2</c:v>
                </c:pt>
              </c:numCache>
            </c:numRef>
          </c:val>
          <c:extLst>
            <c:ext xmlns:c16="http://schemas.microsoft.com/office/drawing/2014/chart" uri="{C3380CC4-5D6E-409C-BE32-E72D297353CC}">
              <c16:uniqueId val="{00000003-8460-C643-AE35-B971E8B9CB3D}"/>
            </c:ext>
          </c:extLst>
        </c:ser>
        <c:dLbls>
          <c:showLegendKey val="0"/>
          <c:showVal val="0"/>
          <c:showCatName val="0"/>
          <c:showSerName val="0"/>
          <c:showPercent val="0"/>
          <c:showBubbleSize val="0"/>
        </c:dLbls>
        <c:gapWidth val="150"/>
        <c:overlap val="100"/>
        <c:axId val="1042242000"/>
        <c:axId val="1042096368"/>
      </c:barChart>
      <c:catAx>
        <c:axId val="104224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096368"/>
        <c:crosses val="autoZero"/>
        <c:auto val="1"/>
        <c:lblAlgn val="ctr"/>
        <c:lblOffset val="100"/>
        <c:noMultiLvlLbl val="0"/>
      </c:catAx>
      <c:valAx>
        <c:axId val="1042096368"/>
        <c:scaling>
          <c:orientation val="minMax"/>
        </c:scaling>
        <c:delete val="1"/>
        <c:axPos val="l"/>
        <c:numFmt formatCode="0.0%" sourceLinked="1"/>
        <c:majorTickMark val="none"/>
        <c:minorTickMark val="none"/>
        <c:tickLblPos val="nextTo"/>
        <c:crossAx val="104224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a:t>
            </a:r>
            <a:r>
              <a:rPr lang="en-US" b="1" baseline="0"/>
              <a:t> </a:t>
            </a:r>
            <a:r>
              <a:rPr lang="en-US" b="1"/>
              <a:t>Resilient Inventory Turnover Despite COVID-19 Disruptions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34925" cap="rnd">
              <a:solidFill>
                <a:srgbClr val="F96302"/>
              </a:solidFill>
              <a:round/>
            </a:ln>
            <a:effectLst/>
          </c:spPr>
          <c:marker>
            <c:symbol val="square"/>
            <c:size val="7"/>
            <c:spPr>
              <a:solidFill>
                <a:srgbClr val="F96302"/>
              </a:solidFill>
              <a:ln w="9525">
                <a:solidFill>
                  <a:srgbClr val="F96302"/>
                </a:solidFill>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62-9F45-A866-C896300C7487}"/>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62-9F45-A866-C896300C7487}"/>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62-9F45-A866-C896300C748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Ratios'!$E$7:$N$7</c:f>
              <c:numCache>
                <c:formatCode>0.00</c:formatCode>
                <c:ptCount val="10"/>
                <c:pt idx="0">
                  <c:v>4.8941240184132138</c:v>
                </c:pt>
                <c:pt idx="1">
                  <c:v>4.9330171902786013</c:v>
                </c:pt>
                <c:pt idx="2">
                  <c:v>4.9631046298509842</c:v>
                </c:pt>
                <c:pt idx="3">
                  <c:v>5.2202698462503916</c:v>
                </c:pt>
                <c:pt idx="4">
                  <c:v>5.101831238779174</c:v>
                </c:pt>
                <c:pt idx="5">
                  <c:v>4.9998623632234533</c:v>
                </c:pt>
                <c:pt idx="6">
                  <c:v>5.2479100258615503</c:v>
                </c:pt>
                <c:pt idx="7">
                  <c:v>4.5461754576762736</c:v>
                </c:pt>
                <c:pt idx="8">
                  <c:v>4.2041710198505182</c:v>
                </c:pt>
                <c:pt idx="9">
                  <c:v>4.8488272311212812</c:v>
                </c:pt>
              </c:numCache>
            </c:numRef>
          </c:val>
          <c:smooth val="0"/>
          <c:extLst>
            <c:ext xmlns:c16="http://schemas.microsoft.com/office/drawing/2014/chart" uri="{C3380CC4-5D6E-409C-BE32-E72D297353CC}">
              <c16:uniqueId val="{00000003-7762-9F45-A866-C896300C7487}"/>
            </c:ext>
          </c:extLst>
        </c:ser>
        <c:ser>
          <c:idx val="1"/>
          <c:order val="1"/>
          <c:tx>
            <c:strRef>
              <c:f>'Consolidated Ratios'!$A$11</c:f>
              <c:strCache>
                <c:ptCount val="1"/>
                <c:pt idx="0">
                  <c:v>Floor &amp; Decor</c:v>
                </c:pt>
              </c:strCache>
            </c:strRef>
          </c:tx>
          <c:spPr>
            <a:ln w="28575" cap="rnd">
              <a:solidFill>
                <a:srgbClr val="FF0000">
                  <a:alpha val="30000"/>
                </a:srgbClr>
              </a:solidFill>
              <a:round/>
            </a:ln>
            <a:effectLst/>
          </c:spPr>
          <c:marker>
            <c:symbol val="none"/>
          </c:marker>
          <c:dPt>
            <c:idx val="6"/>
            <c:marker>
              <c:symbol val="none"/>
            </c:marker>
            <c:bubble3D val="0"/>
            <c:extLst>
              <c:ext xmlns:c16="http://schemas.microsoft.com/office/drawing/2014/chart" uri="{C3380CC4-5D6E-409C-BE32-E72D297353CC}">
                <c16:uniqueId val="{00000004-7762-9F45-A866-C896300C7487}"/>
              </c:ext>
            </c:extLst>
          </c:dPt>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62-9F45-A866-C896300C7487}"/>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62-9F45-A866-C896300C74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Ratios'!$E$16:$N$16</c:f>
              <c:numCache>
                <c:formatCode>0.00</c:formatCode>
                <c:ptCount val="10"/>
                <c:pt idx="0">
                  <c:v>1.7294336479937189</c:v>
                </c:pt>
                <c:pt idx="1">
                  <c:v>2.1160802446016711</c:v>
                </c:pt>
                <c:pt idx="2">
                  <c:v>1.8978922771351792</c:v>
                </c:pt>
                <c:pt idx="3">
                  <c:v>2.1391720840569493</c:v>
                </c:pt>
                <c:pt idx="4">
                  <c:v>2.0321586622326486</c:v>
                </c:pt>
                <c:pt idx="5">
                  <c:v>2.1267522935779817</c:v>
                </c:pt>
                <c:pt idx="6">
                  <c:v>1.9950057084702588</c:v>
                </c:pt>
                <c:pt idx="7">
                  <c:v>1.9629237288135593</c:v>
                </c:pt>
                <c:pt idx="8">
                  <c:v>2.3102978800343532</c:v>
                </c:pt>
              </c:numCache>
            </c:numRef>
          </c:val>
          <c:smooth val="0"/>
          <c:extLst>
            <c:ext xmlns:c16="http://schemas.microsoft.com/office/drawing/2014/chart" uri="{C3380CC4-5D6E-409C-BE32-E72D297353CC}">
              <c16:uniqueId val="{00000006-7762-9F45-A866-C896300C7487}"/>
            </c:ext>
          </c:extLst>
        </c:ser>
        <c:ser>
          <c:idx val="2"/>
          <c:order val="2"/>
          <c:tx>
            <c:strRef>
              <c:f>'Consolidated Ratios'!$A$20</c:f>
              <c:strCache>
                <c:ptCount val="1"/>
                <c:pt idx="0">
                  <c:v>Lowes</c:v>
                </c:pt>
              </c:strCache>
            </c:strRef>
          </c:tx>
          <c:spPr>
            <a:ln w="2857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Ratios'!$E$25:$N$25</c:f>
              <c:numCache>
                <c:formatCode>0.00</c:formatCode>
                <c:ptCount val="10"/>
                <c:pt idx="0">
                  <c:v>4.1145774884973623</c:v>
                </c:pt>
                <c:pt idx="1">
                  <c:v>4.0710509621484459</c:v>
                </c:pt>
                <c:pt idx="2">
                  <c:v>4.0689424364123159</c:v>
                </c:pt>
                <c:pt idx="3">
                  <c:v>3.9682261037479147</c:v>
                </c:pt>
                <c:pt idx="4">
                  <c:v>3.8532760130562851</c:v>
                </c:pt>
                <c:pt idx="5">
                  <c:v>3.7335913195234842</c:v>
                </c:pt>
                <c:pt idx="6">
                  <c:v>3.7068486383004999</c:v>
                </c:pt>
                <c:pt idx="7">
                  <c:v>3.6463504686168706</c:v>
                </c:pt>
                <c:pt idx="8">
                  <c:v>3.4967623570041009</c:v>
                </c:pt>
                <c:pt idx="9">
                  <c:v>3.4055285900319641</c:v>
                </c:pt>
              </c:numCache>
            </c:numRef>
          </c:val>
          <c:smooth val="0"/>
          <c:extLst>
            <c:ext xmlns:c16="http://schemas.microsoft.com/office/drawing/2014/chart" uri="{C3380CC4-5D6E-409C-BE32-E72D297353CC}">
              <c16:uniqueId val="{00000007-7762-9F45-A866-C896300C7487}"/>
            </c:ext>
          </c:extLst>
        </c:ser>
        <c:ser>
          <c:idx val="3"/>
          <c:order val="3"/>
          <c:tx>
            <c:strRef>
              <c:f>'Consolidated Ratios'!$A$29</c:f>
              <c:strCache>
                <c:ptCount val="1"/>
                <c:pt idx="0">
                  <c:v>Walmart</c:v>
                </c:pt>
              </c:strCache>
            </c:strRef>
          </c:tx>
          <c:spPr>
            <a:ln w="28575" cap="rnd">
              <a:solidFill>
                <a:srgbClr val="0071CE">
                  <a:alpha val="25000"/>
                </a:srgbClr>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762-9F45-A866-C896300C7487}"/>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762-9F45-A866-C896300C7487}"/>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62-9F45-A866-C896300C74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Ratios'!$E$34:$N$34</c:f>
              <c:numCache>
                <c:formatCode>0.00</c:formatCode>
                <c:ptCount val="10"/>
                <c:pt idx="0">
                  <c:v>6.6509873934270933</c:v>
                </c:pt>
                <c:pt idx="1">
                  <c:v>6.3805147058823533</c:v>
                </c:pt>
                <c:pt idx="2">
                  <c:v>6.3926669144060444</c:v>
                </c:pt>
                <c:pt idx="3">
                  <c:v>8.3071036063093722</c:v>
                </c:pt>
                <c:pt idx="4">
                  <c:v>8.6711151119612904</c:v>
                </c:pt>
                <c:pt idx="5">
                  <c:v>8.913799724412117</c:v>
                </c:pt>
                <c:pt idx="6">
                  <c:v>9.5999588881529352</c:v>
                </c:pt>
                <c:pt idx="7">
                  <c:v>9.966082795149374</c:v>
                </c:pt>
                <c:pt idx="8">
                  <c:v>10.427961051519036</c:v>
                </c:pt>
                <c:pt idx="9">
                  <c:v>10.858022640171905</c:v>
                </c:pt>
              </c:numCache>
            </c:numRef>
          </c:val>
          <c:smooth val="0"/>
          <c:extLst>
            <c:ext xmlns:c16="http://schemas.microsoft.com/office/drawing/2014/chart" uri="{C3380CC4-5D6E-409C-BE32-E72D297353CC}">
              <c16:uniqueId val="{0000000B-7762-9F45-A866-C896300C7487}"/>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scaling>
        <c:delete val="0"/>
        <c:axPos val="l"/>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 Stable Inventory Management with</a:t>
            </a:r>
            <a:r>
              <a:rPr lang="en-US" b="1" baseline="0"/>
              <a:t> Minimal Disruptions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34925" cap="rnd">
              <a:solidFill>
                <a:srgbClr val="F96302"/>
              </a:solidFill>
              <a:round/>
            </a:ln>
            <a:effectLst/>
          </c:spPr>
          <c:marker>
            <c:symbol val="square"/>
            <c:size val="7"/>
            <c:spPr>
              <a:solidFill>
                <a:srgbClr val="F96302"/>
              </a:solidFill>
              <a:ln w="9525">
                <a:solidFill>
                  <a:srgbClr val="F96302"/>
                </a:solidFill>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C57-5B40-A102-FB5E6EEDC059}"/>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57-5B40-A102-FB5E6EEDC059}"/>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57-5B40-A102-FB5E6EEDC059}"/>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57-5B40-A102-FB5E6EEDC05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Ratios'!$E$8:$N$8</c:f>
              <c:numCache>
                <c:formatCode>0.00</c:formatCode>
                <c:ptCount val="10"/>
                <c:pt idx="0">
                  <c:v>74.579229832909164</c:v>
                </c:pt>
                <c:pt idx="1">
                  <c:v>73.991228070175438</c:v>
                </c:pt>
                <c:pt idx="2">
                  <c:v>73.542676856876781</c:v>
                </c:pt>
                <c:pt idx="3">
                  <c:v>69.919757167758618</c:v>
                </c:pt>
                <c:pt idx="4">
                  <c:v>71.542938783553623</c:v>
                </c:pt>
                <c:pt idx="5">
                  <c:v>73.002009552255245</c:v>
                </c:pt>
                <c:pt idx="6">
                  <c:v>69.551497301076139</c:v>
                </c:pt>
                <c:pt idx="7">
                  <c:v>80.287266384251183</c:v>
                </c:pt>
                <c:pt idx="8">
                  <c:v>86.818542413381124</c:v>
                </c:pt>
                <c:pt idx="9">
                  <c:v>75.27593428310179</c:v>
                </c:pt>
              </c:numCache>
            </c:numRef>
          </c:val>
          <c:smooth val="0"/>
          <c:extLst>
            <c:ext xmlns:c16="http://schemas.microsoft.com/office/drawing/2014/chart" uri="{C3380CC4-5D6E-409C-BE32-E72D297353CC}">
              <c16:uniqueId val="{00000004-4C57-5B40-A102-FB5E6EEDC059}"/>
            </c:ext>
          </c:extLst>
        </c:ser>
        <c:ser>
          <c:idx val="1"/>
          <c:order val="1"/>
          <c:tx>
            <c:strRef>
              <c:f>'Consolidated Ratios'!$A$11</c:f>
              <c:strCache>
                <c:ptCount val="1"/>
                <c:pt idx="0">
                  <c:v>Floor &amp; Decor</c:v>
                </c:pt>
              </c:strCache>
            </c:strRef>
          </c:tx>
          <c:spPr>
            <a:ln w="28575" cap="rnd">
              <a:solidFill>
                <a:srgbClr val="FF0000">
                  <a:alpha val="30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Ratios'!$E$17:$N$17</c:f>
              <c:numCache>
                <c:formatCode>0.00</c:formatCode>
                <c:ptCount val="10"/>
                <c:pt idx="0">
                  <c:v>211.0517512038864</c:v>
                </c:pt>
                <c:pt idx="1">
                  <c:v>172.48873284987698</c:v>
                </c:pt>
                <c:pt idx="2">
                  <c:v>192.31860754023319</c:v>
                </c:pt>
                <c:pt idx="3">
                  <c:v>170.62675916552533</c:v>
                </c:pt>
                <c:pt idx="4">
                  <c:v>179.61195982551362</c:v>
                </c:pt>
                <c:pt idx="5">
                  <c:v>171.62318390447595</c:v>
                </c:pt>
                <c:pt idx="6">
                  <c:v>182.95686997300709</c:v>
                </c:pt>
                <c:pt idx="7">
                  <c:v>185.94711279007015</c:v>
                </c:pt>
                <c:pt idx="8">
                  <c:v>157.98828504078989</c:v>
                </c:pt>
              </c:numCache>
            </c:numRef>
          </c:val>
          <c:smooth val="0"/>
          <c:extLst>
            <c:ext xmlns:c16="http://schemas.microsoft.com/office/drawing/2014/chart" uri="{C3380CC4-5D6E-409C-BE32-E72D297353CC}">
              <c16:uniqueId val="{00000005-4C57-5B40-A102-FB5E6EEDC059}"/>
            </c:ext>
          </c:extLst>
        </c:ser>
        <c:ser>
          <c:idx val="2"/>
          <c:order val="2"/>
          <c:tx>
            <c:strRef>
              <c:f>'Consolidated Ratios'!$A$20</c:f>
              <c:strCache>
                <c:ptCount val="1"/>
                <c:pt idx="0">
                  <c:v>Lowes</c:v>
                </c:pt>
              </c:strCache>
            </c:strRef>
          </c:tx>
          <c:spPr>
            <a:ln w="2857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Ratios'!$E$26:$N$26</c:f>
              <c:numCache>
                <c:formatCode>0.00</c:formatCode>
                <c:ptCount val="10"/>
                <c:pt idx="0">
                  <c:v>88.708986772126011</c:v>
                </c:pt>
                <c:pt idx="1">
                  <c:v>89.657438188240178</c:v>
                </c:pt>
                <c:pt idx="2">
                  <c:v>89.70389866754401</c:v>
                </c:pt>
                <c:pt idx="3">
                  <c:v>91.98064587480647</c:v>
                </c:pt>
                <c:pt idx="4">
                  <c:v>94.724592467097793</c:v>
                </c:pt>
                <c:pt idx="5">
                  <c:v>97.761101514073772</c:v>
                </c:pt>
                <c:pt idx="6">
                  <c:v>98.46638900458143</c:v>
                </c:pt>
                <c:pt idx="7">
                  <c:v>100.10008723556717</c:v>
                </c:pt>
                <c:pt idx="8">
                  <c:v>104.38227215209407</c:v>
                </c:pt>
                <c:pt idx="9">
                  <c:v>107.17866268054856</c:v>
                </c:pt>
              </c:numCache>
            </c:numRef>
          </c:val>
          <c:smooth val="0"/>
          <c:extLst>
            <c:ext xmlns:c16="http://schemas.microsoft.com/office/drawing/2014/chart" uri="{C3380CC4-5D6E-409C-BE32-E72D297353CC}">
              <c16:uniqueId val="{00000006-4C57-5B40-A102-FB5E6EEDC059}"/>
            </c:ext>
          </c:extLst>
        </c:ser>
        <c:ser>
          <c:idx val="3"/>
          <c:order val="3"/>
          <c:tx>
            <c:strRef>
              <c:f>'Consolidated Ratios'!$A$29</c:f>
              <c:strCache>
                <c:ptCount val="1"/>
                <c:pt idx="0">
                  <c:v>Walmart</c:v>
                </c:pt>
              </c:strCache>
            </c:strRef>
          </c:tx>
          <c:spPr>
            <a:ln w="2857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Ratios'!$E$35:$N$35</c:f>
              <c:numCache>
                <c:formatCode>0.00</c:formatCode>
                <c:ptCount val="10"/>
                <c:pt idx="0">
                  <c:v>54.879069589083116</c:v>
                </c:pt>
                <c:pt idx="1">
                  <c:v>57.205416306539902</c:v>
                </c:pt>
                <c:pt idx="2">
                  <c:v>57.096671058750587</c:v>
                </c:pt>
                <c:pt idx="3">
                  <c:v>43.938298749852706</c:v>
                </c:pt>
                <c:pt idx="4">
                  <c:v>42.093778630213791</c:v>
                </c:pt>
                <c:pt idx="5">
                  <c:v>40.947745213567998</c:v>
                </c:pt>
                <c:pt idx="6">
                  <c:v>38.020996157643673</c:v>
                </c:pt>
                <c:pt idx="7">
                  <c:v>36.624219114219116</c:v>
                </c:pt>
                <c:pt idx="8">
                  <c:v>35.002048645629593</c:v>
                </c:pt>
                <c:pt idx="9">
                  <c:v>33.61569708370228</c:v>
                </c:pt>
              </c:numCache>
            </c:numRef>
          </c:val>
          <c:smooth val="0"/>
          <c:extLst>
            <c:ext xmlns:c16="http://schemas.microsoft.com/office/drawing/2014/chart" uri="{C3380CC4-5D6E-409C-BE32-E72D297353CC}">
              <c16:uniqueId val="{00000007-4C57-5B40-A102-FB5E6EEDC059}"/>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ax val="220"/>
          <c:min val="30"/>
        </c:scaling>
        <c:delete val="0"/>
        <c:axPos val="l"/>
        <c:numFmt formatCode="0" sourceLinked="0"/>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 Optimized Asset Utilization Drives Consistent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34925" cap="rnd">
              <a:solidFill>
                <a:srgbClr val="F96302"/>
              </a:solidFill>
              <a:round/>
            </a:ln>
            <a:effectLst/>
          </c:spPr>
          <c:marker>
            <c:symbol val="square"/>
            <c:size val="7"/>
            <c:spPr>
              <a:solidFill>
                <a:srgbClr val="F96302"/>
              </a:solidFill>
              <a:ln w="9525">
                <a:solidFill>
                  <a:srgbClr val="F96302"/>
                </a:solidFill>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DF-C14B-99AF-2726DAF82D10}"/>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DF-C14B-99AF-2726DAF82D10}"/>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DF-C14B-99AF-2726DAF82D10}"/>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DF-C14B-99AF-2726DAF82D1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Ratios'!$E$9:$N$9</c:f>
              <c:numCache>
                <c:formatCode>0.00</c:formatCode>
                <c:ptCount val="10"/>
                <c:pt idx="0">
                  <c:v>2.0822109848295196</c:v>
                </c:pt>
                <c:pt idx="1">
                  <c:v>2.0804014195398248</c:v>
                </c:pt>
                <c:pt idx="2">
                  <c:v>2.2016245403342176</c:v>
                </c:pt>
                <c:pt idx="3">
                  <c:v>2.266028880055694</c:v>
                </c:pt>
                <c:pt idx="4">
                  <c:v>2.4589914324023363</c:v>
                </c:pt>
                <c:pt idx="5">
                  <c:v>2.1513193848075569</c:v>
                </c:pt>
                <c:pt idx="6">
                  <c:v>1.8717501877275755</c:v>
                </c:pt>
                <c:pt idx="7">
                  <c:v>2.1030246535700372</c:v>
                </c:pt>
                <c:pt idx="8">
                  <c:v>2.059035908169272</c:v>
                </c:pt>
                <c:pt idx="9">
                  <c:v>1.9948908924604731</c:v>
                </c:pt>
              </c:numCache>
            </c:numRef>
          </c:val>
          <c:smooth val="0"/>
          <c:extLst>
            <c:ext xmlns:c16="http://schemas.microsoft.com/office/drawing/2014/chart" uri="{C3380CC4-5D6E-409C-BE32-E72D297353CC}">
              <c16:uniqueId val="{00000004-4BDF-C14B-99AF-2726DAF82D10}"/>
            </c:ext>
          </c:extLst>
        </c:ser>
        <c:ser>
          <c:idx val="1"/>
          <c:order val="1"/>
          <c:tx>
            <c:strRef>
              <c:f>'Consolidated Ratios'!$A$11</c:f>
              <c:strCache>
                <c:ptCount val="1"/>
                <c:pt idx="0">
                  <c:v>Floor &amp; Decor</c:v>
                </c:pt>
              </c:strCache>
            </c:strRef>
          </c:tx>
          <c:spPr>
            <a:ln w="28575" cap="rnd">
              <a:solidFill>
                <a:srgbClr val="FF0000">
                  <a:alpha val="70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Ratios'!$E$18:$N$18</c:f>
              <c:numCache>
                <c:formatCode>0.00</c:formatCode>
                <c:ptCount val="10"/>
                <c:pt idx="0">
                  <c:v>1.0469015393490082</c:v>
                </c:pt>
                <c:pt idx="1">
                  <c:v>1.2641987280519176</c:v>
                </c:pt>
                <c:pt idx="2">
                  <c:v>1.2966080270264198</c:v>
                </c:pt>
                <c:pt idx="3">
                  <c:v>1.3855120894650395</c:v>
                </c:pt>
                <c:pt idx="4">
                  <c:v>0.88002756948409189</c:v>
                </c:pt>
                <c:pt idx="5">
                  <c:v>0.84216322244113284</c:v>
                </c:pt>
                <c:pt idx="6">
                  <c:v>0.92034674504348379</c:v>
                </c:pt>
                <c:pt idx="7">
                  <c:v>0.98005879700554455</c:v>
                </c:pt>
                <c:pt idx="8">
                  <c:v>0.94666738158303931</c:v>
                </c:pt>
              </c:numCache>
            </c:numRef>
          </c:val>
          <c:smooth val="0"/>
          <c:extLst>
            <c:ext xmlns:c16="http://schemas.microsoft.com/office/drawing/2014/chart" uri="{C3380CC4-5D6E-409C-BE32-E72D297353CC}">
              <c16:uniqueId val="{00000005-4BDF-C14B-99AF-2726DAF82D10}"/>
            </c:ext>
          </c:extLst>
        </c:ser>
        <c:ser>
          <c:idx val="2"/>
          <c:order val="2"/>
          <c:tx>
            <c:strRef>
              <c:f>'Consolidated Ratios'!$A$20</c:f>
              <c:strCache>
                <c:ptCount val="1"/>
                <c:pt idx="0">
                  <c:v>Lowes</c:v>
                </c:pt>
              </c:strCache>
            </c:strRef>
          </c:tx>
          <c:spPr>
            <a:ln w="2857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Ratios'!$E$27:$N$27</c:f>
              <c:numCache>
                <c:formatCode>0.00</c:formatCode>
                <c:ptCount val="10"/>
                <c:pt idx="0">
                  <c:v>1.7665189933075689</c:v>
                </c:pt>
                <c:pt idx="1">
                  <c:v>1.8894006268790378</c:v>
                </c:pt>
                <c:pt idx="2">
                  <c:v>1.8895896303185307</c:v>
                </c:pt>
                <c:pt idx="3">
                  <c:v>1.944376753279873</c:v>
                </c:pt>
                <c:pt idx="4">
                  <c:v>2.066448359800626</c:v>
                </c:pt>
                <c:pt idx="5">
                  <c:v>1.8278736287400879</c:v>
                </c:pt>
                <c:pt idx="6">
                  <c:v>1.9171284904247352</c:v>
                </c:pt>
                <c:pt idx="7">
                  <c:v>2.1561379928315412</c:v>
                </c:pt>
                <c:pt idx="8">
                  <c:v>2.2206232268692232</c:v>
                </c:pt>
                <c:pt idx="9">
                  <c:v>2.0666826175379831</c:v>
                </c:pt>
              </c:numCache>
            </c:numRef>
          </c:val>
          <c:smooth val="0"/>
          <c:extLst>
            <c:ext xmlns:c16="http://schemas.microsoft.com/office/drawing/2014/chart" uri="{C3380CC4-5D6E-409C-BE32-E72D297353CC}">
              <c16:uniqueId val="{00000006-4BDF-C14B-99AF-2726DAF82D10}"/>
            </c:ext>
          </c:extLst>
        </c:ser>
        <c:ser>
          <c:idx val="3"/>
          <c:order val="3"/>
          <c:tx>
            <c:strRef>
              <c:f>'Consolidated Ratios'!$A$29</c:f>
              <c:strCache>
                <c:ptCount val="1"/>
                <c:pt idx="0">
                  <c:v>Walmart</c:v>
                </c:pt>
              </c:strCache>
            </c:strRef>
          </c:tx>
          <c:spPr>
            <a:ln w="2857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Ratios'!$E$36:$N$36</c:f>
              <c:numCache>
                <c:formatCode>0.00</c:formatCode>
                <c:ptCount val="10"/>
                <c:pt idx="0">
                  <c:v>1.9241399530109071</c:v>
                </c:pt>
                <c:pt idx="1">
                  <c:v>1.9824668889830055</c:v>
                </c:pt>
                <c:pt idx="2">
                  <c:v>1.984288981458793</c:v>
                </c:pt>
                <c:pt idx="3">
                  <c:v>1.9815878271338949</c:v>
                </c:pt>
                <c:pt idx="4">
                  <c:v>2.1751199813949555</c:v>
                </c:pt>
                <c:pt idx="5">
                  <c:v>2.3893112018057865</c:v>
                </c:pt>
                <c:pt idx="6">
                  <c:v>2.7339406029669182</c:v>
                </c:pt>
                <c:pt idx="7">
                  <c:v>2.8806940777065257</c:v>
                </c:pt>
                <c:pt idx="8">
                  <c:v>3.0628616952515522</c:v>
                </c:pt>
                <c:pt idx="9">
                  <c:v>3.1816686793712505</c:v>
                </c:pt>
              </c:numCache>
            </c:numRef>
          </c:val>
          <c:smooth val="0"/>
          <c:extLst>
            <c:ext xmlns:c16="http://schemas.microsoft.com/office/drawing/2014/chart" uri="{C3380CC4-5D6E-409C-BE32-E72D297353CC}">
              <c16:uniqueId val="{00000007-4BDF-C14B-99AF-2726DAF82D10}"/>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ax val="3.3"/>
          <c:min val="0.6"/>
        </c:scaling>
        <c:delete val="0"/>
        <c:axPos val="l"/>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a:t>
            </a:r>
            <a:r>
              <a:rPr lang="en-US" b="1" baseline="0"/>
              <a:t> Consistent Strong Profit Margins Reflects Operational Excellence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8575" cap="rnd">
              <a:solidFill>
                <a:srgbClr val="F96302"/>
              </a:solidFill>
              <a:round/>
            </a:ln>
            <a:effectLst/>
          </c:spPr>
          <c:marker>
            <c:symbol val="square"/>
            <c:size val="7"/>
            <c:spPr>
              <a:solidFill>
                <a:srgbClr val="F96302"/>
              </a:solidFill>
              <a:ln w="9525">
                <a:solidFill>
                  <a:srgbClr val="F96302"/>
                </a:solidFill>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86-B14D-82BC-4570374A3FB8}"/>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86-B14D-82BC-4570374A3FB8}"/>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86-B14D-82BC-4570374A3FB8}"/>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86-B14D-82BC-4570374A3FB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Ratios'!$E$10:$N$10</c:f>
              <c:numCache>
                <c:formatCode>0.00</c:formatCode>
                <c:ptCount val="10"/>
                <c:pt idx="0">
                  <c:v>7.6284024237760886E-2</c:v>
                </c:pt>
                <c:pt idx="1">
                  <c:v>7.9180740857894921E-2</c:v>
                </c:pt>
                <c:pt idx="2">
                  <c:v>8.4116496643585809E-2</c:v>
                </c:pt>
                <c:pt idx="3">
                  <c:v>8.5526837389994448E-2</c:v>
                </c:pt>
                <c:pt idx="4">
                  <c:v>0.10277903570141309</c:v>
                </c:pt>
                <c:pt idx="5">
                  <c:v>0.10199138126559311</c:v>
                </c:pt>
                <c:pt idx="6">
                  <c:v>9.738853985315267E-2</c:v>
                </c:pt>
                <c:pt idx="7">
                  <c:v>0.10871477999695681</c:v>
                </c:pt>
                <c:pt idx="8">
                  <c:v>0.10867010158637383</c:v>
                </c:pt>
                <c:pt idx="9">
                  <c:v>9.9188440351348342E-2</c:v>
                </c:pt>
              </c:numCache>
            </c:numRef>
          </c:val>
          <c:smooth val="0"/>
          <c:extLst>
            <c:ext xmlns:c16="http://schemas.microsoft.com/office/drawing/2014/chart" uri="{C3380CC4-5D6E-409C-BE32-E72D297353CC}">
              <c16:uniqueId val="{00000004-B686-B14D-82BC-4570374A3FB8}"/>
            </c:ext>
          </c:extLst>
        </c:ser>
        <c:ser>
          <c:idx val="1"/>
          <c:order val="1"/>
          <c:tx>
            <c:strRef>
              <c:f>'Consolidated Ratios'!$A$11</c:f>
              <c:strCache>
                <c:ptCount val="1"/>
                <c:pt idx="0">
                  <c:v>Floor &amp; Decor</c:v>
                </c:pt>
              </c:strCache>
            </c:strRef>
          </c:tx>
          <c:spPr>
            <a:ln w="28575" cap="rnd">
              <a:solidFill>
                <a:srgbClr val="FF0000">
                  <a:alpha val="70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Ratios'!$E$19:$N$19</c:f>
              <c:numCache>
                <c:formatCode>0.00%</c:formatCode>
                <c:ptCount val="10"/>
                <c:pt idx="0">
                  <c:v>3.4192078692673072E-2</c:v>
                </c:pt>
                <c:pt idx="1">
                  <c:v>4.0959915641931216E-2</c:v>
                </c:pt>
                <c:pt idx="2">
                  <c:v>7.422764985011919E-2</c:v>
                </c:pt>
                <c:pt idx="3">
                  <c:v>6.7951654182126134E-2</c:v>
                </c:pt>
                <c:pt idx="4">
                  <c:v>7.364176985474144E-2</c:v>
                </c:pt>
                <c:pt idx="5">
                  <c:v>8.0378417240088582E-2</c:v>
                </c:pt>
                <c:pt idx="6">
                  <c:v>8.2489377559499213E-2</c:v>
                </c:pt>
                <c:pt idx="7">
                  <c:v>6.992540461623277E-2</c:v>
                </c:pt>
                <c:pt idx="8">
                  <c:v>5.5728696087164957E-2</c:v>
                </c:pt>
              </c:numCache>
            </c:numRef>
          </c:val>
          <c:smooth val="0"/>
          <c:extLst>
            <c:ext xmlns:c16="http://schemas.microsoft.com/office/drawing/2014/chart" uri="{C3380CC4-5D6E-409C-BE32-E72D297353CC}">
              <c16:uniqueId val="{00000005-B686-B14D-82BC-4570374A3FB8}"/>
            </c:ext>
          </c:extLst>
        </c:ser>
        <c:ser>
          <c:idx val="2"/>
          <c:order val="2"/>
          <c:tx>
            <c:strRef>
              <c:f>'Consolidated Ratios'!$A$20</c:f>
              <c:strCache>
                <c:ptCount val="1"/>
                <c:pt idx="0">
                  <c:v>Lowes</c:v>
                </c:pt>
              </c:strCache>
            </c:strRef>
          </c:tx>
          <c:spPr>
            <a:ln w="2857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Ratios'!$E$28:$N$28</c:f>
              <c:numCache>
                <c:formatCode>0.00%</c:formatCode>
                <c:ptCount val="10"/>
                <c:pt idx="0">
                  <c:v>4.798747843409281E-2</c:v>
                </c:pt>
                <c:pt idx="1">
                  <c:v>4.30984866438704E-2</c:v>
                </c:pt>
                <c:pt idx="2">
                  <c:v>4.7572173431564051E-2</c:v>
                </c:pt>
                <c:pt idx="3">
                  <c:v>5.023390023171425E-2</c:v>
                </c:pt>
                <c:pt idx="4">
                  <c:v>3.2450321838758081E-2</c:v>
                </c:pt>
                <c:pt idx="5">
                  <c:v>5.9336364140378114E-2</c:v>
                </c:pt>
                <c:pt idx="6">
                  <c:v>6.5124948379968073E-2</c:v>
                </c:pt>
                <c:pt idx="7">
                  <c:v>8.7709090909090903E-2</c:v>
                </c:pt>
                <c:pt idx="8">
                  <c:v>6.6320485477905186E-2</c:v>
                </c:pt>
                <c:pt idx="9">
                  <c:v>8.9445106915035252E-2</c:v>
                </c:pt>
              </c:numCache>
            </c:numRef>
          </c:val>
          <c:smooth val="0"/>
          <c:extLst>
            <c:ext xmlns:c16="http://schemas.microsoft.com/office/drawing/2014/chart" uri="{C3380CC4-5D6E-409C-BE32-E72D297353CC}">
              <c16:uniqueId val="{00000006-B686-B14D-82BC-4570374A3FB8}"/>
            </c:ext>
          </c:extLst>
        </c:ser>
        <c:ser>
          <c:idx val="3"/>
          <c:order val="3"/>
          <c:tx>
            <c:strRef>
              <c:f>'Consolidated Ratios'!$A$29</c:f>
              <c:strCache>
                <c:ptCount val="1"/>
                <c:pt idx="0">
                  <c:v>Walmart</c:v>
                </c:pt>
              </c:strCache>
            </c:strRef>
          </c:tx>
          <c:spPr>
            <a:ln w="2857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Ratios'!$E$37:$N$37</c:f>
              <c:numCache>
                <c:formatCode>0.00%</c:formatCode>
                <c:ptCount val="10"/>
                <c:pt idx="0">
                  <c:v>3.369291940096901E-2</c:v>
                </c:pt>
                <c:pt idx="1">
                  <c:v>3.0477257171302344E-2</c:v>
                </c:pt>
                <c:pt idx="2">
                  <c:v>2.8079354069890691E-2</c:v>
                </c:pt>
                <c:pt idx="3">
                  <c:v>1.9710478611672393E-2</c:v>
                </c:pt>
                <c:pt idx="4">
                  <c:v>1.2966436951429322E-2</c:v>
                </c:pt>
                <c:pt idx="5">
                  <c:v>2.8400806162255422E-2</c:v>
                </c:pt>
                <c:pt idx="6">
                  <c:v>2.4161630758059986E-2</c:v>
                </c:pt>
                <c:pt idx="7">
                  <c:v>2.3872378019184501E-2</c:v>
                </c:pt>
                <c:pt idx="8">
                  <c:v>1.9107165350595218E-2</c:v>
                </c:pt>
                <c:pt idx="9">
                  <c:v>2.3932111861137896E-2</c:v>
                </c:pt>
              </c:numCache>
            </c:numRef>
          </c:val>
          <c:smooth val="0"/>
          <c:extLst>
            <c:ext xmlns:c16="http://schemas.microsoft.com/office/drawing/2014/chart" uri="{C3380CC4-5D6E-409C-BE32-E72D297353CC}">
              <c16:uniqueId val="{00000007-B686-B14D-82BC-4570374A3FB8}"/>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scaling>
        <c:delete val="0"/>
        <c:axPos val="l"/>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Key Risks Affecting Home</a:t>
            </a:r>
            <a:r>
              <a:rPr lang="en-US" b="1" baseline="0"/>
              <a:t> Depot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'PPT Graphs'!$C$59</c:f>
              <c:strCache>
                <c:ptCount val="1"/>
                <c:pt idx="0">
                  <c:v>Risk Probability</c:v>
                </c:pt>
              </c:strCache>
            </c:strRef>
          </c:tx>
          <c:spPr>
            <a:solidFill>
              <a:srgbClr val="F96302"/>
            </a:solidFill>
            <a:ln>
              <a:noFill/>
            </a:ln>
            <a:effectLst/>
          </c:spPr>
          <c:invertIfNegative val="0"/>
          <c:dPt>
            <c:idx val="4"/>
            <c:invertIfNegative val="0"/>
            <c:bubble3D val="0"/>
            <c:spPr>
              <a:solidFill>
                <a:srgbClr val="F96302">
                  <a:alpha val="85000"/>
                </a:srgbClr>
              </a:solidFill>
              <a:ln>
                <a:noFill/>
              </a:ln>
              <a:effectLst/>
            </c:spPr>
            <c:extLst>
              <c:ext xmlns:c16="http://schemas.microsoft.com/office/drawing/2014/chart" uri="{C3380CC4-5D6E-409C-BE32-E72D297353CC}">
                <c16:uniqueId val="{00000001-B41E-1D47-A6A9-9DDBB26A2053}"/>
              </c:ext>
            </c:extLst>
          </c:dPt>
          <c:dPt>
            <c:idx val="5"/>
            <c:invertIfNegative val="0"/>
            <c:bubble3D val="0"/>
            <c:spPr>
              <a:solidFill>
                <a:srgbClr val="F96302">
                  <a:alpha val="85000"/>
                </a:srgbClr>
              </a:solidFill>
              <a:ln>
                <a:noFill/>
              </a:ln>
              <a:effectLst/>
            </c:spPr>
            <c:extLst>
              <c:ext xmlns:c16="http://schemas.microsoft.com/office/drawing/2014/chart" uri="{C3380CC4-5D6E-409C-BE32-E72D297353CC}">
                <c16:uniqueId val="{00000003-B41E-1D47-A6A9-9DDBB26A2053}"/>
              </c:ext>
            </c:extLst>
          </c:dPt>
          <c:dLbls>
            <c:dLbl>
              <c:idx val="0"/>
              <c:tx>
                <c:rich>
                  <a:bodyPr/>
                  <a:lstStyle/>
                  <a:p>
                    <a:fld id="{CC231F1A-05BE-6847-9BAE-2ECC4C72621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41E-1D47-A6A9-9DDBB26A2053}"/>
                </c:ext>
              </c:extLst>
            </c:dLbl>
            <c:dLbl>
              <c:idx val="1"/>
              <c:layout>
                <c:manualLayout>
                  <c:x val="0"/>
                  <c:y val="-6.2352656110517012E-2"/>
                </c:manualLayout>
              </c:layout>
              <c:tx>
                <c:rich>
                  <a:bodyPr/>
                  <a:lstStyle/>
                  <a:p>
                    <a:fld id="{88C14DD4-919B-244A-B167-987575B92E0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41E-1D47-A6A9-9DDBB26A2053}"/>
                </c:ext>
              </c:extLst>
            </c:dLbl>
            <c:dLbl>
              <c:idx val="2"/>
              <c:tx>
                <c:rich>
                  <a:bodyPr/>
                  <a:lstStyle/>
                  <a:p>
                    <a:fld id="{9B5EA954-0B7B-5448-A17C-9FAA8B9D4D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41E-1D47-A6A9-9DDBB26A2053}"/>
                </c:ext>
              </c:extLst>
            </c:dLbl>
            <c:dLbl>
              <c:idx val="3"/>
              <c:layout>
                <c:manualLayout>
                  <c:x val="3.7634407805553979E-3"/>
                  <c:y val="-6.6020459411135629E-2"/>
                </c:manualLayout>
              </c:layout>
              <c:tx>
                <c:rich>
                  <a:bodyPr/>
                  <a:lstStyle/>
                  <a:p>
                    <a:fld id="{CD7B4A42-8D56-FC4C-9957-8D3714083F3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41E-1D47-A6A9-9DDBB26A2053}"/>
                </c:ext>
              </c:extLst>
            </c:dLbl>
            <c:dLbl>
              <c:idx val="4"/>
              <c:tx>
                <c:rich>
                  <a:bodyPr/>
                  <a:lstStyle/>
                  <a:p>
                    <a:fld id="{8D8B764B-602F-DD45-B318-BD3AF0E188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41E-1D47-A6A9-9DDBB26A2053}"/>
                </c:ext>
              </c:extLst>
            </c:dLbl>
            <c:dLbl>
              <c:idx val="5"/>
              <c:tx>
                <c:rich>
                  <a:bodyPr/>
                  <a:lstStyle/>
                  <a:p>
                    <a:fld id="{431165DC-A807-C24E-ACF6-7E8E1BABE1D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41E-1D47-A6A9-9DDBB26A205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'PPT Graphs'!$B$60:$B$65</c:f>
              <c:numCache>
                <c:formatCode>General</c:formatCode>
                <c:ptCount val="6"/>
                <c:pt idx="0">
                  <c:v>3</c:v>
                </c:pt>
                <c:pt idx="1">
                  <c:v>3</c:v>
                </c:pt>
                <c:pt idx="2">
                  <c:v>3</c:v>
                </c:pt>
                <c:pt idx="3">
                  <c:v>3</c:v>
                </c:pt>
                <c:pt idx="4">
                  <c:v>2</c:v>
                </c:pt>
                <c:pt idx="5">
                  <c:v>2</c:v>
                </c:pt>
              </c:numCache>
            </c:numRef>
          </c:xVal>
          <c:yVal>
            <c:numRef>
              <c:f>'PPT Graphs'!$C$60:$C$65</c:f>
              <c:numCache>
                <c:formatCode>General</c:formatCode>
                <c:ptCount val="6"/>
                <c:pt idx="0">
                  <c:v>3</c:v>
                </c:pt>
                <c:pt idx="1">
                  <c:v>3</c:v>
                </c:pt>
                <c:pt idx="2">
                  <c:v>2</c:v>
                </c:pt>
                <c:pt idx="3">
                  <c:v>2</c:v>
                </c:pt>
                <c:pt idx="4">
                  <c:v>2</c:v>
                </c:pt>
                <c:pt idx="5">
                  <c:v>1</c:v>
                </c:pt>
              </c:numCache>
            </c:numRef>
          </c:yVal>
          <c:bubbleSize>
            <c:numRef>
              <c:f>'PPT Graphs'!$D$60:$D$65</c:f>
              <c:numCache>
                <c:formatCode>General</c:formatCode>
                <c:ptCount val="6"/>
                <c:pt idx="0">
                  <c:v>300</c:v>
                </c:pt>
                <c:pt idx="1">
                  <c:v>300</c:v>
                </c:pt>
                <c:pt idx="2">
                  <c:v>250</c:v>
                </c:pt>
                <c:pt idx="3">
                  <c:v>250</c:v>
                </c:pt>
                <c:pt idx="4">
                  <c:v>220</c:v>
                </c:pt>
                <c:pt idx="5">
                  <c:v>180</c:v>
                </c:pt>
              </c:numCache>
            </c:numRef>
          </c:bubbleSize>
          <c:bubble3D val="0"/>
          <c:extLst>
            <c:ext xmlns:c15="http://schemas.microsoft.com/office/drawing/2012/chart" uri="{02D57815-91ED-43cb-92C2-25804820EDAC}">
              <c15:datalabelsRange>
                <c15:f>'PPT Graphs'!$A$60:$A$65</c15:f>
                <c15:dlblRangeCache>
                  <c:ptCount val="6"/>
                  <c:pt idx="0">
                    <c:v>Economic Downturns</c:v>
                  </c:pt>
                  <c:pt idx="1">
                    <c:v>Supply Chain Disruptions</c:v>
                  </c:pt>
                  <c:pt idx="2">
                    <c:v>Regulatory &amp; Compliance</c:v>
                  </c:pt>
                  <c:pt idx="3">
                    <c:v>Geopolitical Risks</c:v>
                  </c:pt>
                  <c:pt idx="4">
                    <c:v>Shifting Consumer Preferences</c:v>
                  </c:pt>
                  <c:pt idx="5">
                    <c:v>Acquisition Integration Challenges</c:v>
                  </c:pt>
                </c15:dlblRangeCache>
              </c15:datalabelsRange>
            </c:ext>
            <c:ext xmlns:c16="http://schemas.microsoft.com/office/drawing/2014/chart" uri="{C3380CC4-5D6E-409C-BE32-E72D297353CC}">
              <c16:uniqueId val="{00000008-B41E-1D47-A6A9-9DDBB26A2053}"/>
            </c:ext>
          </c:extLst>
        </c:ser>
        <c:dLbls>
          <c:showLegendKey val="0"/>
          <c:showVal val="0"/>
          <c:showCatName val="0"/>
          <c:showSerName val="0"/>
          <c:showPercent val="0"/>
          <c:showBubbleSize val="0"/>
        </c:dLbls>
        <c:bubbleScale val="100"/>
        <c:showNegBubbles val="0"/>
        <c:axId val="296600847"/>
        <c:axId val="296602559"/>
      </c:bubbleChart>
      <c:valAx>
        <c:axId val="296600847"/>
        <c:scaling>
          <c:orientation val="minMax"/>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Risk Impact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6602559"/>
        <c:crosses val="autoZero"/>
        <c:crossBetween val="midCat"/>
        <c:majorUnit val="1"/>
      </c:valAx>
      <c:valAx>
        <c:axId val="296602559"/>
        <c:scaling>
          <c:orientation val="minMax"/>
          <c:max val="3.5"/>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Risk</a:t>
                </a:r>
                <a:r>
                  <a:rPr lang="en-US" b="1" baseline="0"/>
                  <a:t> Probabikity</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6600847"/>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Market</a:t>
            </a:r>
          </a:p>
          <a:p>
            <a:pPr>
              <a:defRPr b="1"/>
            </a:pPr>
            <a:r>
              <a:rPr lang="en-US" sz="1000" b="1"/>
              <a:t>Fig</a:t>
            </a:r>
            <a:r>
              <a:rPr lang="en-US" sz="1000" b="1" baseline="0"/>
              <a:t>ure 4</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'PPT Graphs'!$B$3</c:f>
              <c:strCache>
                <c:ptCount val="1"/>
                <c:pt idx="0">
                  <c:v>United States</c:v>
                </c:pt>
              </c:strCache>
            </c:strRef>
          </c:tx>
          <c:spPr>
            <a:solidFill>
              <a:srgbClr val="F9630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Graphs'!$C$2</c:f>
              <c:strCache>
                <c:ptCount val="1"/>
                <c:pt idx="0">
                  <c:v>% of Revenue</c:v>
                </c:pt>
              </c:strCache>
            </c:strRef>
          </c:cat>
          <c:val>
            <c:numRef>
              <c:f>'PPT Graphs'!$C$3</c:f>
              <c:numCache>
                <c:formatCode>0%</c:formatCode>
                <c:ptCount val="1"/>
                <c:pt idx="0">
                  <c:v>0.85</c:v>
                </c:pt>
              </c:numCache>
            </c:numRef>
          </c:val>
          <c:extLst>
            <c:ext xmlns:c16="http://schemas.microsoft.com/office/drawing/2014/chart" uri="{C3380CC4-5D6E-409C-BE32-E72D297353CC}">
              <c16:uniqueId val="{00000000-9946-9F48-AB5E-0C07CA94593D}"/>
            </c:ext>
          </c:extLst>
        </c:ser>
        <c:ser>
          <c:idx val="1"/>
          <c:order val="1"/>
          <c:tx>
            <c:strRef>
              <c:f>'PPT Graphs'!$B$4</c:f>
              <c:strCache>
                <c:ptCount val="1"/>
                <c:pt idx="0">
                  <c:v>Canada</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Graphs'!$C$2</c:f>
              <c:strCache>
                <c:ptCount val="1"/>
                <c:pt idx="0">
                  <c:v>% of Revenue</c:v>
                </c:pt>
              </c:strCache>
            </c:strRef>
          </c:cat>
          <c:val>
            <c:numRef>
              <c:f>'PPT Graphs'!$C$4</c:f>
              <c:numCache>
                <c:formatCode>0%</c:formatCode>
                <c:ptCount val="1"/>
                <c:pt idx="0">
                  <c:v>0.09</c:v>
                </c:pt>
              </c:numCache>
            </c:numRef>
          </c:val>
          <c:extLst>
            <c:ext xmlns:c16="http://schemas.microsoft.com/office/drawing/2014/chart" uri="{C3380CC4-5D6E-409C-BE32-E72D297353CC}">
              <c16:uniqueId val="{00000001-9946-9F48-AB5E-0C07CA94593D}"/>
            </c:ext>
          </c:extLst>
        </c:ser>
        <c:ser>
          <c:idx val="2"/>
          <c:order val="2"/>
          <c:tx>
            <c:strRef>
              <c:f>'PPT Graphs'!$B$5</c:f>
              <c:strCache>
                <c:ptCount val="1"/>
                <c:pt idx="0">
                  <c:v>Mexico &amp; Caribbean</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Graphs'!$C$2</c:f>
              <c:strCache>
                <c:ptCount val="1"/>
                <c:pt idx="0">
                  <c:v>% of Revenue</c:v>
                </c:pt>
              </c:strCache>
            </c:strRef>
          </c:cat>
          <c:val>
            <c:numRef>
              <c:f>'PPT Graphs'!$C$5</c:f>
              <c:numCache>
                <c:formatCode>0%</c:formatCode>
                <c:ptCount val="1"/>
                <c:pt idx="0">
                  <c:v>0.06</c:v>
                </c:pt>
              </c:numCache>
            </c:numRef>
          </c:val>
          <c:extLst>
            <c:ext xmlns:c16="http://schemas.microsoft.com/office/drawing/2014/chart" uri="{C3380CC4-5D6E-409C-BE32-E72D297353CC}">
              <c16:uniqueId val="{00000002-9946-9F48-AB5E-0C07CA94593D}"/>
            </c:ext>
          </c:extLst>
        </c:ser>
        <c:dLbls>
          <c:showLegendKey val="0"/>
          <c:showVal val="0"/>
          <c:showCatName val="0"/>
          <c:showSerName val="0"/>
          <c:showPercent val="0"/>
          <c:showBubbleSize val="0"/>
        </c:dLbls>
        <c:gapWidth val="150"/>
        <c:overlap val="100"/>
        <c:axId val="1042242000"/>
        <c:axId val="1042096368"/>
      </c:barChart>
      <c:catAx>
        <c:axId val="104224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096368"/>
        <c:crosses val="autoZero"/>
        <c:auto val="1"/>
        <c:lblAlgn val="ctr"/>
        <c:lblOffset val="100"/>
        <c:noMultiLvlLbl val="0"/>
      </c:catAx>
      <c:valAx>
        <c:axId val="1042096368"/>
        <c:scaling>
          <c:orientation val="minMax"/>
        </c:scaling>
        <c:delete val="1"/>
        <c:axPos val="l"/>
        <c:numFmt formatCode="0%" sourceLinked="1"/>
        <c:majorTickMark val="none"/>
        <c:minorTickMark val="none"/>
        <c:tickLblPos val="nextTo"/>
        <c:crossAx val="104224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1" i="0" u="none" strike="noStrike" kern="1200" spc="0" baseline="0">
                <a:solidFill>
                  <a:schemeClr val="tx1">
                    <a:lumMod val="65000"/>
                    <a:lumOff val="35000"/>
                  </a:schemeClr>
                </a:solidFill>
                <a:latin typeface="+mn-lt"/>
                <a:ea typeface="+mn-ea"/>
                <a:cs typeface="+mn-cs"/>
              </a:defRPr>
            </a:pPr>
            <a:r>
              <a:rPr lang="en-US" sz="900"/>
              <a:t>Revenue by Product</a:t>
            </a:r>
          </a:p>
          <a:p>
            <a:pPr>
              <a:defRPr/>
            </a:pPr>
            <a:r>
              <a:rPr lang="en-US" sz="700"/>
              <a:t>Figure 5</a:t>
            </a:r>
          </a:p>
        </c:rich>
      </c:tx>
      <c:overlay val="0"/>
      <c:spPr>
        <a:noFill/>
        <a:ln>
          <a:noFill/>
        </a:ln>
        <a:effectLst/>
      </c:spPr>
      <c:txPr>
        <a:bodyPr rot="0" spcFirstLastPara="1" vertOverflow="ellipsis" vert="horz" wrap="square" anchor="ctr" anchorCtr="1"/>
        <a:lstStyle/>
        <a:p>
          <a:pPr>
            <a:defRPr sz="8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'PPT Graphs'!$F$3</c:f>
              <c:strCache>
                <c:ptCount val="1"/>
                <c:pt idx="0">
                  <c:v>Building Materials</c:v>
                </c:pt>
              </c:strCache>
            </c:strRef>
          </c:tx>
          <c:spPr>
            <a:solidFill>
              <a:srgbClr val="F96302"/>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Graphs'!$G$2</c:f>
              <c:strCache>
                <c:ptCount val="1"/>
                <c:pt idx="0">
                  <c:v>% of Revenue</c:v>
                </c:pt>
              </c:strCache>
            </c:strRef>
          </c:cat>
          <c:val>
            <c:numRef>
              <c:f>'PPT Graphs'!$G$3</c:f>
              <c:numCache>
                <c:formatCode>0.0%</c:formatCode>
                <c:ptCount val="1"/>
                <c:pt idx="0">
                  <c:v>0.34200000000000003</c:v>
                </c:pt>
              </c:numCache>
            </c:numRef>
          </c:val>
          <c:extLst>
            <c:ext xmlns:c16="http://schemas.microsoft.com/office/drawing/2014/chart" uri="{C3380CC4-5D6E-409C-BE32-E72D297353CC}">
              <c16:uniqueId val="{00000000-ED67-014C-9AC7-4144D2351D25}"/>
            </c:ext>
          </c:extLst>
        </c:ser>
        <c:ser>
          <c:idx val="1"/>
          <c:order val="1"/>
          <c:tx>
            <c:strRef>
              <c:f>'PPT Graphs'!$F$4</c:f>
              <c:strCache>
                <c:ptCount val="1"/>
                <c:pt idx="0">
                  <c:v>Décor</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Graphs'!$G$2</c:f>
              <c:strCache>
                <c:ptCount val="1"/>
                <c:pt idx="0">
                  <c:v>% of Revenue</c:v>
                </c:pt>
              </c:strCache>
            </c:strRef>
          </c:cat>
          <c:val>
            <c:numRef>
              <c:f>'PPT Graphs'!$G$4</c:f>
              <c:numCache>
                <c:formatCode>0.0%</c:formatCode>
                <c:ptCount val="1"/>
                <c:pt idx="0">
                  <c:v>0.32500000000000001</c:v>
                </c:pt>
              </c:numCache>
            </c:numRef>
          </c:val>
          <c:extLst>
            <c:ext xmlns:c16="http://schemas.microsoft.com/office/drawing/2014/chart" uri="{C3380CC4-5D6E-409C-BE32-E72D297353CC}">
              <c16:uniqueId val="{00000001-ED67-014C-9AC7-4144D2351D25}"/>
            </c:ext>
          </c:extLst>
        </c:ser>
        <c:ser>
          <c:idx val="2"/>
          <c:order val="2"/>
          <c:tx>
            <c:strRef>
              <c:f>'PPT Graphs'!$F$5</c:f>
              <c:strCache>
                <c:ptCount val="1"/>
                <c:pt idx="0">
                  <c:v>Hardlines</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'PPT Graphs'!$G$2</c:f>
              <c:strCache>
                <c:ptCount val="1"/>
                <c:pt idx="0">
                  <c:v>% of Revenue</c:v>
                </c:pt>
              </c:strCache>
            </c:strRef>
          </c:cat>
          <c:val>
            <c:numRef>
              <c:f>'PPT Graphs'!$G$5</c:f>
              <c:numCache>
                <c:formatCode>0.0%</c:formatCode>
                <c:ptCount val="1"/>
                <c:pt idx="0">
                  <c:v>0.29299999999999998</c:v>
                </c:pt>
              </c:numCache>
            </c:numRef>
          </c:val>
          <c:extLst>
            <c:ext xmlns:c16="http://schemas.microsoft.com/office/drawing/2014/chart" uri="{C3380CC4-5D6E-409C-BE32-E72D297353CC}">
              <c16:uniqueId val="{00000002-ED67-014C-9AC7-4144D2351D25}"/>
            </c:ext>
          </c:extLst>
        </c:ser>
        <c:ser>
          <c:idx val="3"/>
          <c:order val="3"/>
          <c:tx>
            <c:strRef>
              <c:f>'PPT Graphs'!$F$6</c:f>
              <c:strCache>
                <c:ptCount val="1"/>
                <c:pt idx="0">
                  <c:v>Other</c:v>
                </c:pt>
              </c:strCache>
            </c:strRef>
          </c:tx>
          <c:spPr>
            <a:solidFill>
              <a:schemeClr val="bg1">
                <a:lumMod val="85000"/>
              </a:schemeClr>
            </a:solidFill>
            <a:ln>
              <a:noFill/>
            </a:ln>
            <a:effectLst/>
          </c:spPr>
          <c:invertIfNegative val="0"/>
          <c:cat>
            <c:strRef>
              <c:f>'PPT Graphs'!$G$2</c:f>
              <c:strCache>
                <c:ptCount val="1"/>
                <c:pt idx="0">
                  <c:v>% of Revenue</c:v>
                </c:pt>
              </c:strCache>
            </c:strRef>
          </c:cat>
          <c:val>
            <c:numRef>
              <c:f>'PPT Graphs'!$G$6</c:f>
              <c:numCache>
                <c:formatCode>0.0%</c:formatCode>
                <c:ptCount val="1"/>
                <c:pt idx="0">
                  <c:v>4.0000000000000036E-2</c:v>
                </c:pt>
              </c:numCache>
            </c:numRef>
          </c:val>
          <c:extLst>
            <c:ext xmlns:c16="http://schemas.microsoft.com/office/drawing/2014/chart" uri="{C3380CC4-5D6E-409C-BE32-E72D297353CC}">
              <c16:uniqueId val="{00000003-ED67-014C-9AC7-4144D2351D25}"/>
            </c:ext>
          </c:extLst>
        </c:ser>
        <c:dLbls>
          <c:showLegendKey val="0"/>
          <c:showVal val="0"/>
          <c:showCatName val="0"/>
          <c:showSerName val="0"/>
          <c:showPercent val="0"/>
          <c:showBubbleSize val="0"/>
        </c:dLbls>
        <c:gapWidth val="150"/>
        <c:overlap val="100"/>
        <c:axId val="1042242000"/>
        <c:axId val="1042096368"/>
      </c:barChart>
      <c:catAx>
        <c:axId val="104224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042096368"/>
        <c:crosses val="autoZero"/>
        <c:auto val="1"/>
        <c:lblAlgn val="ctr"/>
        <c:lblOffset val="100"/>
        <c:noMultiLvlLbl val="0"/>
      </c:catAx>
      <c:valAx>
        <c:axId val="1042096368"/>
        <c:scaling>
          <c:orientation val="minMax"/>
        </c:scaling>
        <c:delete val="1"/>
        <c:axPos val="l"/>
        <c:numFmt formatCode="0.0%" sourceLinked="1"/>
        <c:majorTickMark val="none"/>
        <c:minorTickMark val="none"/>
        <c:tickLblPos val="nextTo"/>
        <c:crossAx val="104224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sz="700" b="1"/>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Sustained</a:t>
            </a:r>
            <a:r>
              <a:rPr lang="en-US" b="1" baseline="0">
                <a:solidFill>
                  <a:schemeClr val="tx1"/>
                </a:solidFill>
              </a:rPr>
              <a:t> Revenue Expansion</a:t>
            </a:r>
          </a:p>
          <a:p>
            <a:pPr>
              <a:defRPr>
                <a:solidFill>
                  <a:schemeClr val="tx1"/>
                </a:solidFill>
              </a:defRPr>
            </a:pPr>
            <a:r>
              <a:rPr lang="en-US" sz="700" b="1" baseline="0">
                <a:solidFill>
                  <a:schemeClr val="tx1"/>
                </a:solidFill>
              </a:rPr>
              <a:t>Figure 2</a:t>
            </a:r>
            <a:endParaRPr lang="en-US" sz="7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'Projected Tables'!$AA$2</c:f>
              <c:strCache>
                <c:ptCount val="1"/>
                <c:pt idx="0">
                  <c:v>Revenue</c:v>
                </c:pt>
              </c:strCache>
            </c:strRef>
          </c:tx>
          <c:spPr>
            <a:solidFill>
              <a:srgbClr val="F96302"/>
            </a:solidFill>
            <a:ln>
              <a:noFill/>
            </a:ln>
            <a:effectLst/>
          </c:spPr>
          <c:invertIfNegative val="0"/>
          <c:dPt>
            <c:idx val="0"/>
            <c:invertIfNegative val="0"/>
            <c:bubble3D val="0"/>
            <c:spPr>
              <a:solidFill>
                <a:srgbClr val="F96302">
                  <a:alpha val="60000"/>
                </a:srgbClr>
              </a:solidFill>
              <a:ln>
                <a:noFill/>
              </a:ln>
              <a:effectLst/>
            </c:spPr>
            <c:extLst>
              <c:ext xmlns:c16="http://schemas.microsoft.com/office/drawing/2014/chart" uri="{C3380CC4-5D6E-409C-BE32-E72D297353CC}">
                <c16:uniqueId val="{00000001-3CD4-4046-8A15-49B068ACA914}"/>
              </c:ext>
            </c:extLst>
          </c:dPt>
          <c:dPt>
            <c:idx val="1"/>
            <c:invertIfNegative val="0"/>
            <c:bubble3D val="0"/>
            <c:spPr>
              <a:solidFill>
                <a:srgbClr val="F96302">
                  <a:alpha val="60000"/>
                </a:srgbClr>
              </a:solidFill>
              <a:ln>
                <a:noFill/>
              </a:ln>
              <a:effectLst/>
            </c:spPr>
            <c:extLst>
              <c:ext xmlns:c16="http://schemas.microsoft.com/office/drawing/2014/chart" uri="{C3380CC4-5D6E-409C-BE32-E72D297353CC}">
                <c16:uniqueId val="{00000003-3CD4-4046-8A15-49B068ACA914}"/>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D4-4046-8A15-49B068ACA914}"/>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D4-4046-8A15-49B068ACA914}"/>
                </c:ext>
              </c:extLst>
            </c:dLbl>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Tables'!$B$4:$K$4</c:f>
              <c:strCache>
                <c:ptCount val="10"/>
                <c:pt idx="0">
                  <c:v>2023</c:v>
                </c:pt>
                <c:pt idx="1">
                  <c:v>2024</c:v>
                </c:pt>
                <c:pt idx="2">
                  <c:v>2025E</c:v>
                </c:pt>
                <c:pt idx="3">
                  <c:v>2026E</c:v>
                </c:pt>
                <c:pt idx="4">
                  <c:v>2027E</c:v>
                </c:pt>
                <c:pt idx="5">
                  <c:v>2028E</c:v>
                </c:pt>
                <c:pt idx="6">
                  <c:v>2029E</c:v>
                </c:pt>
                <c:pt idx="7">
                  <c:v>2030E</c:v>
                </c:pt>
                <c:pt idx="8">
                  <c:v>2031E</c:v>
                </c:pt>
                <c:pt idx="9">
                  <c:v>2032E</c:v>
                </c:pt>
              </c:strCache>
            </c:strRef>
          </c:cat>
          <c:val>
            <c:numRef>
              <c:f>'Projected Tables'!$AB$2:$AK$2</c:f>
              <c:numCache>
                <c:formatCode>"$"#,##0</c:formatCode>
                <c:ptCount val="10"/>
                <c:pt idx="0">
                  <c:v>157403000</c:v>
                </c:pt>
                <c:pt idx="1">
                  <c:v>152669000</c:v>
                </c:pt>
                <c:pt idx="2">
                  <c:v>162500883.59999999</c:v>
                </c:pt>
                <c:pt idx="3">
                  <c:v>172965940.50384</c:v>
                </c:pt>
                <c:pt idx="4">
                  <c:v>184104947.07228729</c:v>
                </c:pt>
                <c:pt idx="5">
                  <c:v>195961305.6637426</c:v>
                </c:pt>
                <c:pt idx="6">
                  <c:v>208581213.74848762</c:v>
                </c:pt>
                <c:pt idx="7">
                  <c:v>222013843.91389021</c:v>
                </c:pt>
                <c:pt idx="8">
                  <c:v>236311535.46194476</c:v>
                </c:pt>
                <c:pt idx="9">
                  <c:v>251529998.34569401</c:v>
                </c:pt>
              </c:numCache>
            </c:numRef>
          </c:val>
          <c:extLst>
            <c:ext xmlns:c16="http://schemas.microsoft.com/office/drawing/2014/chart" uri="{C3380CC4-5D6E-409C-BE32-E72D297353CC}">
              <c16:uniqueId val="{00000005-3CD4-4046-8A15-49B068ACA914}"/>
            </c:ext>
          </c:extLst>
        </c:ser>
        <c:dLbls>
          <c:showLegendKey val="0"/>
          <c:showVal val="0"/>
          <c:showCatName val="0"/>
          <c:showSerName val="0"/>
          <c:showPercent val="0"/>
          <c:showBubbleSize val="0"/>
        </c:dLbls>
        <c:gapWidth val="219"/>
        <c:axId val="565025743"/>
        <c:axId val="565018559"/>
      </c:barChart>
      <c:catAx>
        <c:axId val="5650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018559"/>
        <c:crosses val="autoZero"/>
        <c:auto val="1"/>
        <c:lblAlgn val="ctr"/>
        <c:lblOffset val="100"/>
        <c:noMultiLvlLbl val="0"/>
      </c:catAx>
      <c:valAx>
        <c:axId val="565018559"/>
        <c:scaling>
          <c:orientation val="minMax"/>
        </c:scaling>
        <c:delete val="0"/>
        <c:axPos val="l"/>
        <c:numFmt formatCode="#,##0,,\ &quot;B&quot;" sourceLinked="0"/>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02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a:t>
            </a:r>
            <a:r>
              <a:rPr lang="en-US" b="1" baseline="0"/>
              <a:t> Efficiency Improvements</a:t>
            </a:r>
          </a:p>
          <a:p>
            <a:pPr>
              <a:defRPr/>
            </a:pPr>
            <a:r>
              <a:rPr lang="en-US" b="1" baseline="0"/>
              <a:t>Figure 3</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'Projected Tables'!$AA$4</c:f>
              <c:strCache>
                <c:ptCount val="1"/>
                <c:pt idx="0">
                  <c:v>COGS as % of Revenue</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dPt>
            <c:idx val="0"/>
            <c:marker>
              <c:symbol val="circle"/>
              <c:size val="5"/>
              <c:spPr>
                <a:solidFill>
                  <a:schemeClr val="tx1">
                    <a:alpha val="60000"/>
                  </a:schemeClr>
                </a:solidFill>
                <a:ln w="9525">
                  <a:solidFill>
                    <a:schemeClr val="tx1"/>
                  </a:solidFill>
                </a:ln>
                <a:effectLst/>
              </c:spPr>
            </c:marker>
            <c:bubble3D val="0"/>
            <c:spPr>
              <a:ln w="28575" cap="rnd">
                <a:solidFill>
                  <a:schemeClr val="tx1">
                    <a:alpha val="60000"/>
                  </a:schemeClr>
                </a:solidFill>
                <a:round/>
              </a:ln>
              <a:effectLst/>
            </c:spPr>
            <c:extLst>
              <c:ext xmlns:c16="http://schemas.microsoft.com/office/drawing/2014/chart" uri="{C3380CC4-5D6E-409C-BE32-E72D297353CC}">
                <c16:uniqueId val="{00000001-2A71-1248-99B3-0AB5663ED36F}"/>
              </c:ext>
            </c:extLst>
          </c:dPt>
          <c:dPt>
            <c:idx val="1"/>
            <c:marker>
              <c:symbol val="circle"/>
              <c:size val="5"/>
              <c:spPr>
                <a:solidFill>
                  <a:schemeClr val="tx1">
                    <a:alpha val="60000"/>
                  </a:schemeClr>
                </a:solidFill>
                <a:ln w="9525">
                  <a:solidFill>
                    <a:schemeClr val="tx1"/>
                  </a:solidFill>
                </a:ln>
                <a:effectLst/>
              </c:spPr>
            </c:marker>
            <c:bubble3D val="0"/>
            <c:spPr>
              <a:ln w="28575" cap="rnd">
                <a:solidFill>
                  <a:schemeClr val="tx1">
                    <a:alpha val="60000"/>
                  </a:schemeClr>
                </a:solidFill>
                <a:round/>
              </a:ln>
              <a:effectLst/>
            </c:spPr>
            <c:extLst>
              <c:ext xmlns:c16="http://schemas.microsoft.com/office/drawing/2014/chart" uri="{C3380CC4-5D6E-409C-BE32-E72D297353CC}">
                <c16:uniqueId val="{00000003-2A71-1248-99B3-0AB5663ED36F}"/>
              </c:ext>
            </c:extLst>
          </c:dPt>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71-1248-99B3-0AB5663ED36F}"/>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71-1248-99B3-0AB5663ED36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Tables'!$B$4:$K$4</c:f>
              <c:strCache>
                <c:ptCount val="10"/>
                <c:pt idx="0">
                  <c:v>2023</c:v>
                </c:pt>
                <c:pt idx="1">
                  <c:v>2024</c:v>
                </c:pt>
                <c:pt idx="2">
                  <c:v>2025E</c:v>
                </c:pt>
                <c:pt idx="3">
                  <c:v>2026E</c:v>
                </c:pt>
                <c:pt idx="4">
                  <c:v>2027E</c:v>
                </c:pt>
                <c:pt idx="5">
                  <c:v>2028E</c:v>
                </c:pt>
                <c:pt idx="6">
                  <c:v>2029E</c:v>
                </c:pt>
                <c:pt idx="7">
                  <c:v>2030E</c:v>
                </c:pt>
                <c:pt idx="8">
                  <c:v>2031E</c:v>
                </c:pt>
                <c:pt idx="9">
                  <c:v>2032E</c:v>
                </c:pt>
              </c:strCache>
            </c:strRef>
          </c:cat>
          <c:val>
            <c:numRef>
              <c:f>'Projected Tables'!$AB$4:$AK$4</c:f>
              <c:numCache>
                <c:formatCode>0.00%</c:formatCode>
                <c:ptCount val="10"/>
                <c:pt idx="0">
                  <c:v>0.66469508205053274</c:v>
                </c:pt>
                <c:pt idx="1">
                  <c:v>0.66620597501784906</c:v>
                </c:pt>
                <c:pt idx="2">
                  <c:v>0.65620597501784905</c:v>
                </c:pt>
                <c:pt idx="3">
                  <c:v>0.64620597501784904</c:v>
                </c:pt>
                <c:pt idx="4">
                  <c:v>0.63620597501784903</c:v>
                </c:pt>
                <c:pt idx="5">
                  <c:v>0.62620597501784903</c:v>
                </c:pt>
                <c:pt idx="6">
                  <c:v>0.61620597501784902</c:v>
                </c:pt>
                <c:pt idx="7">
                  <c:v>0.60620597501784901</c:v>
                </c:pt>
                <c:pt idx="8">
                  <c:v>0.596205975017849</c:v>
                </c:pt>
                <c:pt idx="9">
                  <c:v>0.58620597501784899</c:v>
                </c:pt>
              </c:numCache>
            </c:numRef>
          </c:val>
          <c:smooth val="0"/>
          <c:extLst>
            <c:ext xmlns:c16="http://schemas.microsoft.com/office/drawing/2014/chart" uri="{C3380CC4-5D6E-409C-BE32-E72D297353CC}">
              <c16:uniqueId val="{00000005-2A71-1248-99B3-0AB5663ED36F}"/>
            </c:ext>
          </c:extLst>
        </c:ser>
        <c:dLbls>
          <c:showLegendKey val="0"/>
          <c:showVal val="0"/>
          <c:showCatName val="0"/>
          <c:showSerName val="0"/>
          <c:showPercent val="0"/>
          <c:showBubbleSize val="0"/>
        </c:dLbls>
        <c:marker val="1"/>
        <c:smooth val="0"/>
        <c:axId val="565025743"/>
        <c:axId val="565018559"/>
      </c:lineChart>
      <c:catAx>
        <c:axId val="5650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018559"/>
        <c:crosses val="autoZero"/>
        <c:auto val="1"/>
        <c:lblAlgn val="ctr"/>
        <c:lblOffset val="100"/>
        <c:noMultiLvlLbl val="0"/>
      </c:catAx>
      <c:valAx>
        <c:axId val="565018559"/>
        <c:scaling>
          <c:orientation val="minMax"/>
        </c:scaling>
        <c:delete val="0"/>
        <c:axPos val="l"/>
        <c:numFmt formatCode="0%" sourceLinked="0"/>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025743"/>
        <c:crosses val="autoZero"/>
        <c:crossBetween val="between"/>
        <c:majorUnit val="0.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 P/E Valuation Comparison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Tables'!$M$25</c:f>
              <c:strCache>
                <c:ptCount val="1"/>
                <c:pt idx="0">
                  <c:v>P/E Ratio</c:v>
                </c:pt>
              </c:strCache>
            </c:strRef>
          </c:tx>
          <c:spPr>
            <a:solidFill>
              <a:schemeClr val="bg1">
                <a:lumMod val="85000"/>
              </a:schemeClr>
            </a:solidFill>
            <a:ln>
              <a:noFill/>
            </a:ln>
            <a:effectLst/>
          </c:spPr>
          <c:invertIfNegative val="0"/>
          <c:dPt>
            <c:idx val="0"/>
            <c:invertIfNegative val="0"/>
            <c:bubble3D val="0"/>
            <c:spPr>
              <a:solidFill>
                <a:srgbClr val="F96302"/>
              </a:solidFill>
              <a:ln>
                <a:noFill/>
              </a:ln>
              <a:effectLst/>
            </c:spPr>
            <c:extLst>
              <c:ext xmlns:c16="http://schemas.microsoft.com/office/drawing/2014/chart" uri="{C3380CC4-5D6E-409C-BE32-E72D297353CC}">
                <c16:uniqueId val="{00000001-0BED-5A43-BB27-1C0950E44439}"/>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0BED-5A43-BB27-1C0950E4443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0BED-5A43-BB27-1C0950E4443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Tables'!$N$24:$P$24</c:f>
              <c:strCache>
                <c:ptCount val="3"/>
                <c:pt idx="0">
                  <c:v>Home Depot</c:v>
                </c:pt>
                <c:pt idx="1">
                  <c:v>Walmart</c:v>
                </c:pt>
                <c:pt idx="2">
                  <c:v>Lowe’s</c:v>
                </c:pt>
              </c:strCache>
            </c:strRef>
          </c:cat>
          <c:val>
            <c:numRef>
              <c:f>'Projected Tables'!$N$25:$P$25</c:f>
              <c:numCache>
                <c:formatCode>General</c:formatCode>
                <c:ptCount val="3"/>
                <c:pt idx="0">
                  <c:v>25.48</c:v>
                </c:pt>
                <c:pt idx="1">
                  <c:v>46.91</c:v>
                </c:pt>
                <c:pt idx="2">
                  <c:v>18.34</c:v>
                </c:pt>
              </c:numCache>
            </c:numRef>
          </c:val>
          <c:extLst>
            <c:ext xmlns:c16="http://schemas.microsoft.com/office/drawing/2014/chart" uri="{C3380CC4-5D6E-409C-BE32-E72D297353CC}">
              <c16:uniqueId val="{00000006-0BED-5A43-BB27-1C0950E44439}"/>
            </c:ext>
          </c:extLst>
        </c:ser>
        <c:dLbls>
          <c:showLegendKey val="0"/>
          <c:showVal val="0"/>
          <c:showCatName val="0"/>
          <c:showSerName val="0"/>
          <c:showPercent val="0"/>
          <c:showBubbleSize val="0"/>
        </c:dLbls>
        <c:gapWidth val="219"/>
        <c:overlap val="-27"/>
        <c:axId val="809686687"/>
        <c:axId val="809839535"/>
      </c:barChart>
      <c:catAx>
        <c:axId val="80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9839535"/>
        <c:crosses val="autoZero"/>
        <c:auto val="1"/>
        <c:lblAlgn val="ctr"/>
        <c:lblOffset val="100"/>
        <c:noMultiLvlLbl val="0"/>
      </c:catAx>
      <c:valAx>
        <c:axId val="809839535"/>
        <c:scaling>
          <c:orientation val="minMax"/>
        </c:scaling>
        <c:delete val="0"/>
        <c:axPos val="l"/>
        <c:numFmt formatCode="General" sourceLinked="1"/>
        <c:majorTickMark val="none"/>
        <c:minorTickMark val="none"/>
        <c:tickLblPos val="nextTo"/>
        <c:spPr>
          <a:noFill/>
          <a:ln w="9525">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HD's P/E Valuation Comparison</a:t>
            </a:r>
          </a:p>
          <a:p>
            <a:pPr>
              <a:defRPr b="1">
                <a:solidFill>
                  <a:schemeClr val="tx1"/>
                </a:solidFill>
              </a:defRPr>
            </a:pPr>
            <a:r>
              <a:rPr lang="en-US" b="1">
                <a:solidFill>
                  <a:schemeClr val="tx1"/>
                </a:solidFill>
              </a:rPr>
              <a:t>Figure 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'Projected Tables'!$M$25</c:f>
              <c:strCache>
                <c:ptCount val="1"/>
                <c:pt idx="0">
                  <c:v>P/E Ratio</c:v>
                </c:pt>
              </c:strCache>
            </c:strRef>
          </c:tx>
          <c:spPr>
            <a:solidFill>
              <a:schemeClr val="bg1">
                <a:lumMod val="85000"/>
              </a:schemeClr>
            </a:solidFill>
            <a:ln>
              <a:noFill/>
            </a:ln>
            <a:effectLst/>
          </c:spPr>
          <c:invertIfNegative val="0"/>
          <c:dPt>
            <c:idx val="0"/>
            <c:invertIfNegative val="0"/>
            <c:bubble3D val="0"/>
            <c:spPr>
              <a:solidFill>
                <a:srgbClr val="F96302"/>
              </a:solidFill>
              <a:ln>
                <a:noFill/>
              </a:ln>
              <a:effectLst/>
            </c:spPr>
            <c:extLst>
              <c:ext xmlns:c16="http://schemas.microsoft.com/office/drawing/2014/chart" uri="{C3380CC4-5D6E-409C-BE32-E72D297353CC}">
                <c16:uniqueId val="{00000001-A638-5142-B2A4-04E0FB385DCE}"/>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A638-5142-B2A4-04E0FB385DC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A638-5142-B2A4-04E0FB385D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Tables'!$N$24:$P$24</c:f>
              <c:strCache>
                <c:ptCount val="3"/>
                <c:pt idx="0">
                  <c:v>Home Depot</c:v>
                </c:pt>
                <c:pt idx="1">
                  <c:v>Walmart</c:v>
                </c:pt>
                <c:pt idx="2">
                  <c:v>Lowe’s</c:v>
                </c:pt>
              </c:strCache>
            </c:strRef>
          </c:cat>
          <c:val>
            <c:numRef>
              <c:f>'Projected Tables'!$N$25:$P$25</c:f>
              <c:numCache>
                <c:formatCode>General</c:formatCode>
                <c:ptCount val="3"/>
                <c:pt idx="0">
                  <c:v>25.48</c:v>
                </c:pt>
                <c:pt idx="1">
                  <c:v>46.91</c:v>
                </c:pt>
                <c:pt idx="2">
                  <c:v>18.34</c:v>
                </c:pt>
              </c:numCache>
            </c:numRef>
          </c:val>
          <c:extLst>
            <c:ext xmlns:c16="http://schemas.microsoft.com/office/drawing/2014/chart" uri="{C3380CC4-5D6E-409C-BE32-E72D297353CC}">
              <c16:uniqueId val="{00000006-A638-5142-B2A4-04E0FB385DCE}"/>
            </c:ext>
          </c:extLst>
        </c:ser>
        <c:dLbls>
          <c:showLegendKey val="0"/>
          <c:showVal val="0"/>
          <c:showCatName val="0"/>
          <c:showSerName val="0"/>
          <c:showPercent val="0"/>
          <c:showBubbleSize val="0"/>
        </c:dLbls>
        <c:gapWidth val="219"/>
        <c:overlap val="-27"/>
        <c:axId val="809686687"/>
        <c:axId val="809839535"/>
      </c:barChart>
      <c:catAx>
        <c:axId val="80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9839535"/>
        <c:crosses val="autoZero"/>
        <c:auto val="1"/>
        <c:lblAlgn val="ctr"/>
        <c:lblOffset val="100"/>
        <c:noMultiLvlLbl val="0"/>
      </c:catAx>
      <c:valAx>
        <c:axId val="809839535"/>
        <c:scaling>
          <c:orientation val="minMax"/>
        </c:scaling>
        <c:delete val="0"/>
        <c:axPos val="l"/>
        <c:numFmt formatCode="General" sourceLinked="1"/>
        <c:majorTickMark val="none"/>
        <c:minorTickMark val="none"/>
        <c:tickLblPos val="nextTo"/>
        <c:spPr>
          <a:noFill/>
          <a:ln w="9525">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 EV/EBITDA vs. Industry Standards</a:t>
            </a:r>
          </a:p>
          <a:p>
            <a:pPr>
              <a:defRPr b="1"/>
            </a:pPr>
            <a:r>
              <a:rPr lang="en-US" b="1"/>
              <a:t>Figure 7</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Tables'!$M$26</c:f>
              <c:strCache>
                <c:ptCount val="1"/>
                <c:pt idx="0">
                  <c:v>EV/EBITDA</c:v>
                </c:pt>
              </c:strCache>
            </c:strRef>
          </c:tx>
          <c:spPr>
            <a:solidFill>
              <a:schemeClr val="bg1">
                <a:lumMod val="85000"/>
              </a:schemeClr>
            </a:solidFill>
            <a:ln>
              <a:noFill/>
            </a:ln>
            <a:effectLst/>
          </c:spPr>
          <c:invertIfNegative val="0"/>
          <c:dPt>
            <c:idx val="0"/>
            <c:invertIfNegative val="0"/>
            <c:bubble3D val="0"/>
            <c:spPr>
              <a:solidFill>
                <a:srgbClr val="F96302"/>
              </a:solidFill>
              <a:ln>
                <a:noFill/>
              </a:ln>
              <a:effectLst/>
            </c:spPr>
            <c:extLst>
              <c:ext xmlns:c16="http://schemas.microsoft.com/office/drawing/2014/chart" uri="{C3380CC4-5D6E-409C-BE32-E72D297353CC}">
                <c16:uniqueId val="{00000001-5AFB-064C-AF03-AB80BCDB20AD}"/>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5AFB-064C-AF03-AB80BCDB20A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AFB-064C-AF03-AB80BCDB20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Tables'!$N$24:$P$24</c:f>
              <c:strCache>
                <c:ptCount val="3"/>
                <c:pt idx="0">
                  <c:v>Home Depot</c:v>
                </c:pt>
                <c:pt idx="1">
                  <c:v>Walmart</c:v>
                </c:pt>
                <c:pt idx="2">
                  <c:v>Lowe’s</c:v>
                </c:pt>
              </c:strCache>
            </c:strRef>
          </c:cat>
          <c:val>
            <c:numRef>
              <c:f>'Projected Tables'!$N$26:$P$26</c:f>
              <c:numCache>
                <c:formatCode>General</c:formatCode>
                <c:ptCount val="3"/>
                <c:pt idx="0">
                  <c:v>7.07</c:v>
                </c:pt>
                <c:pt idx="1">
                  <c:v>21.12</c:v>
                </c:pt>
                <c:pt idx="2">
                  <c:v>11.49</c:v>
                </c:pt>
              </c:numCache>
            </c:numRef>
          </c:val>
          <c:extLst>
            <c:ext xmlns:c16="http://schemas.microsoft.com/office/drawing/2014/chart" uri="{C3380CC4-5D6E-409C-BE32-E72D297353CC}">
              <c16:uniqueId val="{00000006-5AFB-064C-AF03-AB80BCDB20AD}"/>
            </c:ext>
          </c:extLst>
        </c:ser>
        <c:dLbls>
          <c:showLegendKey val="0"/>
          <c:showVal val="0"/>
          <c:showCatName val="0"/>
          <c:showSerName val="0"/>
          <c:showPercent val="0"/>
          <c:showBubbleSize val="0"/>
        </c:dLbls>
        <c:gapWidth val="219"/>
        <c:overlap val="-27"/>
        <c:axId val="809686687"/>
        <c:axId val="809839535"/>
      </c:barChart>
      <c:catAx>
        <c:axId val="80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9839535"/>
        <c:crosses val="autoZero"/>
        <c:auto val="1"/>
        <c:lblAlgn val="ctr"/>
        <c:lblOffset val="100"/>
        <c:noMultiLvlLbl val="0"/>
      </c:catAx>
      <c:valAx>
        <c:axId val="809839535"/>
        <c:scaling>
          <c:orientation val="minMax"/>
        </c:scaling>
        <c:delete val="0"/>
        <c:axPos val="l"/>
        <c:numFmt formatCode="General" sourceLinked="1"/>
        <c:majorTickMark val="none"/>
        <c:minorTickMark val="none"/>
        <c:tickLblPos val="nextTo"/>
        <c:spPr>
          <a:noFill/>
          <a:ln w="9525">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Market</a:t>
            </a:r>
            <a:r>
              <a:rPr lang="en-US" b="1" baseline="0"/>
              <a:t> Price Exceeds Fair Value</a:t>
            </a:r>
          </a:p>
          <a:p>
            <a:pPr>
              <a:defRPr/>
            </a:pPr>
            <a:r>
              <a:rPr lang="en-US" sz="1000" b="1" baseline="0">
                <a:solidFill>
                  <a:srgbClr val="FF0000"/>
                </a:solidFill>
              </a:rPr>
              <a:t>Risk of Overvaluation</a:t>
            </a:r>
          </a:p>
          <a:p>
            <a:pPr>
              <a:defRPr/>
            </a:pPr>
            <a:r>
              <a:rPr lang="en-US" sz="1000" b="1" baseline="0">
                <a:solidFill>
                  <a:schemeClr val="tx1"/>
                </a:solidFill>
              </a:rPr>
              <a:t>Figure 8</a:t>
            </a:r>
            <a:endParaRPr lang="en-US" sz="1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Tables'!$N$47</c:f>
              <c:strCache>
                <c:ptCount val="1"/>
                <c:pt idx="0">
                  <c:v>Value ($)</c:v>
                </c:pt>
              </c:strCache>
            </c:strRef>
          </c:tx>
          <c:spPr>
            <a:solidFill>
              <a:schemeClr val="accent1"/>
            </a:solidFill>
            <a:ln>
              <a:noFill/>
            </a:ln>
            <a:effectLst/>
          </c:spPr>
          <c:invertIfNegative val="0"/>
          <c:dPt>
            <c:idx val="0"/>
            <c:invertIfNegative val="0"/>
            <c:bubble3D val="0"/>
            <c:spPr>
              <a:solidFill>
                <a:srgbClr val="FF0000">
                  <a:alpha val="70000"/>
                </a:srgbClr>
              </a:solidFill>
              <a:ln>
                <a:noFill/>
              </a:ln>
              <a:effectLst/>
            </c:spPr>
            <c:extLst>
              <c:ext xmlns:c16="http://schemas.microsoft.com/office/drawing/2014/chart" uri="{C3380CC4-5D6E-409C-BE32-E72D297353CC}">
                <c16:uniqueId val="{00000001-11FE-7D49-973A-9AD96D85DD6E}"/>
              </c:ext>
            </c:extLst>
          </c:dPt>
          <c:dPt>
            <c:idx val="1"/>
            <c:invertIfNegative val="0"/>
            <c:bubble3D val="0"/>
            <c:spPr>
              <a:solidFill>
                <a:schemeClr val="accent3">
                  <a:lumMod val="75000"/>
                  <a:alpha val="70000"/>
                </a:schemeClr>
              </a:solidFill>
              <a:ln>
                <a:noFill/>
              </a:ln>
              <a:effectLst/>
            </c:spPr>
            <c:extLst>
              <c:ext xmlns:c16="http://schemas.microsoft.com/office/drawing/2014/chart" uri="{C3380CC4-5D6E-409C-BE32-E72D297353CC}">
                <c16:uniqueId val="{00000003-11FE-7D49-973A-9AD96D85DD6E}"/>
              </c:ext>
            </c:extLst>
          </c:dPt>
          <c:dPt>
            <c:idx val="2"/>
            <c:invertIfNegative val="0"/>
            <c:bubble3D val="0"/>
            <c:spPr>
              <a:solidFill>
                <a:srgbClr val="F96302"/>
              </a:solidFill>
              <a:ln>
                <a:noFill/>
              </a:ln>
              <a:effectLst/>
            </c:spPr>
            <c:extLst>
              <c:ext xmlns:c16="http://schemas.microsoft.com/office/drawing/2014/chart" uri="{C3380CC4-5D6E-409C-BE32-E72D297353CC}">
                <c16:uniqueId val="{00000005-11FE-7D49-973A-9AD96D85DD6E}"/>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FE-7D49-973A-9AD96D85DD6E}"/>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FE-7D49-973A-9AD96D85DD6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Tables'!$M$48:$M$50</c:f>
              <c:strCache>
                <c:ptCount val="3"/>
                <c:pt idx="0">
                  <c:v>DCF Valuation</c:v>
                </c:pt>
                <c:pt idx="1">
                  <c:v>Suggested Buy Zone (Midpoint)</c:v>
                </c:pt>
                <c:pt idx="2">
                  <c:v>Current Price</c:v>
                </c:pt>
              </c:strCache>
            </c:strRef>
          </c:cat>
          <c:val>
            <c:numRef>
              <c:f>'Projected Tables'!$N$48:$N$50</c:f>
              <c:numCache>
                <c:formatCode>_("$"* #,##0.00_);_("$"* \(#,##0.00\);_("$"* "-"??_);_(@_)</c:formatCode>
                <c:ptCount val="3"/>
                <c:pt idx="0">
                  <c:v>184.88</c:v>
                </c:pt>
                <c:pt idx="1">
                  <c:v>360</c:v>
                </c:pt>
                <c:pt idx="2">
                  <c:v>388.99</c:v>
                </c:pt>
              </c:numCache>
            </c:numRef>
          </c:val>
          <c:extLst>
            <c:ext xmlns:c16="http://schemas.microsoft.com/office/drawing/2014/chart" uri="{C3380CC4-5D6E-409C-BE32-E72D297353CC}">
              <c16:uniqueId val="{00000006-11FE-7D49-973A-9AD96D85DD6E}"/>
            </c:ext>
          </c:extLst>
        </c:ser>
        <c:dLbls>
          <c:showLegendKey val="0"/>
          <c:showVal val="0"/>
          <c:showCatName val="0"/>
          <c:showSerName val="0"/>
          <c:showPercent val="0"/>
          <c:showBubbleSize val="0"/>
        </c:dLbls>
        <c:gapWidth val="219"/>
        <c:overlap val="-27"/>
        <c:axId val="788654991"/>
        <c:axId val="789022975"/>
      </c:barChart>
      <c:lineChart>
        <c:grouping val="standard"/>
        <c:varyColors val="0"/>
        <c:ser>
          <c:idx val="1"/>
          <c:order val="1"/>
          <c:tx>
            <c:v>Target</c:v>
          </c:tx>
          <c:spPr>
            <a:ln w="31750" cap="rnd">
              <a:solidFill>
                <a:schemeClr val="tx1"/>
              </a:solidFill>
              <a:prstDash val="sysDot"/>
              <a:round/>
            </a:ln>
            <a:effectLst/>
          </c:spPr>
          <c:marker>
            <c:symbol val="none"/>
          </c:marker>
          <c:dLbls>
            <c:dLbl>
              <c:idx val="0"/>
              <c:layout>
                <c:manualLayout>
                  <c:x val="-4.2920353709683058E-17"/>
                  <c:y val="-0.13756316067841393"/>
                </c:manualLayout>
              </c:layout>
              <c:tx>
                <c:rich>
                  <a:bodyPr/>
                  <a:lstStyle/>
                  <a:p>
                    <a:r>
                      <a:rPr lang="en-US"/>
                      <a:t>DCF Fair Value:</a:t>
                    </a:r>
                    <a:r>
                      <a:rPr lang="en-US" baseline="0"/>
                      <a:t> </a:t>
                    </a:r>
                    <a:fld id="{5AC7EA44-AD01-794B-996A-08F857579B4D}"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1FE-7D49-973A-9AD96D85DD6E}"/>
                </c:ext>
              </c:extLst>
            </c:dLbl>
            <c:dLbl>
              <c:idx val="1"/>
              <c:delete val="1"/>
              <c:extLst>
                <c:ext xmlns:c15="http://schemas.microsoft.com/office/drawing/2012/chart" uri="{CE6537A1-D6FC-4f65-9D91-7224C49458BB}"/>
                <c:ext xmlns:c16="http://schemas.microsoft.com/office/drawing/2014/chart" uri="{C3380CC4-5D6E-409C-BE32-E72D297353CC}">
                  <c16:uniqueId val="{00000008-11FE-7D49-973A-9AD96D85DD6E}"/>
                </c:ext>
              </c:extLst>
            </c:dLbl>
            <c:dLbl>
              <c:idx val="2"/>
              <c:delete val="1"/>
              <c:extLst>
                <c:ext xmlns:c15="http://schemas.microsoft.com/office/drawing/2012/chart" uri="{CE6537A1-D6FC-4f65-9D91-7224C49458BB}"/>
                <c:ext xmlns:c16="http://schemas.microsoft.com/office/drawing/2014/chart" uri="{C3380CC4-5D6E-409C-BE32-E72D297353CC}">
                  <c16:uniqueId val="{00000009-11FE-7D49-973A-9AD96D85DD6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'Projected Tables'!$O$48:$O$50</c:f>
              <c:numCache>
                <c:formatCode>_("$"* #,##0.00_);_("$"* \(#,##0.00\);_("$"* "-"??_);_(@_)</c:formatCode>
                <c:ptCount val="3"/>
                <c:pt idx="0">
                  <c:v>184.88</c:v>
                </c:pt>
                <c:pt idx="1">
                  <c:v>184.88</c:v>
                </c:pt>
                <c:pt idx="2">
                  <c:v>184.88</c:v>
                </c:pt>
              </c:numCache>
            </c:numRef>
          </c:val>
          <c:smooth val="0"/>
          <c:extLst>
            <c:ext xmlns:c16="http://schemas.microsoft.com/office/drawing/2014/chart" uri="{C3380CC4-5D6E-409C-BE32-E72D297353CC}">
              <c16:uniqueId val="{0000000A-11FE-7D49-973A-9AD96D85DD6E}"/>
            </c:ext>
          </c:extLst>
        </c:ser>
        <c:dLbls>
          <c:showLegendKey val="0"/>
          <c:showVal val="0"/>
          <c:showCatName val="0"/>
          <c:showSerName val="0"/>
          <c:showPercent val="0"/>
          <c:showBubbleSize val="0"/>
        </c:dLbls>
        <c:marker val="1"/>
        <c:smooth val="0"/>
        <c:axId val="788654991"/>
        <c:axId val="789022975"/>
      </c:lineChart>
      <c:catAx>
        <c:axId val="78865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9022975"/>
        <c:crosses val="autoZero"/>
        <c:auto val="1"/>
        <c:lblAlgn val="ctr"/>
        <c:lblOffset val="100"/>
        <c:noMultiLvlLbl val="0"/>
      </c:catAx>
      <c:valAx>
        <c:axId val="789022975"/>
        <c:scaling>
          <c:orientation val="minMax"/>
          <c:max val="400"/>
          <c:min val="150"/>
        </c:scaling>
        <c:delete val="0"/>
        <c:axPos val="l"/>
        <c:numFmt formatCode="_(&quot;$&quot;* #,##0_);_(&quot;$&quot;* \(#,##0\);_(&quot;$&quot;* &quot;-&quot;_);_(@_)"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865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FCF</a:t>
            </a:r>
            <a:r>
              <a:rPr lang="en-US" b="1" baseline="0"/>
              <a:t> Growth Continues but at a Slower Rate Post 2031</a:t>
            </a:r>
          </a:p>
          <a:p>
            <a:pPr>
              <a:defRPr/>
            </a:pPr>
            <a:r>
              <a:rPr lang="en-US" b="1" baseline="0"/>
              <a:t>Figure 9</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Tables'!$A$83</c:f>
              <c:strCache>
                <c:ptCount val="1"/>
                <c:pt idx="0">
                  <c:v>Free Cash Flow</c:v>
                </c:pt>
              </c:strCache>
            </c:strRef>
          </c:tx>
          <c:spPr>
            <a:ln w="28575" cap="rnd">
              <a:solidFill>
                <a:srgbClr val="F96302"/>
              </a:solidFill>
              <a:round/>
            </a:ln>
            <a:effectLst/>
          </c:spPr>
          <c:marker>
            <c:symbol val="square"/>
            <c:size val="6"/>
            <c:spPr>
              <a:solidFill>
                <a:srgbClr val="F96302"/>
              </a:solidFill>
              <a:ln w="9525">
                <a:solidFill>
                  <a:srgbClr val="F96302"/>
                </a:solidFill>
              </a:ln>
              <a:effectLst/>
            </c:spPr>
          </c:marker>
          <c:cat>
            <c:strRef>
              <c:f>'Projected Tables'!$C$4:$K$4</c:f>
              <c:strCache>
                <c:ptCount val="9"/>
                <c:pt idx="0">
                  <c:v>2024</c:v>
                </c:pt>
                <c:pt idx="1">
                  <c:v>2025E</c:v>
                </c:pt>
                <c:pt idx="2">
                  <c:v>2026E</c:v>
                </c:pt>
                <c:pt idx="3">
                  <c:v>2027E</c:v>
                </c:pt>
                <c:pt idx="4">
                  <c:v>2028E</c:v>
                </c:pt>
                <c:pt idx="5">
                  <c:v>2029E</c:v>
                </c:pt>
                <c:pt idx="6">
                  <c:v>2030E</c:v>
                </c:pt>
                <c:pt idx="7">
                  <c:v>2031E</c:v>
                </c:pt>
                <c:pt idx="8">
                  <c:v>2032E</c:v>
                </c:pt>
              </c:strCache>
            </c:strRef>
          </c:cat>
          <c:val>
            <c:numRef>
              <c:f>'Projected Tables'!$C$83:$K$83</c:f>
              <c:numCache>
                <c:formatCode>"$"#,##0</c:formatCode>
                <c:ptCount val="9"/>
                <c:pt idx="0">
                  <c:v>25568000</c:v>
                </c:pt>
                <c:pt idx="1">
                  <c:v>11355594.431156471</c:v>
                </c:pt>
                <c:pt idx="2">
                  <c:v>25806987.282339081</c:v>
                </c:pt>
                <c:pt idx="3">
                  <c:v>27021927.018994551</c:v>
                </c:pt>
                <c:pt idx="4">
                  <c:v>32049152.964098517</c:v>
                </c:pt>
                <c:pt idx="5">
                  <c:v>35634083.563107893</c:v>
                </c:pt>
                <c:pt idx="6">
                  <c:v>40568668.728149824</c:v>
                </c:pt>
                <c:pt idx="7">
                  <c:v>45446077.281993598</c:v>
                </c:pt>
                <c:pt idx="8">
                  <c:v>51056469.872876339</c:v>
                </c:pt>
              </c:numCache>
            </c:numRef>
          </c:val>
          <c:smooth val="0"/>
          <c:extLst>
            <c:ext xmlns:c16="http://schemas.microsoft.com/office/drawing/2014/chart" uri="{C3380CC4-5D6E-409C-BE32-E72D297353CC}">
              <c16:uniqueId val="{00000000-8234-0841-851C-E246D46342BE}"/>
            </c:ext>
          </c:extLst>
        </c:ser>
        <c:dLbls>
          <c:showLegendKey val="0"/>
          <c:showVal val="0"/>
          <c:showCatName val="0"/>
          <c:showSerName val="0"/>
          <c:showPercent val="0"/>
          <c:showBubbleSize val="0"/>
        </c:dLbls>
        <c:marker val="1"/>
        <c:smooth val="0"/>
        <c:axId val="1315068479"/>
        <c:axId val="980684639"/>
      </c:lineChart>
      <c:lineChart>
        <c:grouping val="standard"/>
        <c:varyColors val="0"/>
        <c:ser>
          <c:idx val="1"/>
          <c:order val="1"/>
          <c:tx>
            <c:v>FCF Growth Rate (%)</c:v>
          </c:tx>
          <c:spPr>
            <a:ln w="28575" cap="rnd">
              <a:solidFill>
                <a:srgbClr val="3A3A3A"/>
              </a:solidFill>
              <a:prstDash val="sysDash"/>
              <a:round/>
            </a:ln>
            <a:effectLst/>
          </c:spPr>
          <c:marker>
            <c:symbol val="circle"/>
            <c:size val="5"/>
            <c:spPr>
              <a:solidFill>
                <a:srgbClr val="3A3A3A"/>
              </a:solidFill>
              <a:ln w="9525">
                <a:solidFill>
                  <a:srgbClr val="3A3A3A"/>
                </a:solidFill>
              </a:ln>
              <a:effectLst/>
            </c:spPr>
          </c:marker>
          <c:dPt>
            <c:idx val="1"/>
            <c:marker>
              <c:symbol val="circle"/>
              <c:size val="5"/>
              <c:spPr>
                <a:solidFill>
                  <a:srgbClr val="3A3A3A"/>
                </a:solidFill>
                <a:ln w="9525">
                  <a:solidFill>
                    <a:srgbClr val="3A3A3A"/>
                  </a:solidFill>
                </a:ln>
                <a:effectLst/>
              </c:spPr>
            </c:marker>
            <c:bubble3D val="0"/>
            <c:spPr>
              <a:ln w="28575" cap="rnd">
                <a:solidFill>
                  <a:schemeClr val="bg1">
                    <a:alpha val="0"/>
                  </a:schemeClr>
                </a:solidFill>
                <a:prstDash val="sysDash"/>
                <a:round/>
              </a:ln>
              <a:effectLst/>
            </c:spPr>
            <c:extLst>
              <c:ext xmlns:c16="http://schemas.microsoft.com/office/drawing/2014/chart" uri="{C3380CC4-5D6E-409C-BE32-E72D297353CC}">
                <c16:uniqueId val="{00000002-8234-0841-851C-E246D46342BE}"/>
              </c:ext>
            </c:extLst>
          </c:dPt>
          <c:dPt>
            <c:idx val="2"/>
            <c:marker>
              <c:symbol val="circle"/>
              <c:size val="5"/>
              <c:spPr>
                <a:solidFill>
                  <a:srgbClr val="3A3A3A"/>
                </a:solidFill>
                <a:ln w="9525">
                  <a:solidFill>
                    <a:srgbClr val="3A3A3A"/>
                  </a:solidFill>
                </a:ln>
                <a:effectLst/>
              </c:spPr>
            </c:marker>
            <c:bubble3D val="0"/>
            <c:spPr>
              <a:ln w="28575" cap="rnd">
                <a:solidFill>
                  <a:schemeClr val="bg1">
                    <a:alpha val="0"/>
                  </a:schemeClr>
                </a:solidFill>
                <a:prstDash val="sysDash"/>
                <a:round/>
              </a:ln>
              <a:effectLst/>
            </c:spPr>
            <c:extLst>
              <c:ext xmlns:c16="http://schemas.microsoft.com/office/drawing/2014/chart" uri="{C3380CC4-5D6E-409C-BE32-E72D297353CC}">
                <c16:uniqueId val="{00000004-8234-0841-851C-E246D46342BE}"/>
              </c:ext>
            </c:extLst>
          </c:dPt>
          <c:dLbls>
            <c:dLbl>
              <c:idx val="7"/>
              <c:layout>
                <c:manualLayout>
                  <c:x val="-4.2113810354315419E-2"/>
                  <c:y val="9.9410478582218353E-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fld id="{F5A6158F-F4D8-A14A-B303-58ECD9B03336}" type="CATEGORYNAME">
                      <a:rPr lang="en-US" b="1"/>
                      <a:pPr>
                        <a:defRPr b="1"/>
                      </a:pPr>
                      <a:t>[CATEGORY NAME]</a:t>
                    </a:fld>
                    <a:r>
                      <a:rPr lang="en-US" b="1" baseline="0"/>
                      <a:t>FCF Growth Rate </a:t>
                    </a:r>
                    <a:fld id="{9F832874-53CC-9549-A6C4-3637323831E4}" type="VALUE">
                      <a:rPr lang="en-US" b="1" baseline="0"/>
                      <a:pPr>
                        <a:defRPr b="1"/>
                      </a:pPr>
                      <a:t>[VALUE]</a:t>
                    </a:fld>
                    <a:endParaRPr lang="en-US"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18524519934826"/>
                      <c:h val="0.11330461048401723"/>
                    </c:manualLayout>
                  </c15:layout>
                  <c15:dlblFieldTable/>
                  <c15:showDataLabelsRange val="0"/>
                </c:ext>
                <c:ext xmlns:c16="http://schemas.microsoft.com/office/drawing/2014/chart" uri="{C3380CC4-5D6E-409C-BE32-E72D297353CC}">
                  <c16:uniqueId val="{00000005-8234-0841-851C-E246D46342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'Projected Tables'!$E$4:$J$4</c:f>
              <c:strCache>
                <c:ptCount val="6"/>
                <c:pt idx="0">
                  <c:v>2026E</c:v>
                </c:pt>
                <c:pt idx="1">
                  <c:v>2027E</c:v>
                </c:pt>
                <c:pt idx="2">
                  <c:v>2028E</c:v>
                </c:pt>
                <c:pt idx="3">
                  <c:v>2029E</c:v>
                </c:pt>
                <c:pt idx="4">
                  <c:v>2030E</c:v>
                </c:pt>
                <c:pt idx="5">
                  <c:v>2031E</c:v>
                </c:pt>
              </c:strCache>
            </c:strRef>
          </c:cat>
          <c:val>
            <c:numRef>
              <c:f>'Projected Tables'!$C$106:$J$106</c:f>
              <c:numCache>
                <c:formatCode>0.00%</c:formatCode>
                <c:ptCount val="8"/>
                <c:pt idx="0">
                  <c:v>-0.55586692619068867</c:v>
                </c:pt>
                <c:pt idx="1">
                  <c:v>1.272623193686115</c:v>
                </c:pt>
                <c:pt idx="2">
                  <c:v>4.7077937589673935E-2</c:v>
                </c:pt>
                <c:pt idx="3">
                  <c:v>0.18604246623751797</c:v>
                </c:pt>
                <c:pt idx="4">
                  <c:v>0.11185726508982063</c:v>
                </c:pt>
                <c:pt idx="5">
                  <c:v>0.13847936221799539</c:v>
                </c:pt>
                <c:pt idx="6">
                  <c:v>0.120225994757857</c:v>
                </c:pt>
                <c:pt idx="7">
                  <c:v>0.12345163601404296</c:v>
                </c:pt>
              </c:numCache>
            </c:numRef>
          </c:val>
          <c:smooth val="0"/>
          <c:extLst>
            <c:ext xmlns:c16="http://schemas.microsoft.com/office/drawing/2014/chart" uri="{C3380CC4-5D6E-409C-BE32-E72D297353CC}">
              <c16:uniqueId val="{00000006-8234-0841-851C-E246D46342BE}"/>
            </c:ext>
          </c:extLst>
        </c:ser>
        <c:dLbls>
          <c:showLegendKey val="0"/>
          <c:showVal val="0"/>
          <c:showCatName val="0"/>
          <c:showSerName val="0"/>
          <c:showPercent val="0"/>
          <c:showBubbleSize val="0"/>
        </c:dLbls>
        <c:marker val="1"/>
        <c:smooth val="0"/>
        <c:axId val="1396980591"/>
        <c:axId val="1442714863"/>
      </c:lineChart>
      <c:catAx>
        <c:axId val="131506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0684639"/>
        <c:crosses val="autoZero"/>
        <c:auto val="1"/>
        <c:lblAlgn val="ctr"/>
        <c:lblOffset val="100"/>
        <c:noMultiLvlLbl val="0"/>
      </c:catAx>
      <c:valAx>
        <c:axId val="980684639"/>
        <c:scaling>
          <c:orientation val="minMax"/>
        </c:scaling>
        <c:delete val="0"/>
        <c:axPos val="l"/>
        <c:numFmt formatCode="#,##0,,\ &quot;B&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5068479"/>
        <c:crosses val="autoZero"/>
        <c:crossBetween val="between"/>
      </c:valAx>
      <c:valAx>
        <c:axId val="1442714863"/>
        <c:scaling>
          <c:orientation val="minMax"/>
          <c:max val="0.2"/>
          <c:min val="0.0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80591"/>
        <c:crosses val="max"/>
        <c:crossBetween val="between"/>
      </c:valAx>
      <c:catAx>
        <c:axId val="1396980591"/>
        <c:scaling>
          <c:orientation val="minMax"/>
        </c:scaling>
        <c:delete val="1"/>
        <c:axPos val="b"/>
        <c:numFmt formatCode="General" sourceLinked="1"/>
        <c:majorTickMark val="out"/>
        <c:minorTickMark val="none"/>
        <c:tickLblPos val="nextTo"/>
        <c:crossAx val="144271486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a:t>
            </a:r>
            <a:r>
              <a:rPr lang="en-US" b="1" baseline="0"/>
              <a:t> </a:t>
            </a:r>
            <a:r>
              <a:rPr lang="en-US" b="1"/>
              <a:t>Resilient Inventory Turnover Despite COVID-19 Disruptions</a:t>
            </a:r>
          </a:p>
          <a:p>
            <a:pPr>
              <a:defRPr b="1"/>
            </a:pPr>
            <a:r>
              <a:rPr lang="en-US" b="1"/>
              <a:t>Figure 15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34925" cap="rnd">
              <a:solidFill>
                <a:srgbClr val="F96302"/>
              </a:solidFill>
              <a:round/>
            </a:ln>
            <a:effectLst/>
          </c:spPr>
          <c:marker>
            <c:symbol val="square"/>
            <c:size val="7"/>
            <c:spPr>
              <a:solidFill>
                <a:srgbClr val="F96302"/>
              </a:solidFill>
              <a:ln w="9525">
                <a:solidFill>
                  <a:srgbClr val="F96302"/>
                </a:solidFill>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B5-6841-A4D3-707133C56261}"/>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B5-6841-A4D3-707133C56261}"/>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B5-6841-A4D3-707133C562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Ratios'!$E$7:$N$7</c:f>
              <c:numCache>
                <c:formatCode>0.00</c:formatCode>
                <c:ptCount val="10"/>
                <c:pt idx="0">
                  <c:v>4.8941240184132138</c:v>
                </c:pt>
                <c:pt idx="1">
                  <c:v>4.9330171902786013</c:v>
                </c:pt>
                <c:pt idx="2">
                  <c:v>4.9631046298509842</c:v>
                </c:pt>
                <c:pt idx="3">
                  <c:v>5.2202698462503916</c:v>
                </c:pt>
                <c:pt idx="4">
                  <c:v>5.101831238779174</c:v>
                </c:pt>
                <c:pt idx="5">
                  <c:v>4.9998623632234533</c:v>
                </c:pt>
                <c:pt idx="6">
                  <c:v>5.2479100258615503</c:v>
                </c:pt>
                <c:pt idx="7">
                  <c:v>4.5461754576762736</c:v>
                </c:pt>
                <c:pt idx="8">
                  <c:v>4.2041710198505182</c:v>
                </c:pt>
                <c:pt idx="9">
                  <c:v>4.8488272311212812</c:v>
                </c:pt>
              </c:numCache>
            </c:numRef>
          </c:val>
          <c:smooth val="0"/>
          <c:extLst>
            <c:ext xmlns:c16="http://schemas.microsoft.com/office/drawing/2014/chart" uri="{C3380CC4-5D6E-409C-BE32-E72D297353CC}">
              <c16:uniqueId val="{00000003-CBB5-6841-A4D3-707133C56261}"/>
            </c:ext>
          </c:extLst>
        </c:ser>
        <c:ser>
          <c:idx val="1"/>
          <c:order val="1"/>
          <c:tx>
            <c:strRef>
              <c:f>'Consolidated Ratios'!$A$11</c:f>
              <c:strCache>
                <c:ptCount val="1"/>
                <c:pt idx="0">
                  <c:v>Floor &amp; Decor</c:v>
                </c:pt>
              </c:strCache>
            </c:strRef>
          </c:tx>
          <c:spPr>
            <a:ln w="28575" cap="rnd">
              <a:solidFill>
                <a:srgbClr val="FF0000">
                  <a:alpha val="30000"/>
                </a:srgbClr>
              </a:solidFill>
              <a:round/>
            </a:ln>
            <a:effectLst/>
          </c:spPr>
          <c:marker>
            <c:symbol val="none"/>
          </c:marker>
          <c:dPt>
            <c:idx val="6"/>
            <c:marker>
              <c:symbol val="none"/>
            </c:marker>
            <c:bubble3D val="0"/>
            <c:extLst>
              <c:ext xmlns:c16="http://schemas.microsoft.com/office/drawing/2014/chart" uri="{C3380CC4-5D6E-409C-BE32-E72D297353CC}">
                <c16:uniqueId val="{00000004-CBB5-6841-A4D3-707133C56261}"/>
              </c:ext>
            </c:extLst>
          </c:dPt>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B5-6841-A4D3-707133C56261}"/>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B5-6841-A4D3-707133C562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Ratios'!$E$16:$N$16</c:f>
              <c:numCache>
                <c:formatCode>0.00</c:formatCode>
                <c:ptCount val="10"/>
                <c:pt idx="0">
                  <c:v>1.7294336479937189</c:v>
                </c:pt>
                <c:pt idx="1">
                  <c:v>2.1160802446016711</c:v>
                </c:pt>
                <c:pt idx="2">
                  <c:v>1.8978922771351792</c:v>
                </c:pt>
                <c:pt idx="3">
                  <c:v>2.1391720840569493</c:v>
                </c:pt>
                <c:pt idx="4">
                  <c:v>2.0321586622326486</c:v>
                </c:pt>
                <c:pt idx="5">
                  <c:v>2.1267522935779817</c:v>
                </c:pt>
                <c:pt idx="6">
                  <c:v>1.9950057084702588</c:v>
                </c:pt>
                <c:pt idx="7">
                  <c:v>1.9629237288135593</c:v>
                </c:pt>
                <c:pt idx="8">
                  <c:v>2.3102978800343532</c:v>
                </c:pt>
              </c:numCache>
            </c:numRef>
          </c:val>
          <c:smooth val="0"/>
          <c:extLst>
            <c:ext xmlns:c16="http://schemas.microsoft.com/office/drawing/2014/chart" uri="{C3380CC4-5D6E-409C-BE32-E72D297353CC}">
              <c16:uniqueId val="{00000006-CBB5-6841-A4D3-707133C56261}"/>
            </c:ext>
          </c:extLst>
        </c:ser>
        <c:ser>
          <c:idx val="2"/>
          <c:order val="2"/>
          <c:tx>
            <c:strRef>
              <c:f>'Consolidated Ratios'!$A$20</c:f>
              <c:strCache>
                <c:ptCount val="1"/>
                <c:pt idx="0">
                  <c:v>Lowes</c:v>
                </c:pt>
              </c:strCache>
            </c:strRef>
          </c:tx>
          <c:spPr>
            <a:ln w="2857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Ratios'!$E$25:$N$25</c:f>
              <c:numCache>
                <c:formatCode>0.00</c:formatCode>
                <c:ptCount val="10"/>
                <c:pt idx="0">
                  <c:v>4.1145774884973623</c:v>
                </c:pt>
                <c:pt idx="1">
                  <c:v>4.0710509621484459</c:v>
                </c:pt>
                <c:pt idx="2">
                  <c:v>4.0689424364123159</c:v>
                </c:pt>
                <c:pt idx="3">
                  <c:v>3.9682261037479147</c:v>
                </c:pt>
                <c:pt idx="4">
                  <c:v>3.8532760130562851</c:v>
                </c:pt>
                <c:pt idx="5">
                  <c:v>3.7335913195234842</c:v>
                </c:pt>
                <c:pt idx="6">
                  <c:v>3.7068486383004999</c:v>
                </c:pt>
                <c:pt idx="7">
                  <c:v>3.6463504686168706</c:v>
                </c:pt>
                <c:pt idx="8">
                  <c:v>3.4967623570041009</c:v>
                </c:pt>
                <c:pt idx="9">
                  <c:v>3.4055285900319641</c:v>
                </c:pt>
              </c:numCache>
            </c:numRef>
          </c:val>
          <c:smooth val="0"/>
          <c:extLst>
            <c:ext xmlns:c16="http://schemas.microsoft.com/office/drawing/2014/chart" uri="{C3380CC4-5D6E-409C-BE32-E72D297353CC}">
              <c16:uniqueId val="{00000007-CBB5-6841-A4D3-707133C56261}"/>
            </c:ext>
          </c:extLst>
        </c:ser>
        <c:ser>
          <c:idx val="3"/>
          <c:order val="3"/>
          <c:tx>
            <c:strRef>
              <c:f>'Consolidated Ratios'!$A$29</c:f>
              <c:strCache>
                <c:ptCount val="1"/>
                <c:pt idx="0">
                  <c:v>Walmart</c:v>
                </c:pt>
              </c:strCache>
            </c:strRef>
          </c:tx>
          <c:spPr>
            <a:ln w="28575" cap="rnd">
              <a:solidFill>
                <a:srgbClr val="0071CE">
                  <a:alpha val="25000"/>
                </a:srgbClr>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B5-6841-A4D3-707133C56261}"/>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B5-6841-A4D3-707133C56261}"/>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B5-6841-A4D3-707133C562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Ratios'!$E$34:$N$34</c:f>
              <c:numCache>
                <c:formatCode>0.00</c:formatCode>
                <c:ptCount val="10"/>
                <c:pt idx="0">
                  <c:v>6.6509873934270933</c:v>
                </c:pt>
                <c:pt idx="1">
                  <c:v>6.3805147058823533</c:v>
                </c:pt>
                <c:pt idx="2">
                  <c:v>6.3926669144060444</c:v>
                </c:pt>
                <c:pt idx="3">
                  <c:v>8.3071036063093722</c:v>
                </c:pt>
                <c:pt idx="4">
                  <c:v>8.6711151119612904</c:v>
                </c:pt>
                <c:pt idx="5">
                  <c:v>8.913799724412117</c:v>
                </c:pt>
                <c:pt idx="6">
                  <c:v>9.5999588881529352</c:v>
                </c:pt>
                <c:pt idx="7">
                  <c:v>9.966082795149374</c:v>
                </c:pt>
                <c:pt idx="8">
                  <c:v>10.427961051519036</c:v>
                </c:pt>
                <c:pt idx="9">
                  <c:v>10.858022640171905</c:v>
                </c:pt>
              </c:numCache>
            </c:numRef>
          </c:val>
          <c:smooth val="0"/>
          <c:extLst>
            <c:ext xmlns:c16="http://schemas.microsoft.com/office/drawing/2014/chart" uri="{C3380CC4-5D6E-409C-BE32-E72D297353CC}">
              <c16:uniqueId val="{0000000B-CBB5-6841-A4D3-707133C56261}"/>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scaling>
        <c:delete val="0"/>
        <c:axPos val="l"/>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 Optimized Asset Utilization Drives Consistent Performance</a:t>
            </a:r>
          </a:p>
          <a:p>
            <a:pPr>
              <a:defRPr b="1"/>
            </a:pPr>
            <a:r>
              <a:rPr lang="en-US" b="1"/>
              <a:t>Figure 17</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34925" cap="rnd">
              <a:solidFill>
                <a:srgbClr val="F96302"/>
              </a:solidFill>
              <a:round/>
            </a:ln>
            <a:effectLst/>
          </c:spPr>
          <c:marker>
            <c:symbol val="square"/>
            <c:size val="7"/>
            <c:spPr>
              <a:solidFill>
                <a:srgbClr val="F96302"/>
              </a:solidFill>
              <a:ln w="9525">
                <a:solidFill>
                  <a:srgbClr val="F96302"/>
                </a:solidFill>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52-3B4C-B1A8-F95FF3901E78}"/>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52-3B4C-B1A8-F95FF3901E78}"/>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52-3B4C-B1A8-F95FF3901E78}"/>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52-3B4C-B1A8-F95FF3901E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Ratios'!$E$9:$N$9</c:f>
              <c:numCache>
                <c:formatCode>0.00</c:formatCode>
                <c:ptCount val="10"/>
                <c:pt idx="0">
                  <c:v>2.0822109848295196</c:v>
                </c:pt>
                <c:pt idx="1">
                  <c:v>2.0804014195398248</c:v>
                </c:pt>
                <c:pt idx="2">
                  <c:v>2.2016245403342176</c:v>
                </c:pt>
                <c:pt idx="3">
                  <c:v>2.266028880055694</c:v>
                </c:pt>
                <c:pt idx="4">
                  <c:v>2.4589914324023363</c:v>
                </c:pt>
                <c:pt idx="5">
                  <c:v>2.1513193848075569</c:v>
                </c:pt>
                <c:pt idx="6">
                  <c:v>1.8717501877275755</c:v>
                </c:pt>
                <c:pt idx="7">
                  <c:v>2.1030246535700372</c:v>
                </c:pt>
                <c:pt idx="8">
                  <c:v>2.059035908169272</c:v>
                </c:pt>
                <c:pt idx="9">
                  <c:v>1.9948908924604731</c:v>
                </c:pt>
              </c:numCache>
            </c:numRef>
          </c:val>
          <c:smooth val="0"/>
          <c:extLst>
            <c:ext xmlns:c16="http://schemas.microsoft.com/office/drawing/2014/chart" uri="{C3380CC4-5D6E-409C-BE32-E72D297353CC}">
              <c16:uniqueId val="{00000004-D052-3B4C-B1A8-F95FF3901E78}"/>
            </c:ext>
          </c:extLst>
        </c:ser>
        <c:ser>
          <c:idx val="1"/>
          <c:order val="1"/>
          <c:tx>
            <c:strRef>
              <c:f>'Consolidated Ratios'!$A$11</c:f>
              <c:strCache>
                <c:ptCount val="1"/>
                <c:pt idx="0">
                  <c:v>Floor &amp; Decor</c:v>
                </c:pt>
              </c:strCache>
            </c:strRef>
          </c:tx>
          <c:spPr>
            <a:ln w="28575" cap="rnd">
              <a:solidFill>
                <a:srgbClr val="FF0000">
                  <a:alpha val="70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Ratios'!$E$18:$N$18</c:f>
              <c:numCache>
                <c:formatCode>0.00</c:formatCode>
                <c:ptCount val="10"/>
                <c:pt idx="0">
                  <c:v>1.0469015393490082</c:v>
                </c:pt>
                <c:pt idx="1">
                  <c:v>1.2641987280519176</c:v>
                </c:pt>
                <c:pt idx="2">
                  <c:v>1.2966080270264198</c:v>
                </c:pt>
                <c:pt idx="3">
                  <c:v>1.3855120894650395</c:v>
                </c:pt>
                <c:pt idx="4">
                  <c:v>0.88002756948409189</c:v>
                </c:pt>
                <c:pt idx="5">
                  <c:v>0.84216322244113284</c:v>
                </c:pt>
                <c:pt idx="6">
                  <c:v>0.92034674504348379</c:v>
                </c:pt>
                <c:pt idx="7">
                  <c:v>0.98005879700554455</c:v>
                </c:pt>
                <c:pt idx="8">
                  <c:v>0.94666738158303931</c:v>
                </c:pt>
              </c:numCache>
            </c:numRef>
          </c:val>
          <c:smooth val="0"/>
          <c:extLst>
            <c:ext xmlns:c16="http://schemas.microsoft.com/office/drawing/2014/chart" uri="{C3380CC4-5D6E-409C-BE32-E72D297353CC}">
              <c16:uniqueId val="{00000005-D052-3B4C-B1A8-F95FF3901E78}"/>
            </c:ext>
          </c:extLst>
        </c:ser>
        <c:ser>
          <c:idx val="2"/>
          <c:order val="2"/>
          <c:tx>
            <c:strRef>
              <c:f>'Consolidated Ratios'!$A$20</c:f>
              <c:strCache>
                <c:ptCount val="1"/>
                <c:pt idx="0">
                  <c:v>Lowes</c:v>
                </c:pt>
              </c:strCache>
            </c:strRef>
          </c:tx>
          <c:spPr>
            <a:ln w="2857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Ratios'!$E$27:$N$27</c:f>
              <c:numCache>
                <c:formatCode>0.00</c:formatCode>
                <c:ptCount val="10"/>
                <c:pt idx="0">
                  <c:v>1.7665189933075689</c:v>
                </c:pt>
                <c:pt idx="1">
                  <c:v>1.8894006268790378</c:v>
                </c:pt>
                <c:pt idx="2">
                  <c:v>1.8895896303185307</c:v>
                </c:pt>
                <c:pt idx="3">
                  <c:v>1.944376753279873</c:v>
                </c:pt>
                <c:pt idx="4">
                  <c:v>2.066448359800626</c:v>
                </c:pt>
                <c:pt idx="5">
                  <c:v>1.8278736287400879</c:v>
                </c:pt>
                <c:pt idx="6">
                  <c:v>1.9171284904247352</c:v>
                </c:pt>
                <c:pt idx="7">
                  <c:v>2.1561379928315412</c:v>
                </c:pt>
                <c:pt idx="8">
                  <c:v>2.2206232268692232</c:v>
                </c:pt>
                <c:pt idx="9">
                  <c:v>2.0666826175379831</c:v>
                </c:pt>
              </c:numCache>
            </c:numRef>
          </c:val>
          <c:smooth val="0"/>
          <c:extLst>
            <c:ext xmlns:c16="http://schemas.microsoft.com/office/drawing/2014/chart" uri="{C3380CC4-5D6E-409C-BE32-E72D297353CC}">
              <c16:uniqueId val="{00000006-D052-3B4C-B1A8-F95FF3901E78}"/>
            </c:ext>
          </c:extLst>
        </c:ser>
        <c:ser>
          <c:idx val="3"/>
          <c:order val="3"/>
          <c:tx>
            <c:strRef>
              <c:f>'Consolidated Ratios'!$A$29</c:f>
              <c:strCache>
                <c:ptCount val="1"/>
                <c:pt idx="0">
                  <c:v>Walmart</c:v>
                </c:pt>
              </c:strCache>
            </c:strRef>
          </c:tx>
          <c:spPr>
            <a:ln w="2857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Ratios'!$E$36:$N$36</c:f>
              <c:numCache>
                <c:formatCode>0.00</c:formatCode>
                <c:ptCount val="10"/>
                <c:pt idx="0">
                  <c:v>1.9241399530109071</c:v>
                </c:pt>
                <c:pt idx="1">
                  <c:v>1.9824668889830055</c:v>
                </c:pt>
                <c:pt idx="2">
                  <c:v>1.984288981458793</c:v>
                </c:pt>
                <c:pt idx="3">
                  <c:v>1.9815878271338949</c:v>
                </c:pt>
                <c:pt idx="4">
                  <c:v>2.1751199813949555</c:v>
                </c:pt>
                <c:pt idx="5">
                  <c:v>2.3893112018057865</c:v>
                </c:pt>
                <c:pt idx="6">
                  <c:v>2.7339406029669182</c:v>
                </c:pt>
                <c:pt idx="7">
                  <c:v>2.8806940777065257</c:v>
                </c:pt>
                <c:pt idx="8">
                  <c:v>3.0628616952515522</c:v>
                </c:pt>
                <c:pt idx="9">
                  <c:v>3.1816686793712505</c:v>
                </c:pt>
              </c:numCache>
            </c:numRef>
          </c:val>
          <c:smooth val="0"/>
          <c:extLst>
            <c:ext xmlns:c16="http://schemas.microsoft.com/office/drawing/2014/chart" uri="{C3380CC4-5D6E-409C-BE32-E72D297353CC}">
              <c16:uniqueId val="{00000007-D052-3B4C-B1A8-F95FF3901E78}"/>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ax val="3.3"/>
          <c:min val="0.6"/>
        </c:scaling>
        <c:delete val="0"/>
        <c:axPos val="l"/>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 Stable Inventory Management with</a:t>
            </a:r>
            <a:r>
              <a:rPr lang="en-US" b="1" baseline="0"/>
              <a:t> Minimal Disruptions</a:t>
            </a:r>
          </a:p>
          <a:p>
            <a:pPr>
              <a:defRPr b="1"/>
            </a:pPr>
            <a:r>
              <a:rPr lang="en-US" b="1" baseline="0"/>
              <a:t>Figure 16</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34925" cap="rnd">
              <a:solidFill>
                <a:srgbClr val="F96302"/>
              </a:solidFill>
              <a:round/>
            </a:ln>
            <a:effectLst/>
          </c:spPr>
          <c:marker>
            <c:symbol val="square"/>
            <c:size val="7"/>
            <c:spPr>
              <a:solidFill>
                <a:srgbClr val="F96302"/>
              </a:solidFill>
              <a:ln w="9525">
                <a:solidFill>
                  <a:srgbClr val="F96302"/>
                </a:solidFill>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A3-D84D-86AF-B825F2E615F4}"/>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A3-D84D-86AF-B825F2E615F4}"/>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A3-D84D-86AF-B825F2E615F4}"/>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A3-D84D-86AF-B825F2E615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Ratios'!$E$8:$N$8</c:f>
              <c:numCache>
                <c:formatCode>0.00</c:formatCode>
                <c:ptCount val="10"/>
                <c:pt idx="0">
                  <c:v>74.579229832909164</c:v>
                </c:pt>
                <c:pt idx="1">
                  <c:v>73.991228070175438</c:v>
                </c:pt>
                <c:pt idx="2">
                  <c:v>73.542676856876781</c:v>
                </c:pt>
                <c:pt idx="3">
                  <c:v>69.919757167758618</c:v>
                </c:pt>
                <c:pt idx="4">
                  <c:v>71.542938783553623</c:v>
                </c:pt>
                <c:pt idx="5">
                  <c:v>73.002009552255245</c:v>
                </c:pt>
                <c:pt idx="6">
                  <c:v>69.551497301076139</c:v>
                </c:pt>
                <c:pt idx="7">
                  <c:v>80.287266384251183</c:v>
                </c:pt>
                <c:pt idx="8">
                  <c:v>86.818542413381124</c:v>
                </c:pt>
                <c:pt idx="9">
                  <c:v>75.27593428310179</c:v>
                </c:pt>
              </c:numCache>
            </c:numRef>
          </c:val>
          <c:smooth val="0"/>
          <c:extLst>
            <c:ext xmlns:c16="http://schemas.microsoft.com/office/drawing/2014/chart" uri="{C3380CC4-5D6E-409C-BE32-E72D297353CC}">
              <c16:uniqueId val="{00000004-60A3-D84D-86AF-B825F2E615F4}"/>
            </c:ext>
          </c:extLst>
        </c:ser>
        <c:ser>
          <c:idx val="1"/>
          <c:order val="1"/>
          <c:tx>
            <c:strRef>
              <c:f>'Consolidated Ratios'!$A$11</c:f>
              <c:strCache>
                <c:ptCount val="1"/>
                <c:pt idx="0">
                  <c:v>Floor &amp; Decor</c:v>
                </c:pt>
              </c:strCache>
            </c:strRef>
          </c:tx>
          <c:spPr>
            <a:ln w="28575" cap="rnd">
              <a:solidFill>
                <a:srgbClr val="FF0000">
                  <a:alpha val="30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Ratios'!$E$17:$N$17</c:f>
              <c:numCache>
                <c:formatCode>0.00</c:formatCode>
                <c:ptCount val="10"/>
                <c:pt idx="0">
                  <c:v>211.0517512038864</c:v>
                </c:pt>
                <c:pt idx="1">
                  <c:v>172.48873284987698</c:v>
                </c:pt>
                <c:pt idx="2">
                  <c:v>192.31860754023319</c:v>
                </c:pt>
                <c:pt idx="3">
                  <c:v>170.62675916552533</c:v>
                </c:pt>
                <c:pt idx="4">
                  <c:v>179.61195982551362</c:v>
                </c:pt>
                <c:pt idx="5">
                  <c:v>171.62318390447595</c:v>
                </c:pt>
                <c:pt idx="6">
                  <c:v>182.95686997300709</c:v>
                </c:pt>
                <c:pt idx="7">
                  <c:v>185.94711279007015</c:v>
                </c:pt>
                <c:pt idx="8">
                  <c:v>157.98828504078989</c:v>
                </c:pt>
              </c:numCache>
            </c:numRef>
          </c:val>
          <c:smooth val="0"/>
          <c:extLst>
            <c:ext xmlns:c16="http://schemas.microsoft.com/office/drawing/2014/chart" uri="{C3380CC4-5D6E-409C-BE32-E72D297353CC}">
              <c16:uniqueId val="{00000005-60A3-D84D-86AF-B825F2E615F4}"/>
            </c:ext>
          </c:extLst>
        </c:ser>
        <c:ser>
          <c:idx val="2"/>
          <c:order val="2"/>
          <c:tx>
            <c:strRef>
              <c:f>'Consolidated Ratios'!$A$20</c:f>
              <c:strCache>
                <c:ptCount val="1"/>
                <c:pt idx="0">
                  <c:v>Lowes</c:v>
                </c:pt>
              </c:strCache>
            </c:strRef>
          </c:tx>
          <c:spPr>
            <a:ln w="2857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Ratios'!$E$26:$N$26</c:f>
              <c:numCache>
                <c:formatCode>0.00</c:formatCode>
                <c:ptCount val="10"/>
                <c:pt idx="0">
                  <c:v>88.708986772126011</c:v>
                </c:pt>
                <c:pt idx="1">
                  <c:v>89.657438188240178</c:v>
                </c:pt>
                <c:pt idx="2">
                  <c:v>89.70389866754401</c:v>
                </c:pt>
                <c:pt idx="3">
                  <c:v>91.98064587480647</c:v>
                </c:pt>
                <c:pt idx="4">
                  <c:v>94.724592467097793</c:v>
                </c:pt>
                <c:pt idx="5">
                  <c:v>97.761101514073772</c:v>
                </c:pt>
                <c:pt idx="6">
                  <c:v>98.46638900458143</c:v>
                </c:pt>
                <c:pt idx="7">
                  <c:v>100.10008723556717</c:v>
                </c:pt>
                <c:pt idx="8">
                  <c:v>104.38227215209407</c:v>
                </c:pt>
                <c:pt idx="9">
                  <c:v>107.17866268054856</c:v>
                </c:pt>
              </c:numCache>
            </c:numRef>
          </c:val>
          <c:smooth val="0"/>
          <c:extLst>
            <c:ext xmlns:c16="http://schemas.microsoft.com/office/drawing/2014/chart" uri="{C3380CC4-5D6E-409C-BE32-E72D297353CC}">
              <c16:uniqueId val="{00000006-60A3-D84D-86AF-B825F2E615F4}"/>
            </c:ext>
          </c:extLst>
        </c:ser>
        <c:ser>
          <c:idx val="3"/>
          <c:order val="3"/>
          <c:tx>
            <c:strRef>
              <c:f>'Consolidated Ratios'!$A$29</c:f>
              <c:strCache>
                <c:ptCount val="1"/>
                <c:pt idx="0">
                  <c:v>Walmart</c:v>
                </c:pt>
              </c:strCache>
            </c:strRef>
          </c:tx>
          <c:spPr>
            <a:ln w="2857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Ratios'!$E$35:$N$35</c:f>
              <c:numCache>
                <c:formatCode>0.00</c:formatCode>
                <c:ptCount val="10"/>
                <c:pt idx="0">
                  <c:v>54.879069589083116</c:v>
                </c:pt>
                <c:pt idx="1">
                  <c:v>57.205416306539902</c:v>
                </c:pt>
                <c:pt idx="2">
                  <c:v>57.096671058750587</c:v>
                </c:pt>
                <c:pt idx="3">
                  <c:v>43.938298749852706</c:v>
                </c:pt>
                <c:pt idx="4">
                  <c:v>42.093778630213791</c:v>
                </c:pt>
                <c:pt idx="5">
                  <c:v>40.947745213567998</c:v>
                </c:pt>
                <c:pt idx="6">
                  <c:v>38.020996157643673</c:v>
                </c:pt>
                <c:pt idx="7">
                  <c:v>36.624219114219116</c:v>
                </c:pt>
                <c:pt idx="8">
                  <c:v>35.002048645629593</c:v>
                </c:pt>
                <c:pt idx="9">
                  <c:v>33.61569708370228</c:v>
                </c:pt>
              </c:numCache>
            </c:numRef>
          </c:val>
          <c:smooth val="0"/>
          <c:extLst>
            <c:ext xmlns:c16="http://schemas.microsoft.com/office/drawing/2014/chart" uri="{C3380CC4-5D6E-409C-BE32-E72D297353CC}">
              <c16:uniqueId val="{00000007-60A3-D84D-86AF-B825F2E615F4}"/>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max val="220"/>
          <c:min val="30"/>
        </c:scaling>
        <c:delete val="0"/>
        <c:axPos val="l"/>
        <c:numFmt formatCode="0" sourceLinked="0"/>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HD's</a:t>
            </a:r>
            <a:r>
              <a:rPr lang="en-US" b="1" baseline="0"/>
              <a:t> Consistent Strong Profit Margins Reflects Operational Excellence</a:t>
            </a:r>
          </a:p>
          <a:p>
            <a:pPr>
              <a:defRPr b="1"/>
            </a:pPr>
            <a:r>
              <a:rPr lang="en-US" b="1" baseline="0"/>
              <a:t>Figure 18</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'Consolidated Ratios'!$A$2</c:f>
              <c:strCache>
                <c:ptCount val="1"/>
                <c:pt idx="0">
                  <c:v>The Home Depot</c:v>
                </c:pt>
              </c:strCache>
            </c:strRef>
          </c:tx>
          <c:spPr>
            <a:ln w="28575" cap="rnd">
              <a:solidFill>
                <a:srgbClr val="F96302"/>
              </a:solidFill>
              <a:round/>
            </a:ln>
            <a:effectLst/>
          </c:spPr>
          <c:marker>
            <c:symbol val="square"/>
            <c:size val="7"/>
            <c:spPr>
              <a:solidFill>
                <a:srgbClr val="F96302"/>
              </a:solidFill>
              <a:ln w="9525">
                <a:solidFill>
                  <a:srgbClr val="F96302"/>
                </a:solidFill>
              </a:ln>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1E-1944-A9A7-8BE1E1730025}"/>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1E-1944-A9A7-8BE1E1730025}"/>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1E-1944-A9A7-8BE1E1730025}"/>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1E-1944-A9A7-8BE1E173002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Ratios'!$E$10:$N$10</c:f>
              <c:numCache>
                <c:formatCode>0.00</c:formatCode>
                <c:ptCount val="10"/>
                <c:pt idx="0">
                  <c:v>7.6284024237760886E-2</c:v>
                </c:pt>
                <c:pt idx="1">
                  <c:v>7.9180740857894921E-2</c:v>
                </c:pt>
                <c:pt idx="2">
                  <c:v>8.4116496643585809E-2</c:v>
                </c:pt>
                <c:pt idx="3">
                  <c:v>8.5526837389994448E-2</c:v>
                </c:pt>
                <c:pt idx="4">
                  <c:v>0.10277903570141309</c:v>
                </c:pt>
                <c:pt idx="5">
                  <c:v>0.10199138126559311</c:v>
                </c:pt>
                <c:pt idx="6">
                  <c:v>9.738853985315267E-2</c:v>
                </c:pt>
                <c:pt idx="7">
                  <c:v>0.10871477999695681</c:v>
                </c:pt>
                <c:pt idx="8">
                  <c:v>0.10867010158637383</c:v>
                </c:pt>
                <c:pt idx="9">
                  <c:v>9.9188440351348342E-2</c:v>
                </c:pt>
              </c:numCache>
            </c:numRef>
          </c:val>
          <c:smooth val="0"/>
          <c:extLst>
            <c:ext xmlns:c16="http://schemas.microsoft.com/office/drawing/2014/chart" uri="{C3380CC4-5D6E-409C-BE32-E72D297353CC}">
              <c16:uniqueId val="{00000004-951E-1944-A9A7-8BE1E1730025}"/>
            </c:ext>
          </c:extLst>
        </c:ser>
        <c:ser>
          <c:idx val="1"/>
          <c:order val="1"/>
          <c:tx>
            <c:strRef>
              <c:f>'Consolidated Ratios'!$A$11</c:f>
              <c:strCache>
                <c:ptCount val="1"/>
                <c:pt idx="0">
                  <c:v>Floor &amp; Decor</c:v>
                </c:pt>
              </c:strCache>
            </c:strRef>
          </c:tx>
          <c:spPr>
            <a:ln w="28575" cap="rnd">
              <a:solidFill>
                <a:srgbClr val="FF0000">
                  <a:alpha val="70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Ratios'!$E$19:$N$19</c:f>
              <c:numCache>
                <c:formatCode>0.00%</c:formatCode>
                <c:ptCount val="10"/>
                <c:pt idx="0">
                  <c:v>3.4192078692673072E-2</c:v>
                </c:pt>
                <c:pt idx="1">
                  <c:v>4.0959915641931216E-2</c:v>
                </c:pt>
                <c:pt idx="2">
                  <c:v>7.422764985011919E-2</c:v>
                </c:pt>
                <c:pt idx="3">
                  <c:v>6.7951654182126134E-2</c:v>
                </c:pt>
                <c:pt idx="4">
                  <c:v>7.364176985474144E-2</c:v>
                </c:pt>
                <c:pt idx="5">
                  <c:v>8.0378417240088582E-2</c:v>
                </c:pt>
                <c:pt idx="6">
                  <c:v>8.2489377559499213E-2</c:v>
                </c:pt>
                <c:pt idx="7">
                  <c:v>6.992540461623277E-2</c:v>
                </c:pt>
                <c:pt idx="8">
                  <c:v>5.5728696087164957E-2</c:v>
                </c:pt>
              </c:numCache>
            </c:numRef>
          </c:val>
          <c:smooth val="0"/>
          <c:extLst>
            <c:ext xmlns:c16="http://schemas.microsoft.com/office/drawing/2014/chart" uri="{C3380CC4-5D6E-409C-BE32-E72D297353CC}">
              <c16:uniqueId val="{00000005-951E-1944-A9A7-8BE1E1730025}"/>
            </c:ext>
          </c:extLst>
        </c:ser>
        <c:ser>
          <c:idx val="2"/>
          <c:order val="2"/>
          <c:tx>
            <c:strRef>
              <c:f>'Consolidated Ratios'!$A$20</c:f>
              <c:strCache>
                <c:ptCount val="1"/>
                <c:pt idx="0">
                  <c:v>Lowes</c:v>
                </c:pt>
              </c:strCache>
            </c:strRef>
          </c:tx>
          <c:spPr>
            <a:ln w="28575" cap="rnd">
              <a:solidFill>
                <a:srgbClr val="004990">
                  <a:alpha val="4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Ratios'!$E$28:$N$28</c:f>
              <c:numCache>
                <c:formatCode>0.00%</c:formatCode>
                <c:ptCount val="10"/>
                <c:pt idx="0">
                  <c:v>4.798747843409281E-2</c:v>
                </c:pt>
                <c:pt idx="1">
                  <c:v>4.30984866438704E-2</c:v>
                </c:pt>
                <c:pt idx="2">
                  <c:v>4.7572173431564051E-2</c:v>
                </c:pt>
                <c:pt idx="3">
                  <c:v>5.023390023171425E-2</c:v>
                </c:pt>
                <c:pt idx="4">
                  <c:v>3.2450321838758081E-2</c:v>
                </c:pt>
                <c:pt idx="5">
                  <c:v>5.9336364140378114E-2</c:v>
                </c:pt>
                <c:pt idx="6">
                  <c:v>6.5124948379968073E-2</c:v>
                </c:pt>
                <c:pt idx="7">
                  <c:v>8.7709090909090903E-2</c:v>
                </c:pt>
                <c:pt idx="8">
                  <c:v>6.6320485477905186E-2</c:v>
                </c:pt>
                <c:pt idx="9">
                  <c:v>8.9445106915035252E-2</c:v>
                </c:pt>
              </c:numCache>
            </c:numRef>
          </c:val>
          <c:smooth val="0"/>
          <c:extLst>
            <c:ext xmlns:c16="http://schemas.microsoft.com/office/drawing/2014/chart" uri="{C3380CC4-5D6E-409C-BE32-E72D297353CC}">
              <c16:uniqueId val="{00000006-951E-1944-A9A7-8BE1E1730025}"/>
            </c:ext>
          </c:extLst>
        </c:ser>
        <c:ser>
          <c:idx val="3"/>
          <c:order val="3"/>
          <c:tx>
            <c:strRef>
              <c:f>'Consolidated Ratios'!$A$29</c:f>
              <c:strCache>
                <c:ptCount val="1"/>
                <c:pt idx="0">
                  <c:v>Walmart</c:v>
                </c:pt>
              </c:strCache>
            </c:strRef>
          </c:tx>
          <c:spPr>
            <a:ln w="28575" cap="rnd">
              <a:solidFill>
                <a:srgbClr val="0071CE">
                  <a:alpha val="25000"/>
                </a:srgbClr>
              </a:solidFill>
              <a:round/>
            </a:ln>
            <a:effectLst/>
          </c:spPr>
          <c:marker>
            <c:symbol val="none"/>
          </c:marker>
          <c:cat>
            <c:numRef>
              <c:f>'Consolidated Ratios'!$E$1:$N$1</c:f>
              <c:numCache>
                <c:formatCode>yyyy</c:formatCode>
                <c:ptCount val="10"/>
                <c:pt idx="0">
                  <c:v>42036</c:v>
                </c:pt>
                <c:pt idx="1">
                  <c:v>42400</c:v>
                </c:pt>
                <c:pt idx="2">
                  <c:v>42764</c:v>
                </c:pt>
                <c:pt idx="3">
                  <c:v>43128</c:v>
                </c:pt>
                <c:pt idx="4">
                  <c:v>43499</c:v>
                </c:pt>
                <c:pt idx="5">
                  <c:v>43863</c:v>
                </c:pt>
                <c:pt idx="6">
                  <c:v>44227</c:v>
                </c:pt>
                <c:pt idx="7">
                  <c:v>44591</c:v>
                </c:pt>
                <c:pt idx="8">
                  <c:v>44955</c:v>
                </c:pt>
                <c:pt idx="9">
                  <c:v>45319</c:v>
                </c:pt>
              </c:numCache>
            </c:numRef>
          </c:cat>
          <c:val>
            <c:numRef>
              <c:f>'Consolidated Ratios'!$E$37:$N$37</c:f>
              <c:numCache>
                <c:formatCode>0.00%</c:formatCode>
                <c:ptCount val="10"/>
                <c:pt idx="0">
                  <c:v>3.369291940096901E-2</c:v>
                </c:pt>
                <c:pt idx="1">
                  <c:v>3.0477257171302344E-2</c:v>
                </c:pt>
                <c:pt idx="2">
                  <c:v>2.8079354069890691E-2</c:v>
                </c:pt>
                <c:pt idx="3">
                  <c:v>1.9710478611672393E-2</c:v>
                </c:pt>
                <c:pt idx="4">
                  <c:v>1.2966436951429322E-2</c:v>
                </c:pt>
                <c:pt idx="5">
                  <c:v>2.8400806162255422E-2</c:v>
                </c:pt>
                <c:pt idx="6">
                  <c:v>2.4161630758059986E-2</c:v>
                </c:pt>
                <c:pt idx="7">
                  <c:v>2.3872378019184501E-2</c:v>
                </c:pt>
                <c:pt idx="8">
                  <c:v>1.9107165350595218E-2</c:v>
                </c:pt>
                <c:pt idx="9">
                  <c:v>2.3932111861137896E-2</c:v>
                </c:pt>
              </c:numCache>
            </c:numRef>
          </c:val>
          <c:smooth val="0"/>
          <c:extLst>
            <c:ext xmlns:c16="http://schemas.microsoft.com/office/drawing/2014/chart" uri="{C3380CC4-5D6E-409C-BE32-E72D297353CC}">
              <c16:uniqueId val="{00000007-951E-1944-A9A7-8BE1E1730025}"/>
            </c:ext>
          </c:extLst>
        </c:ser>
        <c:dLbls>
          <c:showLegendKey val="0"/>
          <c:showVal val="0"/>
          <c:showCatName val="0"/>
          <c:showSerName val="0"/>
          <c:showPercent val="0"/>
          <c:showBubbleSize val="0"/>
        </c:dLbls>
        <c:marker val="1"/>
        <c:smooth val="0"/>
        <c:axId val="1273222703"/>
        <c:axId val="1273203183"/>
      </c:lineChart>
      <c:catAx>
        <c:axId val="1273222703"/>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03183"/>
        <c:crosses val="autoZero"/>
        <c:auto val="0"/>
        <c:lblAlgn val="ctr"/>
        <c:lblOffset val="100"/>
        <c:noMultiLvlLbl val="0"/>
      </c:catAx>
      <c:valAx>
        <c:axId val="1273203183"/>
        <c:scaling>
          <c:orientation val="minMax"/>
        </c:scaling>
        <c:delete val="0"/>
        <c:axPos val="l"/>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322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tx1">
                    <a:lumMod val="65000"/>
                    <a:lumOff val="35000"/>
                  </a:schemeClr>
                </a:solidFill>
              </a:rPr>
              <a:t>Volatility in Debt to Equity: COVID-19 Impact and Post Pandemic Surge</a:t>
            </a:r>
          </a:p>
          <a:p>
            <a:pPr>
              <a:defRPr sz="1600"/>
            </a:pPr>
            <a:r>
              <a:rPr lang="en-US" sz="1600" b="1" i="0" u="none" strike="noStrike" baseline="0">
                <a:solidFill>
                  <a:schemeClr val="tx1">
                    <a:lumMod val="65000"/>
                    <a:lumOff val="35000"/>
                  </a:schemeClr>
                </a:solidFill>
              </a:rPr>
              <a:t>Figure 14</a:t>
            </a:r>
            <a:endParaRPr lang="en-US" sz="16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Debt to Equity</c:v>
          </c:tx>
          <c:spPr>
            <a:solidFill>
              <a:srgbClr val="F96302"/>
            </a:solidFill>
            <a:ln>
              <a:noFill/>
            </a:ln>
            <a:effectLst/>
          </c:spPr>
          <c:invertIfNegative val="0"/>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E99-1149-B9A8-8EDB9AE3F954}"/>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99-1149-B9A8-8EDB9AE3F954}"/>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99-1149-B9A8-8EDB9AE3F954}"/>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99-1149-B9A8-8EDB9AE3F954}"/>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99-1149-B9A8-8EDB9AE3F95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Sales'!$B$54:$K$54</c:f>
              <c:numCache>
                <c:formatCode>0.00</c:formatCode>
                <c:ptCount val="10"/>
                <c:pt idx="0">
                  <c:v>3.2851319459343489</c:v>
                </c:pt>
                <c:pt idx="1">
                  <c:v>5.736700443318556</c:v>
                </c:pt>
                <c:pt idx="2">
                  <c:v>8.915993537964459</c:v>
                </c:pt>
                <c:pt idx="3">
                  <c:v>29.625171939477305</c:v>
                </c:pt>
                <c:pt idx="4">
                  <c:v>-24.430777422790204</c:v>
                </c:pt>
                <c:pt idx="5">
                  <c:v>-17.442875481386391</c:v>
                </c:pt>
                <c:pt idx="6">
                  <c:v>20.394665050015156</c:v>
                </c:pt>
                <c:pt idx="7">
                  <c:v>-43.379716981132077</c:v>
                </c:pt>
                <c:pt idx="8">
                  <c:v>47.940460947503205</c:v>
                </c:pt>
                <c:pt idx="9">
                  <c:v>72.304597701149433</c:v>
                </c:pt>
              </c:numCache>
            </c:numRef>
          </c:val>
          <c:extLst>
            <c:ext xmlns:c16="http://schemas.microsoft.com/office/drawing/2014/chart" uri="{C3380CC4-5D6E-409C-BE32-E72D297353CC}">
              <c16:uniqueId val="{00000005-DE99-1149-B9A8-8EDB9AE3F954}"/>
            </c:ext>
          </c:extLst>
        </c:ser>
        <c:dLbls>
          <c:showLegendKey val="0"/>
          <c:showVal val="0"/>
          <c:showCatName val="0"/>
          <c:showSerName val="0"/>
          <c:showPercent val="0"/>
          <c:showBubbleSize val="0"/>
        </c:dLbls>
        <c:gapWidth val="150"/>
        <c:axId val="997383280"/>
        <c:axId val="997384992"/>
      </c:barChart>
      <c:catAx>
        <c:axId val="997383280"/>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4992"/>
        <c:crosses val="autoZero"/>
        <c:auto val="0"/>
        <c:lblAlgn val="ctr"/>
        <c:lblOffset val="100"/>
        <c:noMultiLvlLbl val="0"/>
      </c:catAx>
      <c:valAx>
        <c:axId val="997384992"/>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3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lumMod val="65000"/>
                    <a:lumOff val="35000"/>
                  </a:schemeClr>
                </a:solidFill>
              </a:rPr>
              <a:t>Short Term Solvency</a:t>
            </a:r>
            <a:r>
              <a:rPr lang="en-US" sz="1600" b="1" baseline="0">
                <a:solidFill>
                  <a:schemeClr val="tx1">
                    <a:lumMod val="65000"/>
                    <a:lumOff val="35000"/>
                  </a:schemeClr>
                </a:solidFill>
              </a:rPr>
              <a:t> Ratios</a:t>
            </a:r>
          </a:p>
          <a:p>
            <a:pPr>
              <a:defRPr sz="1600"/>
            </a:pPr>
            <a:r>
              <a:rPr lang="en-US" sz="1600" b="1" baseline="0">
                <a:solidFill>
                  <a:schemeClr val="tx1">
                    <a:lumMod val="65000"/>
                    <a:lumOff val="35000"/>
                  </a:schemeClr>
                </a:solidFill>
              </a:rPr>
              <a:t>Figure 12</a:t>
            </a:r>
            <a:endParaRPr lang="en-US" sz="16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Quick Ratio</c:v>
          </c:tx>
          <c:spPr>
            <a:solidFill>
              <a:srgbClr val="F96302"/>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0-2817-654A-89A1-BBE6954836E6}"/>
                </c:ext>
              </c:extLst>
            </c:dLbl>
            <c:dLbl>
              <c:idx val="2"/>
              <c:delete val="1"/>
              <c:extLst>
                <c:ext xmlns:c15="http://schemas.microsoft.com/office/drawing/2012/chart" uri="{CE6537A1-D6FC-4f65-9D91-7224C49458BB}"/>
                <c:ext xmlns:c16="http://schemas.microsoft.com/office/drawing/2014/chart" uri="{C3380CC4-5D6E-409C-BE32-E72D297353CC}">
                  <c16:uniqueId val="{00000001-2817-654A-89A1-BBE6954836E6}"/>
                </c:ext>
              </c:extLst>
            </c:dLbl>
            <c:dLbl>
              <c:idx val="3"/>
              <c:delete val="1"/>
              <c:extLst>
                <c:ext xmlns:c15="http://schemas.microsoft.com/office/drawing/2012/chart" uri="{CE6537A1-D6FC-4f65-9D91-7224C49458BB}"/>
                <c:ext xmlns:c16="http://schemas.microsoft.com/office/drawing/2014/chart" uri="{C3380CC4-5D6E-409C-BE32-E72D297353CC}">
                  <c16:uniqueId val="{00000002-2817-654A-89A1-BBE6954836E6}"/>
                </c:ext>
              </c:extLst>
            </c:dLbl>
            <c:dLbl>
              <c:idx val="4"/>
              <c:delete val="1"/>
              <c:extLst>
                <c:ext xmlns:c15="http://schemas.microsoft.com/office/drawing/2012/chart" uri="{CE6537A1-D6FC-4f65-9D91-7224C49458BB}"/>
                <c:ext xmlns:c16="http://schemas.microsoft.com/office/drawing/2014/chart" uri="{C3380CC4-5D6E-409C-BE32-E72D297353CC}">
                  <c16:uniqueId val="{00000003-2817-654A-89A1-BBE6954836E6}"/>
                </c:ext>
              </c:extLst>
            </c:dLbl>
            <c:dLbl>
              <c:idx val="7"/>
              <c:delete val="1"/>
              <c:extLst>
                <c:ext xmlns:c15="http://schemas.microsoft.com/office/drawing/2012/chart" uri="{CE6537A1-D6FC-4f65-9D91-7224C49458BB}"/>
                <c:ext xmlns:c16="http://schemas.microsoft.com/office/drawing/2014/chart" uri="{C3380CC4-5D6E-409C-BE32-E72D297353CC}">
                  <c16:uniqueId val="{00000004-2817-654A-89A1-BBE6954836E6}"/>
                </c:ext>
              </c:extLst>
            </c:dLbl>
            <c:dLbl>
              <c:idx val="8"/>
              <c:delete val="1"/>
              <c:extLst>
                <c:ext xmlns:c15="http://schemas.microsoft.com/office/drawing/2012/chart" uri="{CE6537A1-D6FC-4f65-9D91-7224C49458BB}"/>
                <c:ext xmlns:c16="http://schemas.microsoft.com/office/drawing/2014/chart" uri="{C3380CC4-5D6E-409C-BE32-E72D297353CC}">
                  <c16:uniqueId val="{00000005-2817-654A-89A1-BBE6954836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Sales'!$B$49:$K$49</c:f>
              <c:numCache>
                <c:formatCode>0.00</c:formatCode>
                <c:ptCount val="10"/>
                <c:pt idx="0">
                  <c:v>0.37474487532167883</c:v>
                </c:pt>
                <c:pt idx="1">
                  <c:v>0.4138591729203257</c:v>
                </c:pt>
                <c:pt idx="2">
                  <c:v>0.36616429632774372</c:v>
                </c:pt>
                <c:pt idx="3">
                  <c:v>0.38193157959738167</c:v>
                </c:pt>
                <c:pt idx="4">
                  <c:v>0.2754247427614262</c:v>
                </c:pt>
                <c:pt idx="5">
                  <c:v>0.28729251700680286</c:v>
                </c:pt>
                <c:pt idx="6">
                  <c:v>0.51152551152551162</c:v>
                </c:pt>
                <c:pt idx="7">
                  <c:v>0.24350886975917471</c:v>
                </c:pt>
                <c:pt idx="8">
                  <c:v>0.32821289485071387</c:v>
                </c:pt>
                <c:pt idx="9">
                  <c:v>0.39968203497615268</c:v>
                </c:pt>
              </c:numCache>
            </c:numRef>
          </c:val>
          <c:extLst>
            <c:ext xmlns:c16="http://schemas.microsoft.com/office/drawing/2014/chart" uri="{C3380CC4-5D6E-409C-BE32-E72D297353CC}">
              <c16:uniqueId val="{00000006-2817-654A-89A1-BBE6954836E6}"/>
            </c:ext>
          </c:extLst>
        </c:ser>
        <c:ser>
          <c:idx val="2"/>
          <c:order val="1"/>
          <c:tx>
            <c:v>Cash</c:v>
          </c:tx>
          <c:spPr>
            <a:solidFill>
              <a:schemeClr val="accent6">
                <a:lumMod val="60000"/>
                <a:lumOff val="4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2817-654A-89A1-BBE6954836E6}"/>
                </c:ext>
              </c:extLst>
            </c:dLbl>
            <c:dLbl>
              <c:idx val="2"/>
              <c:delete val="1"/>
              <c:extLst>
                <c:ext xmlns:c15="http://schemas.microsoft.com/office/drawing/2012/chart" uri="{CE6537A1-D6FC-4f65-9D91-7224C49458BB}"/>
                <c:ext xmlns:c16="http://schemas.microsoft.com/office/drawing/2014/chart" uri="{C3380CC4-5D6E-409C-BE32-E72D297353CC}">
                  <c16:uniqueId val="{00000008-2817-654A-89A1-BBE6954836E6}"/>
                </c:ext>
              </c:extLst>
            </c:dLbl>
            <c:dLbl>
              <c:idx val="3"/>
              <c:delete val="1"/>
              <c:extLst>
                <c:ext xmlns:c15="http://schemas.microsoft.com/office/drawing/2012/chart" uri="{CE6537A1-D6FC-4f65-9D91-7224C49458BB}"/>
                <c:ext xmlns:c16="http://schemas.microsoft.com/office/drawing/2014/chart" uri="{C3380CC4-5D6E-409C-BE32-E72D297353CC}">
                  <c16:uniqueId val="{00000009-2817-654A-89A1-BBE6954836E6}"/>
                </c:ext>
              </c:extLst>
            </c:dLbl>
            <c:dLbl>
              <c:idx val="4"/>
              <c:delete val="1"/>
              <c:extLst>
                <c:ext xmlns:c15="http://schemas.microsoft.com/office/drawing/2012/chart" uri="{CE6537A1-D6FC-4f65-9D91-7224C49458BB}"/>
                <c:ext xmlns:c16="http://schemas.microsoft.com/office/drawing/2014/chart" uri="{C3380CC4-5D6E-409C-BE32-E72D297353CC}">
                  <c16:uniqueId val="{0000000A-2817-654A-89A1-BBE6954836E6}"/>
                </c:ext>
              </c:extLst>
            </c:dLbl>
            <c:dLbl>
              <c:idx val="7"/>
              <c:delete val="1"/>
              <c:extLst>
                <c:ext xmlns:c15="http://schemas.microsoft.com/office/drawing/2012/chart" uri="{CE6537A1-D6FC-4f65-9D91-7224C49458BB}"/>
                <c:ext xmlns:c16="http://schemas.microsoft.com/office/drawing/2014/chart" uri="{C3380CC4-5D6E-409C-BE32-E72D297353CC}">
                  <c16:uniqueId val="{0000000B-2817-654A-89A1-BBE6954836E6}"/>
                </c:ext>
              </c:extLst>
            </c:dLbl>
            <c:dLbl>
              <c:idx val="8"/>
              <c:delete val="1"/>
              <c:extLst>
                <c:ext xmlns:c15="http://schemas.microsoft.com/office/drawing/2012/chart" uri="{CE6537A1-D6FC-4f65-9D91-7224C49458BB}"/>
                <c:ext xmlns:c16="http://schemas.microsoft.com/office/drawing/2014/chart" uri="{C3380CC4-5D6E-409C-BE32-E72D297353CC}">
                  <c16:uniqueId val="{0000000C-2817-654A-89A1-BBE6954836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Sales'!$B$50:$K$50</c:f>
              <c:numCache>
                <c:formatCode>0.00</c:formatCode>
                <c:ptCount val="10"/>
                <c:pt idx="0">
                  <c:v>0.15289732895554176</c:v>
                </c:pt>
                <c:pt idx="1">
                  <c:v>0.17691202299217626</c:v>
                </c:pt>
                <c:pt idx="2">
                  <c:v>0.17957970706856294</c:v>
                </c:pt>
                <c:pt idx="3">
                  <c:v>0.22199580091391877</c:v>
                </c:pt>
                <c:pt idx="4">
                  <c:v>0.10636515912897823</c:v>
                </c:pt>
                <c:pt idx="5">
                  <c:v>0.11608163265306125</c:v>
                </c:pt>
                <c:pt idx="6">
                  <c:v>0.34080117413450745</c:v>
                </c:pt>
                <c:pt idx="7">
                  <c:v>8.1657547136932351E-2</c:v>
                </c:pt>
                <c:pt idx="8">
                  <c:v>0.11929900475984422</c:v>
                </c:pt>
                <c:pt idx="9">
                  <c:v>0.17079264138087669</c:v>
                </c:pt>
              </c:numCache>
            </c:numRef>
          </c:val>
          <c:extLst>
            <c:ext xmlns:c16="http://schemas.microsoft.com/office/drawing/2014/chart" uri="{C3380CC4-5D6E-409C-BE32-E72D297353CC}">
              <c16:uniqueId val="{0000000D-2817-654A-89A1-BBE6954836E6}"/>
            </c:ext>
          </c:extLst>
        </c:ser>
        <c:dLbls>
          <c:showLegendKey val="0"/>
          <c:showVal val="0"/>
          <c:showCatName val="0"/>
          <c:showSerName val="0"/>
          <c:showPercent val="0"/>
          <c:showBubbleSize val="0"/>
        </c:dLbls>
        <c:gapWidth val="150"/>
        <c:axId val="997383280"/>
        <c:axId val="997384992"/>
      </c:barChart>
      <c:catAx>
        <c:axId val="997383280"/>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4992"/>
        <c:crosses val="autoZero"/>
        <c:auto val="0"/>
        <c:lblAlgn val="ctr"/>
        <c:lblOffset val="100"/>
        <c:noMultiLvlLbl val="0"/>
      </c:catAx>
      <c:valAx>
        <c:axId val="997384992"/>
        <c:scaling>
          <c:orientation val="minMax"/>
        </c:scaling>
        <c:delete val="0"/>
        <c:axPos val="l"/>
        <c:majorGridlines>
          <c:spPr>
            <a:ln w="9525" cap="flat" cmpd="sng" algn="ctr">
              <a:no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3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Market</a:t>
            </a:r>
            <a:r>
              <a:rPr lang="en-US" b="1" baseline="0"/>
              <a:t> Price Exceeds Fair Value</a:t>
            </a:r>
          </a:p>
          <a:p>
            <a:pPr>
              <a:defRPr/>
            </a:pPr>
            <a:r>
              <a:rPr lang="en-US" sz="1000" b="1" baseline="0">
                <a:solidFill>
                  <a:srgbClr val="FF0000"/>
                </a:solidFill>
              </a:rPr>
              <a:t>Risk of Overvaluation</a:t>
            </a:r>
            <a:endParaRPr lang="en-US" sz="1000"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Tables'!$N$47</c:f>
              <c:strCache>
                <c:ptCount val="1"/>
                <c:pt idx="0">
                  <c:v>Value ($)</c:v>
                </c:pt>
              </c:strCache>
            </c:strRef>
          </c:tx>
          <c:spPr>
            <a:solidFill>
              <a:schemeClr val="accent1"/>
            </a:solidFill>
            <a:ln>
              <a:noFill/>
            </a:ln>
            <a:effectLst/>
          </c:spPr>
          <c:invertIfNegative val="0"/>
          <c:dPt>
            <c:idx val="0"/>
            <c:invertIfNegative val="0"/>
            <c:bubble3D val="0"/>
            <c:spPr>
              <a:solidFill>
                <a:srgbClr val="FF0000">
                  <a:alpha val="70000"/>
                </a:srgbClr>
              </a:solidFill>
              <a:ln>
                <a:noFill/>
              </a:ln>
              <a:effectLst/>
            </c:spPr>
            <c:extLst>
              <c:ext xmlns:c16="http://schemas.microsoft.com/office/drawing/2014/chart" uri="{C3380CC4-5D6E-409C-BE32-E72D297353CC}">
                <c16:uniqueId val="{00000001-3B0B-4141-9271-7C64C8A45233}"/>
              </c:ext>
            </c:extLst>
          </c:dPt>
          <c:dPt>
            <c:idx val="1"/>
            <c:invertIfNegative val="0"/>
            <c:bubble3D val="0"/>
            <c:spPr>
              <a:solidFill>
                <a:schemeClr val="accent3">
                  <a:lumMod val="75000"/>
                  <a:alpha val="70000"/>
                </a:schemeClr>
              </a:solidFill>
              <a:ln>
                <a:noFill/>
              </a:ln>
              <a:effectLst/>
            </c:spPr>
            <c:extLst>
              <c:ext xmlns:c16="http://schemas.microsoft.com/office/drawing/2014/chart" uri="{C3380CC4-5D6E-409C-BE32-E72D297353CC}">
                <c16:uniqueId val="{00000003-3B0B-4141-9271-7C64C8A45233}"/>
              </c:ext>
            </c:extLst>
          </c:dPt>
          <c:dPt>
            <c:idx val="2"/>
            <c:invertIfNegative val="0"/>
            <c:bubble3D val="0"/>
            <c:spPr>
              <a:solidFill>
                <a:srgbClr val="F96302"/>
              </a:solidFill>
              <a:ln>
                <a:noFill/>
              </a:ln>
              <a:effectLst/>
            </c:spPr>
            <c:extLst>
              <c:ext xmlns:c16="http://schemas.microsoft.com/office/drawing/2014/chart" uri="{C3380CC4-5D6E-409C-BE32-E72D297353CC}">
                <c16:uniqueId val="{00000002-3B0B-4141-9271-7C64C8A45233}"/>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0B-4141-9271-7C64C8A45233}"/>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0B-4141-9271-7C64C8A4523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Tables'!$M$48:$M$50</c:f>
              <c:strCache>
                <c:ptCount val="3"/>
                <c:pt idx="0">
                  <c:v>DCF Valuation</c:v>
                </c:pt>
                <c:pt idx="1">
                  <c:v>Suggested Buy Zone (Midpoint)</c:v>
                </c:pt>
                <c:pt idx="2">
                  <c:v>Current Price</c:v>
                </c:pt>
              </c:strCache>
            </c:strRef>
          </c:cat>
          <c:val>
            <c:numRef>
              <c:f>'Projected Tables'!$N$48:$N$50</c:f>
              <c:numCache>
                <c:formatCode>_("$"* #,##0.00_);_("$"* \(#,##0.00\);_("$"* "-"??_);_(@_)</c:formatCode>
                <c:ptCount val="3"/>
                <c:pt idx="0">
                  <c:v>184.88</c:v>
                </c:pt>
                <c:pt idx="1">
                  <c:v>360</c:v>
                </c:pt>
                <c:pt idx="2">
                  <c:v>388.99</c:v>
                </c:pt>
              </c:numCache>
            </c:numRef>
          </c:val>
          <c:extLst>
            <c:ext xmlns:c16="http://schemas.microsoft.com/office/drawing/2014/chart" uri="{C3380CC4-5D6E-409C-BE32-E72D297353CC}">
              <c16:uniqueId val="{00000000-3B0B-4141-9271-7C64C8A45233}"/>
            </c:ext>
          </c:extLst>
        </c:ser>
        <c:dLbls>
          <c:showLegendKey val="0"/>
          <c:showVal val="0"/>
          <c:showCatName val="0"/>
          <c:showSerName val="0"/>
          <c:showPercent val="0"/>
          <c:showBubbleSize val="0"/>
        </c:dLbls>
        <c:gapWidth val="219"/>
        <c:overlap val="-27"/>
        <c:axId val="788654991"/>
        <c:axId val="789022975"/>
      </c:barChart>
      <c:lineChart>
        <c:grouping val="standard"/>
        <c:varyColors val="0"/>
        <c:ser>
          <c:idx val="1"/>
          <c:order val="1"/>
          <c:tx>
            <c:v>Target</c:v>
          </c:tx>
          <c:spPr>
            <a:ln w="31750" cap="rnd">
              <a:solidFill>
                <a:schemeClr val="tx1"/>
              </a:solidFill>
              <a:prstDash val="sysDot"/>
              <a:round/>
            </a:ln>
            <a:effectLst/>
          </c:spPr>
          <c:marker>
            <c:symbol val="none"/>
          </c:marker>
          <c:dLbls>
            <c:dLbl>
              <c:idx val="0"/>
              <c:layout>
                <c:manualLayout>
                  <c:x val="-4.2920353709683058E-17"/>
                  <c:y val="-0.13756316067841393"/>
                </c:manualLayout>
              </c:layout>
              <c:tx>
                <c:rich>
                  <a:bodyPr/>
                  <a:lstStyle/>
                  <a:p>
                    <a:r>
                      <a:rPr lang="en-US"/>
                      <a:t>DCF Fair Value:</a:t>
                    </a:r>
                    <a:r>
                      <a:rPr lang="en-US" baseline="0"/>
                      <a:t> </a:t>
                    </a:r>
                    <a:fld id="{5AC7EA44-AD01-794B-996A-08F857579B4D}"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B0B-4141-9271-7C64C8A45233}"/>
                </c:ext>
              </c:extLst>
            </c:dLbl>
            <c:dLbl>
              <c:idx val="1"/>
              <c:delete val="1"/>
              <c:extLst>
                <c:ext xmlns:c15="http://schemas.microsoft.com/office/drawing/2012/chart" uri="{CE6537A1-D6FC-4f65-9D91-7224C49458BB}"/>
                <c:ext xmlns:c16="http://schemas.microsoft.com/office/drawing/2014/chart" uri="{C3380CC4-5D6E-409C-BE32-E72D297353CC}">
                  <c16:uniqueId val="{00000005-3B0B-4141-9271-7C64C8A45233}"/>
                </c:ext>
              </c:extLst>
            </c:dLbl>
            <c:dLbl>
              <c:idx val="2"/>
              <c:delete val="1"/>
              <c:extLst>
                <c:ext xmlns:c15="http://schemas.microsoft.com/office/drawing/2012/chart" uri="{CE6537A1-D6FC-4f65-9D91-7224C49458BB}"/>
                <c:ext xmlns:c16="http://schemas.microsoft.com/office/drawing/2014/chart" uri="{C3380CC4-5D6E-409C-BE32-E72D297353CC}">
                  <c16:uniqueId val="{00000006-3B0B-4141-9271-7C64C8A4523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'Projected Tables'!$O$48:$O$50</c:f>
              <c:numCache>
                <c:formatCode>_("$"* #,##0.00_);_("$"* \(#,##0.00\);_("$"* "-"??_);_(@_)</c:formatCode>
                <c:ptCount val="3"/>
                <c:pt idx="0">
                  <c:v>184.88</c:v>
                </c:pt>
                <c:pt idx="1">
                  <c:v>184.88</c:v>
                </c:pt>
                <c:pt idx="2">
                  <c:v>184.88</c:v>
                </c:pt>
              </c:numCache>
            </c:numRef>
          </c:val>
          <c:smooth val="0"/>
          <c:extLst>
            <c:ext xmlns:c16="http://schemas.microsoft.com/office/drawing/2014/chart" uri="{C3380CC4-5D6E-409C-BE32-E72D297353CC}">
              <c16:uniqueId val="{00000004-3B0B-4141-9271-7C64C8A45233}"/>
            </c:ext>
          </c:extLst>
        </c:ser>
        <c:dLbls>
          <c:showLegendKey val="0"/>
          <c:showVal val="0"/>
          <c:showCatName val="0"/>
          <c:showSerName val="0"/>
          <c:showPercent val="0"/>
          <c:showBubbleSize val="0"/>
        </c:dLbls>
        <c:marker val="1"/>
        <c:smooth val="0"/>
        <c:axId val="788654991"/>
        <c:axId val="789022975"/>
      </c:lineChart>
      <c:catAx>
        <c:axId val="78865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9022975"/>
        <c:crosses val="autoZero"/>
        <c:auto val="1"/>
        <c:lblAlgn val="ctr"/>
        <c:lblOffset val="100"/>
        <c:noMultiLvlLbl val="0"/>
      </c:catAx>
      <c:valAx>
        <c:axId val="789022975"/>
        <c:scaling>
          <c:orientation val="minMax"/>
          <c:max val="400"/>
          <c:min val="150"/>
        </c:scaling>
        <c:delete val="0"/>
        <c:axPos val="l"/>
        <c:numFmt formatCode="_(&quot;$&quot;* #,##0_);_(&quot;$&quot;* \(#,##0\);_(&quot;$&quot;* &quot;-&quot;_);_(@_)"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865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tx1">
                    <a:lumMod val="65000"/>
                    <a:lumOff val="35000"/>
                  </a:schemeClr>
                </a:solidFill>
              </a:rPr>
              <a:t>Fluctuations in Short Term Solvency: Recovery After 2022 Decline</a:t>
            </a:r>
          </a:p>
          <a:p>
            <a:pPr marL="0" marR="0" indent="0" algn="ctr" defTabSz="914400" rtl="0" eaLnBrk="1" fontAlgn="auto" latinLnBrk="0" hangingPunct="1">
              <a:lnSpc>
                <a:spcPct val="100000"/>
              </a:lnSpc>
              <a:spcBef>
                <a:spcPts val="0"/>
              </a:spcBef>
              <a:spcAft>
                <a:spcPts val="0"/>
              </a:spcAft>
              <a:buClrTx/>
              <a:buSzTx/>
              <a:buFontTx/>
              <a:buNone/>
              <a:tabLst/>
              <a:defRPr sz="1600"/>
            </a:pPr>
            <a:r>
              <a:rPr lang="en-US" sz="1600" b="1" i="0" u="none" strike="noStrike" baseline="0">
                <a:solidFill>
                  <a:schemeClr val="tx1">
                    <a:lumMod val="65000"/>
                    <a:lumOff val="35000"/>
                  </a:schemeClr>
                </a:solidFill>
              </a:rPr>
              <a:t>Figure 11</a:t>
            </a:r>
            <a:endParaRPr lang="en-US" sz="16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Current Ratio</c:v>
          </c:tx>
          <c:spPr>
            <a:solidFill>
              <a:srgbClr val="F96302"/>
            </a:solidFill>
            <a:ln>
              <a:noFill/>
            </a:ln>
            <a:effectLst/>
          </c:spPr>
          <c:invertIfNegative val="0"/>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B5-DA42-8E69-5A0EBBDA027E}"/>
                </c:ext>
              </c:extLst>
            </c:dLbl>
            <c:dLbl>
              <c:idx val="7"/>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B5-DA42-8E69-5A0EBBDA027E}"/>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B5-DA42-8E69-5A0EBBDA027E}"/>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B5-DA42-8E69-5A0EBBDA02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Sales'!$B$48:$K$48</c:f>
              <c:numCache>
                <c:formatCode>0.00</c:formatCode>
                <c:ptCount val="10"/>
                <c:pt idx="0">
                  <c:v>1.3578844617978525</c:v>
                </c:pt>
                <c:pt idx="1">
                  <c:v>1.3566182340731276</c:v>
                </c:pt>
                <c:pt idx="2">
                  <c:v>1.2540861812778605</c:v>
                </c:pt>
                <c:pt idx="3">
                  <c:v>1.1691367173027047</c:v>
                </c:pt>
                <c:pt idx="4">
                  <c:v>1.108458961474037</c:v>
                </c:pt>
                <c:pt idx="5">
                  <c:v>1.0780952380952382</c:v>
                </c:pt>
                <c:pt idx="6">
                  <c:v>1.2292583959250625</c:v>
                </c:pt>
                <c:pt idx="7">
                  <c:v>1.0126163175687448</c:v>
                </c:pt>
                <c:pt idx="8">
                  <c:v>1.4050627434011249</c:v>
                </c:pt>
                <c:pt idx="9">
                  <c:v>1.3524869407222349</c:v>
                </c:pt>
              </c:numCache>
            </c:numRef>
          </c:val>
          <c:extLst>
            <c:ext xmlns:c16="http://schemas.microsoft.com/office/drawing/2014/chart" uri="{C3380CC4-5D6E-409C-BE32-E72D297353CC}">
              <c16:uniqueId val="{00000004-54B5-DA42-8E69-5A0EBBDA027E}"/>
            </c:ext>
          </c:extLst>
        </c:ser>
        <c:dLbls>
          <c:showLegendKey val="0"/>
          <c:showVal val="0"/>
          <c:showCatName val="0"/>
          <c:showSerName val="0"/>
          <c:showPercent val="0"/>
          <c:showBubbleSize val="0"/>
        </c:dLbls>
        <c:gapWidth val="150"/>
        <c:axId val="997383280"/>
        <c:axId val="997384992"/>
      </c:barChart>
      <c:catAx>
        <c:axId val="997383280"/>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4992"/>
        <c:crosses val="autoZero"/>
        <c:auto val="0"/>
        <c:lblAlgn val="ctr"/>
        <c:lblOffset val="100"/>
        <c:noMultiLvlLbl val="0"/>
      </c:catAx>
      <c:valAx>
        <c:axId val="997384992"/>
        <c:scaling>
          <c:orientation val="minMax"/>
        </c:scaling>
        <c:delete val="0"/>
        <c:axPos val="l"/>
        <c:majorGridlines>
          <c:spPr>
            <a:ln w="9525" cap="flat" cmpd="sng" algn="ctr">
              <a:no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3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tx1">
                    <a:lumMod val="65000"/>
                    <a:lumOff val="35000"/>
                  </a:schemeClr>
                </a:solidFill>
              </a:rPr>
              <a:t>Long Term Solvency: Rising Debt Until 2020, Followed by Stabilization</a:t>
            </a:r>
          </a:p>
          <a:p>
            <a:pPr>
              <a:defRPr sz="1600"/>
            </a:pPr>
            <a:r>
              <a:rPr lang="en-US" sz="1600" b="1" i="0" u="none" strike="noStrike" kern="1200" spc="0" baseline="0">
                <a:solidFill>
                  <a:schemeClr val="tx1">
                    <a:lumMod val="65000"/>
                    <a:lumOff val="35000"/>
                  </a:schemeClr>
                </a:solidFill>
              </a:rPr>
              <a:t>Figure 13</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Total Debt</c:v>
          </c:tx>
          <c:spPr>
            <a:solidFill>
              <a:srgbClr val="F96302"/>
            </a:solidFill>
            <a:ln>
              <a:noFill/>
            </a:ln>
            <a:effectLst/>
          </c:spPr>
          <c:invertIfNegative val="0"/>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7B-A24A-9FED-06B29E735FD7}"/>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7B-A24A-9FED-06B29E735FD7}"/>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7B-A24A-9FED-06B29E735FD7}"/>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7B-A24A-9FED-06B29E735F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'CS Balance Sheet Sales'!$B$11:$K$11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'CS Balance Sheet Sales'!$B$53:$K$53</c:f>
              <c:numCache>
                <c:formatCode>0.00</c:formatCode>
                <c:ptCount val="10"/>
                <c:pt idx="0">
                  <c:v>0.76663495719220942</c:v>
                </c:pt>
                <c:pt idx="1">
                  <c:v>0.85155937859879205</c:v>
                </c:pt>
                <c:pt idx="2">
                  <c:v>0.89915281850765727</c:v>
                </c:pt>
                <c:pt idx="3">
                  <c:v>0.96734712210020446</c:v>
                </c:pt>
                <c:pt idx="4">
                  <c:v>1.0426789082562553</c:v>
                </c:pt>
                <c:pt idx="5">
                  <c:v>1.0608166133187602</c:v>
                </c:pt>
                <c:pt idx="6">
                  <c:v>0.95325937575268138</c:v>
                </c:pt>
                <c:pt idx="7">
                  <c:v>1.0235961934442652</c:v>
                </c:pt>
                <c:pt idx="8">
                  <c:v>0.97956700896069071</c:v>
                </c:pt>
                <c:pt idx="9">
                  <c:v>0.98635829086632698</c:v>
                </c:pt>
              </c:numCache>
            </c:numRef>
          </c:val>
          <c:extLst>
            <c:ext xmlns:c16="http://schemas.microsoft.com/office/drawing/2014/chart" uri="{C3380CC4-5D6E-409C-BE32-E72D297353CC}">
              <c16:uniqueId val="{00000004-187B-A24A-9FED-06B29E735FD7}"/>
            </c:ext>
          </c:extLst>
        </c:ser>
        <c:dLbls>
          <c:showLegendKey val="0"/>
          <c:showVal val="0"/>
          <c:showCatName val="0"/>
          <c:showSerName val="0"/>
          <c:showPercent val="0"/>
          <c:showBubbleSize val="0"/>
        </c:dLbls>
        <c:gapWidth val="150"/>
        <c:axId val="997383280"/>
        <c:axId val="997384992"/>
      </c:barChart>
      <c:catAx>
        <c:axId val="997383280"/>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4992"/>
        <c:crosses val="autoZero"/>
        <c:auto val="0"/>
        <c:lblAlgn val="ctr"/>
        <c:lblOffset val="100"/>
        <c:noMultiLvlLbl val="0"/>
      </c:catAx>
      <c:valAx>
        <c:axId val="997384992"/>
        <c:scaling>
          <c:orientation val="minMax"/>
        </c:scaling>
        <c:delete val="0"/>
        <c:axPos val="l"/>
        <c:majorGridlines>
          <c:spPr>
            <a:ln w="9525" cap="flat" cmpd="sng" algn="ctr">
              <a:no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383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FCF</a:t>
            </a:r>
            <a:r>
              <a:rPr lang="en-US" b="1" baseline="0"/>
              <a:t> Growth Continues but at a Slower Rate Post 2031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Tables'!$A$83</c:f>
              <c:strCache>
                <c:ptCount val="1"/>
                <c:pt idx="0">
                  <c:v>Free Cash Flow</c:v>
                </c:pt>
              </c:strCache>
            </c:strRef>
          </c:tx>
          <c:spPr>
            <a:ln w="28575" cap="rnd">
              <a:solidFill>
                <a:srgbClr val="F96302"/>
              </a:solidFill>
              <a:round/>
            </a:ln>
            <a:effectLst/>
          </c:spPr>
          <c:marker>
            <c:symbol val="square"/>
            <c:size val="6"/>
            <c:spPr>
              <a:solidFill>
                <a:srgbClr val="F96302"/>
              </a:solidFill>
              <a:ln w="9525">
                <a:solidFill>
                  <a:srgbClr val="F96302"/>
                </a:solidFill>
              </a:ln>
              <a:effectLst/>
            </c:spPr>
          </c:marker>
          <c:cat>
            <c:strRef>
              <c:f>'Projected Tables'!$C$4:$K$4</c:f>
              <c:strCache>
                <c:ptCount val="9"/>
                <c:pt idx="0">
                  <c:v>2024</c:v>
                </c:pt>
                <c:pt idx="1">
                  <c:v>2025E</c:v>
                </c:pt>
                <c:pt idx="2">
                  <c:v>2026E</c:v>
                </c:pt>
                <c:pt idx="3">
                  <c:v>2027E</c:v>
                </c:pt>
                <c:pt idx="4">
                  <c:v>2028E</c:v>
                </c:pt>
                <c:pt idx="5">
                  <c:v>2029E</c:v>
                </c:pt>
                <c:pt idx="6">
                  <c:v>2030E</c:v>
                </c:pt>
                <c:pt idx="7">
                  <c:v>2031E</c:v>
                </c:pt>
                <c:pt idx="8">
                  <c:v>2032E</c:v>
                </c:pt>
              </c:strCache>
            </c:strRef>
          </c:cat>
          <c:val>
            <c:numRef>
              <c:f>'Projected Tables'!$C$83:$K$83</c:f>
              <c:numCache>
                <c:formatCode>"$"#,##0</c:formatCode>
                <c:ptCount val="9"/>
                <c:pt idx="0">
                  <c:v>25568000</c:v>
                </c:pt>
                <c:pt idx="1">
                  <c:v>11355594.431156471</c:v>
                </c:pt>
                <c:pt idx="2">
                  <c:v>25806987.282339081</c:v>
                </c:pt>
                <c:pt idx="3">
                  <c:v>27021927.018994551</c:v>
                </c:pt>
                <c:pt idx="4">
                  <c:v>32049152.964098517</c:v>
                </c:pt>
                <c:pt idx="5">
                  <c:v>35634083.563107893</c:v>
                </c:pt>
                <c:pt idx="6">
                  <c:v>40568668.728149824</c:v>
                </c:pt>
                <c:pt idx="7">
                  <c:v>45446077.281993598</c:v>
                </c:pt>
                <c:pt idx="8">
                  <c:v>51056469.872876339</c:v>
                </c:pt>
              </c:numCache>
            </c:numRef>
          </c:val>
          <c:smooth val="0"/>
          <c:extLst>
            <c:ext xmlns:c16="http://schemas.microsoft.com/office/drawing/2014/chart" uri="{C3380CC4-5D6E-409C-BE32-E72D297353CC}">
              <c16:uniqueId val="{00000000-13A1-D749-8632-010E996A4C6F}"/>
            </c:ext>
          </c:extLst>
        </c:ser>
        <c:dLbls>
          <c:showLegendKey val="0"/>
          <c:showVal val="0"/>
          <c:showCatName val="0"/>
          <c:showSerName val="0"/>
          <c:showPercent val="0"/>
          <c:showBubbleSize val="0"/>
        </c:dLbls>
        <c:marker val="1"/>
        <c:smooth val="0"/>
        <c:axId val="1315068479"/>
        <c:axId val="980684639"/>
      </c:lineChart>
      <c:lineChart>
        <c:grouping val="standard"/>
        <c:varyColors val="0"/>
        <c:ser>
          <c:idx val="1"/>
          <c:order val="1"/>
          <c:tx>
            <c:v>FCF Growth Rate (%)</c:v>
          </c:tx>
          <c:spPr>
            <a:ln w="28575" cap="rnd">
              <a:solidFill>
                <a:srgbClr val="3A3A3A"/>
              </a:solidFill>
              <a:prstDash val="sysDash"/>
              <a:round/>
            </a:ln>
            <a:effectLst/>
          </c:spPr>
          <c:marker>
            <c:symbol val="circle"/>
            <c:size val="5"/>
            <c:spPr>
              <a:solidFill>
                <a:srgbClr val="3A3A3A"/>
              </a:solidFill>
              <a:ln w="9525">
                <a:solidFill>
                  <a:srgbClr val="3A3A3A"/>
                </a:solidFill>
              </a:ln>
              <a:effectLst/>
            </c:spPr>
          </c:marker>
          <c:dPt>
            <c:idx val="1"/>
            <c:marker>
              <c:symbol val="circle"/>
              <c:size val="5"/>
              <c:spPr>
                <a:solidFill>
                  <a:srgbClr val="3A3A3A"/>
                </a:solidFill>
                <a:ln w="9525">
                  <a:solidFill>
                    <a:srgbClr val="3A3A3A"/>
                  </a:solidFill>
                </a:ln>
                <a:effectLst/>
              </c:spPr>
            </c:marker>
            <c:bubble3D val="0"/>
            <c:spPr>
              <a:ln w="28575" cap="rnd">
                <a:solidFill>
                  <a:schemeClr val="bg1"/>
                </a:solidFill>
                <a:prstDash val="sysDash"/>
                <a:round/>
              </a:ln>
              <a:effectLst/>
            </c:spPr>
            <c:extLst>
              <c:ext xmlns:c16="http://schemas.microsoft.com/office/drawing/2014/chart" uri="{C3380CC4-5D6E-409C-BE32-E72D297353CC}">
                <c16:uniqueId val="{00000002-13A1-D749-8632-010E996A4C6F}"/>
              </c:ext>
            </c:extLst>
          </c:dPt>
          <c:dPt>
            <c:idx val="2"/>
            <c:marker>
              <c:symbol val="circle"/>
              <c:size val="5"/>
              <c:spPr>
                <a:solidFill>
                  <a:srgbClr val="3A3A3A"/>
                </a:solidFill>
                <a:ln w="9525">
                  <a:solidFill>
                    <a:srgbClr val="3A3A3A"/>
                  </a:solidFill>
                </a:ln>
                <a:effectLst/>
              </c:spPr>
            </c:marker>
            <c:bubble3D val="0"/>
            <c:spPr>
              <a:ln w="28575" cap="rnd">
                <a:solidFill>
                  <a:schemeClr val="bg1"/>
                </a:solidFill>
                <a:prstDash val="sysDash"/>
                <a:round/>
              </a:ln>
              <a:effectLst/>
            </c:spPr>
            <c:extLst>
              <c:ext xmlns:c16="http://schemas.microsoft.com/office/drawing/2014/chart" uri="{C3380CC4-5D6E-409C-BE32-E72D297353CC}">
                <c16:uniqueId val="{00000003-13A1-D749-8632-010E996A4C6F}"/>
              </c:ext>
            </c:extLst>
          </c:dPt>
          <c:dLbls>
            <c:dLbl>
              <c:idx val="7"/>
              <c:layout>
                <c:manualLayout>
                  <c:x val="-4.2113810354315419E-2"/>
                  <c:y val="9.9410478582218353E-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fld id="{F5A6158F-F4D8-A14A-B303-58ECD9B03336}" type="CATEGORYNAME">
                      <a:rPr lang="en-US" b="1"/>
                      <a:pPr>
                        <a:defRPr b="1"/>
                      </a:pPr>
                      <a:t>[CATEGORY NAME]</a:t>
                    </a:fld>
                    <a:r>
                      <a:rPr lang="en-US" b="1" baseline="0"/>
                      <a:t>FCF Growth Rate </a:t>
                    </a:r>
                    <a:fld id="{9F832874-53CC-9549-A6C4-3637323831E4}" type="VALUE">
                      <a:rPr lang="en-US" b="1" baseline="0"/>
                      <a:pPr>
                        <a:defRPr b="1"/>
                      </a:pPr>
                      <a:t>[VALUE]</a:t>
                    </a:fld>
                    <a:endParaRPr lang="en-US"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18524519934826"/>
                      <c:h val="0.11330461048401723"/>
                    </c:manualLayout>
                  </c15:layout>
                  <c15:dlblFieldTable/>
                  <c15:showDataLabelsRange val="0"/>
                </c:ext>
                <c:ext xmlns:c16="http://schemas.microsoft.com/office/drawing/2014/chart" uri="{C3380CC4-5D6E-409C-BE32-E72D297353CC}">
                  <c16:uniqueId val="{00000004-13A1-D749-8632-010E996A4C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'Projected Tables'!$E$4:$J$4</c:f>
              <c:strCache>
                <c:ptCount val="6"/>
                <c:pt idx="0">
                  <c:v>2026E</c:v>
                </c:pt>
                <c:pt idx="1">
                  <c:v>2027E</c:v>
                </c:pt>
                <c:pt idx="2">
                  <c:v>2028E</c:v>
                </c:pt>
                <c:pt idx="3">
                  <c:v>2029E</c:v>
                </c:pt>
                <c:pt idx="4">
                  <c:v>2030E</c:v>
                </c:pt>
                <c:pt idx="5">
                  <c:v>2031E</c:v>
                </c:pt>
              </c:strCache>
            </c:strRef>
          </c:cat>
          <c:val>
            <c:numRef>
              <c:f>'Projected Tables'!$C$106:$J$106</c:f>
              <c:numCache>
                <c:formatCode>0.00%</c:formatCode>
                <c:ptCount val="8"/>
                <c:pt idx="0">
                  <c:v>-0.55586692619068867</c:v>
                </c:pt>
                <c:pt idx="1">
                  <c:v>1.272623193686115</c:v>
                </c:pt>
                <c:pt idx="2">
                  <c:v>4.7077937589673935E-2</c:v>
                </c:pt>
                <c:pt idx="3">
                  <c:v>0.18604246623751797</c:v>
                </c:pt>
                <c:pt idx="4">
                  <c:v>0.11185726508982063</c:v>
                </c:pt>
                <c:pt idx="5">
                  <c:v>0.13847936221799539</c:v>
                </c:pt>
                <c:pt idx="6">
                  <c:v>0.120225994757857</c:v>
                </c:pt>
                <c:pt idx="7">
                  <c:v>0.12345163601404296</c:v>
                </c:pt>
              </c:numCache>
            </c:numRef>
          </c:val>
          <c:smooth val="0"/>
          <c:extLst>
            <c:ext xmlns:c16="http://schemas.microsoft.com/office/drawing/2014/chart" uri="{C3380CC4-5D6E-409C-BE32-E72D297353CC}">
              <c16:uniqueId val="{00000001-13A1-D749-8632-010E996A4C6F}"/>
            </c:ext>
          </c:extLst>
        </c:ser>
        <c:dLbls>
          <c:showLegendKey val="0"/>
          <c:showVal val="0"/>
          <c:showCatName val="0"/>
          <c:showSerName val="0"/>
          <c:showPercent val="0"/>
          <c:showBubbleSize val="0"/>
        </c:dLbls>
        <c:marker val="1"/>
        <c:smooth val="0"/>
        <c:axId val="1396980591"/>
        <c:axId val="1442714863"/>
      </c:lineChart>
      <c:catAx>
        <c:axId val="131506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0684639"/>
        <c:crosses val="autoZero"/>
        <c:auto val="1"/>
        <c:lblAlgn val="ctr"/>
        <c:lblOffset val="100"/>
        <c:noMultiLvlLbl val="0"/>
      </c:catAx>
      <c:valAx>
        <c:axId val="980684639"/>
        <c:scaling>
          <c:orientation val="minMax"/>
        </c:scaling>
        <c:delete val="0"/>
        <c:axPos val="l"/>
        <c:numFmt formatCode="#,##0,,\ &quot;B&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5068479"/>
        <c:crosses val="autoZero"/>
        <c:crossBetween val="between"/>
      </c:valAx>
      <c:valAx>
        <c:axId val="1442714863"/>
        <c:scaling>
          <c:orientation val="minMax"/>
          <c:max val="0.2"/>
          <c:min val="0.0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80591"/>
        <c:crosses val="max"/>
        <c:crossBetween val="between"/>
      </c:valAx>
      <c:catAx>
        <c:axId val="1396980591"/>
        <c:scaling>
          <c:orientation val="minMax"/>
        </c:scaling>
        <c:delete val="1"/>
        <c:axPos val="b"/>
        <c:numFmt formatCode="General" sourceLinked="1"/>
        <c:majorTickMark val="out"/>
        <c:minorTickMark val="none"/>
        <c:tickLblPos val="nextTo"/>
        <c:crossAx val="144271486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Tables'!$T$66</c:f>
              <c:strCache>
                <c:ptCount val="1"/>
                <c:pt idx="0">
                  <c:v>Price ($)</c:v>
                </c:pt>
              </c:strCache>
            </c:strRef>
          </c:tx>
          <c:spPr>
            <a:solidFill>
              <a:schemeClr val="accent1"/>
            </a:solidFill>
            <a:ln>
              <a:noFill/>
            </a:ln>
            <a:effectLst/>
          </c:spPr>
          <c:invertIfNegative val="0"/>
          <c:val>
            <c:numRef>
              <c:f>'Projected Tables'!$T$67:$T$70</c:f>
              <c:numCache>
                <c:formatCode>General</c:formatCode>
                <c:ptCount val="4"/>
                <c:pt idx="0">
                  <c:v>184.88</c:v>
                </c:pt>
                <c:pt idx="1">
                  <c:v>360</c:v>
                </c:pt>
                <c:pt idx="2">
                  <c:v>388.99</c:v>
                </c:pt>
                <c:pt idx="3">
                  <c:v>447.89</c:v>
                </c:pt>
              </c:numCache>
            </c:numRef>
          </c:val>
          <c:extLst>
            <c:ext xmlns:c16="http://schemas.microsoft.com/office/drawing/2014/chart" uri="{C3380CC4-5D6E-409C-BE32-E72D297353CC}">
              <c16:uniqueId val="{00000000-8808-A14C-B8DD-BC9BE676F2EF}"/>
            </c:ext>
          </c:extLst>
        </c:ser>
        <c:ser>
          <c:idx val="1"/>
          <c:order val="1"/>
          <c:tx>
            <c:strRef>
              <c:f>'Projected Tables'!$U$66</c:f>
              <c:strCache>
                <c:ptCount val="1"/>
                <c:pt idx="0">
                  <c:v>Buy Zone Highlight</c:v>
                </c:pt>
              </c:strCache>
            </c:strRef>
          </c:tx>
          <c:spPr>
            <a:solidFill>
              <a:schemeClr val="accent2"/>
            </a:solidFill>
            <a:ln>
              <a:noFill/>
            </a:ln>
            <a:effectLst/>
          </c:spPr>
          <c:invertIfNegative val="0"/>
          <c:val>
            <c:numRef>
              <c:f>'Projected Tables'!$U$67:$U$70</c:f>
              <c:numCache>
                <c:formatCode>General</c:formatCode>
                <c:ptCount val="4"/>
                <c:pt idx="0">
                  <c:v>0</c:v>
                </c:pt>
                <c:pt idx="1">
                  <c:v>10</c:v>
                </c:pt>
                <c:pt idx="2">
                  <c:v>0</c:v>
                </c:pt>
                <c:pt idx="3">
                  <c:v>0</c:v>
                </c:pt>
              </c:numCache>
            </c:numRef>
          </c:val>
          <c:extLst>
            <c:ext xmlns:c16="http://schemas.microsoft.com/office/drawing/2014/chart" uri="{C3380CC4-5D6E-409C-BE32-E72D297353CC}">
              <c16:uniqueId val="{00000001-8808-A14C-B8DD-BC9BE676F2EF}"/>
            </c:ext>
          </c:extLst>
        </c:ser>
        <c:dLbls>
          <c:showLegendKey val="0"/>
          <c:showVal val="0"/>
          <c:showCatName val="0"/>
          <c:showSerName val="0"/>
          <c:showPercent val="0"/>
          <c:showBubbleSize val="0"/>
        </c:dLbls>
        <c:gapWidth val="219"/>
        <c:overlap val="-27"/>
        <c:axId val="1405089103"/>
        <c:axId val="1404687375"/>
      </c:barChart>
      <c:catAx>
        <c:axId val="14050891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87375"/>
        <c:crosses val="autoZero"/>
        <c:auto val="1"/>
        <c:lblAlgn val="ctr"/>
        <c:lblOffset val="100"/>
        <c:noMultiLvlLbl val="0"/>
      </c:catAx>
      <c:valAx>
        <c:axId val="140468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8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HD's Post-COVID Revenue Growth Decline Signals Demand Softening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Tables'!$A$111</c:f>
              <c:strCache>
                <c:ptCount val="1"/>
                <c:pt idx="0">
                  <c:v>HD Revenue Growth %</c:v>
                </c:pt>
              </c:strCache>
            </c:strRef>
          </c:tx>
          <c:spPr>
            <a:solidFill>
              <a:srgbClr val="F96302"/>
            </a:solidFill>
            <a:ln>
              <a:noFill/>
            </a:ln>
            <a:effectLst/>
          </c:spPr>
          <c:invertIfNegative val="0"/>
          <c:dLbls>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6F-FB48-9800-FD3DA5F0BB4C}"/>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6F-FB48-9800-FD3DA5F0BB4C}"/>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6F-FB48-9800-FD3DA5F0BB4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'Projected Tables'!$C$108:$K$108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'Projected Tables'!$C$111:$K$111</c:f>
              <c:numCache>
                <c:formatCode>0.00%</c:formatCode>
                <c:ptCount val="9"/>
                <c:pt idx="0">
                  <c:v>6.4237279984610929E-2</c:v>
                </c:pt>
                <c:pt idx="1">
                  <c:v>6.8640630825020699E-2</c:v>
                </c:pt>
                <c:pt idx="2">
                  <c:v>6.6694857022041365E-2</c:v>
                </c:pt>
                <c:pt idx="3">
                  <c:v>7.2336081820344011E-2</c:v>
                </c:pt>
                <c:pt idx="4">
                  <c:v>1.8687097400256869E-2</c:v>
                </c:pt>
                <c:pt idx="5">
                  <c:v>0.19854842367883885</c:v>
                </c:pt>
                <c:pt idx="6">
                  <c:v>0.14417530845507542</c:v>
                </c:pt>
                <c:pt idx="7">
                  <c:v>4.1321275230389531E-2</c:v>
                </c:pt>
                <c:pt idx="8">
                  <c:v>-3.0075665648049865E-2</c:v>
                </c:pt>
              </c:numCache>
            </c:numRef>
          </c:val>
          <c:extLst>
            <c:ext xmlns:c16="http://schemas.microsoft.com/office/drawing/2014/chart" uri="{C3380CC4-5D6E-409C-BE32-E72D297353CC}">
              <c16:uniqueId val="{00000000-D56F-FB48-9800-FD3DA5F0BB4C}"/>
            </c:ext>
          </c:extLst>
        </c:ser>
        <c:ser>
          <c:idx val="1"/>
          <c:order val="1"/>
          <c:tx>
            <c:strRef>
              <c:f>'Projected Tables'!$A$113</c:f>
              <c:strCache>
                <c:ptCount val="1"/>
                <c:pt idx="0">
                  <c:v>WMT Revenue Growth %</c:v>
                </c:pt>
              </c:strCache>
            </c:strRef>
          </c:tx>
          <c:spPr>
            <a:solidFill>
              <a:schemeClr val="tx2">
                <a:lumMod val="75000"/>
              </a:schemeClr>
            </a:solidFill>
            <a:ln>
              <a:noFill/>
            </a:ln>
            <a:effectLst/>
          </c:spPr>
          <c:invertIfNegative val="0"/>
          <c:cat>
            <c:numRef>
              <c:f>'Projected Tables'!$C$108:$K$108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'Projected Tables'!$C$113:$K$113</c:f>
              <c:numCache>
                <c:formatCode>0.00%</c:formatCode>
                <c:ptCount val="9"/>
                <c:pt idx="0">
                  <c:v>-7.2500622875274479E-3</c:v>
                </c:pt>
                <c:pt idx="1">
                  <c:v>7.7634662850267766E-3</c:v>
                </c:pt>
                <c:pt idx="2">
                  <c:v>2.9781444945489843E-2</c:v>
                </c:pt>
                <c:pt idx="3">
                  <c:v>2.8104720161968855E-2</c:v>
                </c:pt>
                <c:pt idx="4">
                  <c:v>1.85826343056541E-2</c:v>
                </c:pt>
                <c:pt idx="5">
                  <c:v>6.7155377086975498E-2</c:v>
                </c:pt>
                <c:pt idx="6">
                  <c:v>2.4327954345069625E-2</c:v>
                </c:pt>
                <c:pt idx="7">
                  <c:v>6.7280193590965709E-2</c:v>
                </c:pt>
                <c:pt idx="8">
                  <c:v>6.02595499019285E-2</c:v>
                </c:pt>
              </c:numCache>
            </c:numRef>
          </c:val>
          <c:extLst>
            <c:ext xmlns:c16="http://schemas.microsoft.com/office/drawing/2014/chart" uri="{C3380CC4-5D6E-409C-BE32-E72D297353CC}">
              <c16:uniqueId val="{00000001-D56F-FB48-9800-FD3DA5F0BB4C}"/>
            </c:ext>
          </c:extLst>
        </c:ser>
        <c:dLbls>
          <c:showLegendKey val="0"/>
          <c:showVal val="0"/>
          <c:showCatName val="0"/>
          <c:showSerName val="0"/>
          <c:showPercent val="0"/>
          <c:showBubbleSize val="0"/>
        </c:dLbls>
        <c:gapWidth val="150"/>
        <c:axId val="603231856"/>
        <c:axId val="603233568"/>
      </c:barChart>
      <c:catAx>
        <c:axId val="60323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3233568"/>
        <c:crosses val="autoZero"/>
        <c:auto val="1"/>
        <c:lblAlgn val="ctr"/>
        <c:lblOffset val="100"/>
        <c:noMultiLvlLbl val="0"/>
      </c:catAx>
      <c:valAx>
        <c:axId val="60323356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3231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HD Revenue and Net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Statement'!$A$20</c:f>
              <c:strCache>
                <c:ptCount val="1"/>
                <c:pt idx="0">
                  <c:v>Total Revenue</c:v>
                </c:pt>
              </c:strCache>
            </c:strRef>
          </c:tx>
          <c:spPr>
            <a:solidFill>
              <a:schemeClr val="accent1"/>
            </a:solidFill>
            <a:ln>
              <a:noFill/>
            </a:ln>
            <a:effectLst/>
          </c:spPr>
          <c:invertIfNegative val="0"/>
          <c:val>
            <c:numRef>
              <c:f>'Income Statement'!$B$20:$K$20</c:f>
              <c:numCache>
                <c:formatCode>"$"#,##0.00</c:formatCode>
                <c:ptCount val="10"/>
                <c:pt idx="0">
                  <c:v>83176000</c:v>
                </c:pt>
                <c:pt idx="1">
                  <c:v>88519000</c:v>
                </c:pt>
                <c:pt idx="2">
                  <c:v>94595000</c:v>
                </c:pt>
                <c:pt idx="3">
                  <c:v>100904000</c:v>
                </c:pt>
                <c:pt idx="4">
                  <c:v>108203000</c:v>
                </c:pt>
                <c:pt idx="5">
                  <c:v>110225000</c:v>
                </c:pt>
                <c:pt idx="6">
                  <c:v>132110000</c:v>
                </c:pt>
                <c:pt idx="7">
                  <c:v>151157000</c:v>
                </c:pt>
                <c:pt idx="8">
                  <c:v>157403000</c:v>
                </c:pt>
                <c:pt idx="9">
                  <c:v>152669000</c:v>
                </c:pt>
              </c:numCache>
            </c:numRef>
          </c:val>
          <c:extLst>
            <c:ext xmlns:c16="http://schemas.microsoft.com/office/drawing/2014/chart" uri="{C3380CC4-5D6E-409C-BE32-E72D297353CC}">
              <c16:uniqueId val="{00000000-6C75-C546-8A56-721C30AF1D56}"/>
            </c:ext>
          </c:extLst>
        </c:ser>
        <c:ser>
          <c:idx val="1"/>
          <c:order val="1"/>
          <c:tx>
            <c:strRef>
              <c:f>'Income Statement'!$A$31</c:f>
              <c:strCache>
                <c:ptCount val="1"/>
                <c:pt idx="0">
                  <c:v>Net Income</c:v>
                </c:pt>
              </c:strCache>
            </c:strRef>
          </c:tx>
          <c:spPr>
            <a:solidFill>
              <a:schemeClr val="accent2"/>
            </a:solidFill>
            <a:ln>
              <a:noFill/>
            </a:ln>
            <a:effectLst/>
          </c:spPr>
          <c:invertIfNegative val="0"/>
          <c:val>
            <c:numRef>
              <c:f>'Income Statement'!$B$31:$K$31</c:f>
              <c:numCache>
                <c:formatCode>"$"#,##0.00</c:formatCode>
                <c:ptCount val="10"/>
                <c:pt idx="0">
                  <c:v>6345000</c:v>
                </c:pt>
                <c:pt idx="1">
                  <c:v>7009000</c:v>
                </c:pt>
                <c:pt idx="2">
                  <c:v>7957000</c:v>
                </c:pt>
                <c:pt idx="3">
                  <c:v>8630000</c:v>
                </c:pt>
                <c:pt idx="4">
                  <c:v>11121000</c:v>
                </c:pt>
                <c:pt idx="5">
                  <c:v>11242000</c:v>
                </c:pt>
                <c:pt idx="6">
                  <c:v>12866000</c:v>
                </c:pt>
                <c:pt idx="7">
                  <c:v>16433000</c:v>
                </c:pt>
                <c:pt idx="8">
                  <c:v>17105000</c:v>
                </c:pt>
                <c:pt idx="9">
                  <c:v>15143000</c:v>
                </c:pt>
              </c:numCache>
            </c:numRef>
          </c:val>
          <c:extLst>
            <c:ext xmlns:c16="http://schemas.microsoft.com/office/drawing/2014/chart" uri="{C3380CC4-5D6E-409C-BE32-E72D297353CC}">
              <c16:uniqueId val="{00000001-6C75-C546-8A56-721C30AF1D56}"/>
            </c:ext>
          </c:extLst>
        </c:ser>
        <c:dLbls>
          <c:showLegendKey val="0"/>
          <c:showVal val="0"/>
          <c:showCatName val="0"/>
          <c:showSerName val="0"/>
          <c:showPercent val="0"/>
          <c:showBubbleSize val="0"/>
        </c:dLbls>
        <c:gapWidth val="219"/>
        <c:overlap val="-27"/>
        <c:axId val="1629783791"/>
        <c:axId val="1629785503"/>
      </c:barChart>
      <c:catAx>
        <c:axId val="1629783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85503"/>
        <c:crosses val="autoZero"/>
        <c:auto val="1"/>
        <c:lblAlgn val="ctr"/>
        <c:lblOffset val="100"/>
        <c:noMultiLvlLbl val="0"/>
      </c:catAx>
      <c:valAx>
        <c:axId val="1629785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83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23.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24.xml.rels><?xml version="1.0" encoding="UTF-8" standalone="yes"?>
<Relationships xmlns="http://schemas.openxmlformats.org/package/2006/relationships"><Relationship Id="rId8" Type="http://schemas.openxmlformats.org/officeDocument/2006/relationships/chart" Target="../charts/chart43.xml"/><Relationship Id="rId13" Type="http://schemas.openxmlformats.org/officeDocument/2006/relationships/chart" Target="../charts/chart48.xml"/><Relationship Id="rId3" Type="http://schemas.openxmlformats.org/officeDocument/2006/relationships/chart" Target="../charts/chart38.xml"/><Relationship Id="rId7" Type="http://schemas.openxmlformats.org/officeDocument/2006/relationships/chart" Target="../charts/chart42.xml"/><Relationship Id="rId12" Type="http://schemas.openxmlformats.org/officeDocument/2006/relationships/chart" Target="../charts/chart47.xml"/><Relationship Id="rId2" Type="http://schemas.openxmlformats.org/officeDocument/2006/relationships/chart" Target="../charts/chart37.xml"/><Relationship Id="rId16" Type="http://schemas.openxmlformats.org/officeDocument/2006/relationships/chart" Target="../charts/chart51.xml"/><Relationship Id="rId1" Type="http://schemas.openxmlformats.org/officeDocument/2006/relationships/chart" Target="../charts/chart36.xml"/><Relationship Id="rId6" Type="http://schemas.openxmlformats.org/officeDocument/2006/relationships/chart" Target="../charts/chart41.xml"/><Relationship Id="rId11" Type="http://schemas.openxmlformats.org/officeDocument/2006/relationships/chart" Target="../charts/chart46.xml"/><Relationship Id="rId5" Type="http://schemas.openxmlformats.org/officeDocument/2006/relationships/chart" Target="../charts/chart40.xml"/><Relationship Id="rId15" Type="http://schemas.openxmlformats.org/officeDocument/2006/relationships/chart" Target="../charts/chart50.xml"/><Relationship Id="rId10" Type="http://schemas.openxmlformats.org/officeDocument/2006/relationships/chart" Target="../charts/chart45.xml"/><Relationship Id="rId4" Type="http://schemas.openxmlformats.org/officeDocument/2006/relationships/chart" Target="../charts/chart39.xml"/><Relationship Id="rId9" Type="http://schemas.openxmlformats.org/officeDocument/2006/relationships/chart" Target="../charts/chart44.xml"/><Relationship Id="rId14" Type="http://schemas.openxmlformats.org/officeDocument/2006/relationships/chart" Target="../charts/chart49.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FF2793AF-28A2-E342-90F5-48FCF3826302}"/>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twoCellAnchor>
    <xdr:from>
      <xdr:col>11</xdr:col>
      <xdr:colOff>836083</xdr:colOff>
      <xdr:row>80</xdr:row>
      <xdr:rowOff>0</xdr:rowOff>
    </xdr:from>
    <xdr:to>
      <xdr:col>16</xdr:col>
      <xdr:colOff>74082</xdr:colOff>
      <xdr:row>122</xdr:row>
      <xdr:rowOff>63499</xdr:rowOff>
    </xdr:to>
    <xdr:sp macro="" textlink="">
      <xdr:nvSpPr>
        <xdr:cNvPr id="3" name="TextBox 2">
          <a:extLst>
            <a:ext uri="{FF2B5EF4-FFF2-40B4-BE49-F238E27FC236}">
              <a16:creationId xmlns:a16="http://schemas.microsoft.com/office/drawing/2014/main" id="{0FE5F24D-4A12-794A-8661-C273701369D6}"/>
            </a:ext>
          </a:extLst>
        </xdr:cNvPr>
        <xdr:cNvSpPr txBox="1"/>
      </xdr:nvSpPr>
      <xdr:spPr>
        <a:xfrm>
          <a:off x="16990483" y="16446500"/>
          <a:ext cx="3809999" cy="2959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Look at historic</a:t>
          </a:r>
          <a:r>
            <a:rPr lang="en-US" sz="1100" baseline="0"/>
            <a:t> average return for the past 10 years for the company to decide the discount rate</a:t>
          </a:r>
        </a:p>
        <a:p>
          <a:endParaRPr lang="en-US" sz="1100" baseline="0"/>
        </a:p>
        <a:p>
          <a:r>
            <a:rPr lang="en-US" sz="1100" baseline="0"/>
            <a:t>WACC = Weighted Cost of Equity / Weighest Cost of Debt</a:t>
          </a:r>
        </a:p>
        <a:p>
          <a:endParaRPr lang="en-US" sz="1100" baseline="0"/>
        </a:p>
        <a:p>
          <a:r>
            <a:rPr lang="en-US" sz="1100" baseline="0"/>
            <a:t>For the perpetual growth rate we can use the dgp of inflation to match the growth</a:t>
          </a:r>
        </a:p>
        <a:p>
          <a:endParaRPr lang="en-US" sz="1100" baseline="0"/>
        </a:p>
        <a:p>
          <a:r>
            <a:rPr lang="en-US" sz="1100" baseline="0"/>
            <a:t>We need to talk about the Terminal Value in the analysis, estimate it and discounted to present based on the discount rate</a:t>
          </a:r>
        </a:p>
        <a:p>
          <a:r>
            <a:rPr lang="en-US" sz="1100" baseline="0"/>
            <a:t>- If we forget this value the company will dissappear </a:t>
          </a:r>
        </a:p>
        <a:p>
          <a:endParaRPr lang="en-US" sz="1100" baseline="0"/>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C78BB956-6658-EC4A-903B-076D7B690D02}"/>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5D419CFE-B17B-A244-8AAF-C119EEAC50B4}"/>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652B7FEC-9284-2B4D-A88D-E62396D4286F}"/>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B14BFB31-28FC-3742-9870-57F0BD4E623A}"/>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428CACF6-8165-B044-A886-ECA2FB0277B0}"/>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327D409C-256D-A342-8ED9-16E5563087DF}"/>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2349E2A9-506A-BF4F-85DF-794FC5B3F6F4}"/>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59FD48E0-AAD0-094F-ACA5-9EC2CA917FC8}"/>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981200" cy="476250"/>
    <xdr:pic>
      <xdr:nvPicPr>
        <xdr:cNvPr id="2" name="Logo" descr="Logo">
          <a:extLst>
            <a:ext uri="{FF2B5EF4-FFF2-40B4-BE49-F238E27FC236}">
              <a16:creationId xmlns:a16="http://schemas.microsoft.com/office/drawing/2014/main" id="{BAAF0CD2-0F25-7A49-AA2D-BB417BE2AA3F}"/>
            </a:ext>
          </a:extLst>
        </xdr:cNvPr>
        <xdr:cNvPicPr>
          <a:picLocks noChangeAspect="1"/>
        </xdr:cNvPicPr>
      </xdr:nvPicPr>
      <xdr:blipFill>
        <a:blip xmlns:r="http://schemas.openxmlformats.org/officeDocument/2006/relationships" r:embed="rId1"/>
        <a:stretch>
          <a:fillRect/>
        </a:stretch>
      </xdr:blipFill>
      <xdr:spPr>
        <a:xfrm>
          <a:off x="0" y="0"/>
          <a:ext cx="1981200" cy="476250"/>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981200" cy="476250"/>
    <xdr:pic>
      <xdr:nvPicPr>
        <xdr:cNvPr id="2" name="Logo" descr="Logo">
          <a:extLst>
            <a:ext uri="{FF2B5EF4-FFF2-40B4-BE49-F238E27FC236}">
              <a16:creationId xmlns:a16="http://schemas.microsoft.com/office/drawing/2014/main" id="{D57C6FFA-C4B5-6946-A0F7-E681B8A6720E}"/>
            </a:ext>
          </a:extLst>
        </xdr:cNvPr>
        <xdr:cNvPicPr>
          <a:picLocks noChangeAspect="1"/>
        </xdr:cNvPicPr>
      </xdr:nvPicPr>
      <xdr:blipFill>
        <a:blip xmlns:r="http://schemas.openxmlformats.org/officeDocument/2006/relationships" r:embed="rId1"/>
        <a:stretch>
          <a:fillRect/>
        </a:stretch>
      </xdr:blipFill>
      <xdr:spPr>
        <a:xfrm>
          <a:off x="0" y="0"/>
          <a:ext cx="1981200" cy="4762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11</xdr:col>
      <xdr:colOff>605064</xdr:colOff>
      <xdr:row>0</xdr:row>
      <xdr:rowOff>146050</xdr:rowOff>
    </xdr:from>
    <xdr:to>
      <xdr:col>18</xdr:col>
      <xdr:colOff>484414</xdr:colOff>
      <xdr:row>20</xdr:row>
      <xdr:rowOff>34472</xdr:rowOff>
    </xdr:to>
    <xdr:graphicFrame macro="">
      <xdr:nvGraphicFramePr>
        <xdr:cNvPr id="2" name="Chart 1">
          <a:extLst>
            <a:ext uri="{FF2B5EF4-FFF2-40B4-BE49-F238E27FC236}">
              <a16:creationId xmlns:a16="http://schemas.microsoft.com/office/drawing/2014/main" id="{2494269B-102A-4DBF-E2D5-1FB4BB8C0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xdr:row>
      <xdr:rowOff>0</xdr:rowOff>
    </xdr:from>
    <xdr:to>
      <xdr:col>25</xdr:col>
      <xdr:colOff>704850</xdr:colOff>
      <xdr:row>20</xdr:row>
      <xdr:rowOff>51708</xdr:rowOff>
    </xdr:to>
    <xdr:graphicFrame macro="">
      <xdr:nvGraphicFramePr>
        <xdr:cNvPr id="3" name="Chart 2">
          <a:extLst>
            <a:ext uri="{FF2B5EF4-FFF2-40B4-BE49-F238E27FC236}">
              <a16:creationId xmlns:a16="http://schemas.microsoft.com/office/drawing/2014/main" id="{35C62E24-C8A4-A147-BA28-5741D419D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63500</xdr:colOff>
      <xdr:row>26</xdr:row>
      <xdr:rowOff>97972</xdr:rowOff>
    </xdr:from>
    <xdr:to>
      <xdr:col>24</xdr:col>
      <xdr:colOff>562428</xdr:colOff>
      <xdr:row>42</xdr:row>
      <xdr:rowOff>128815</xdr:rowOff>
    </xdr:to>
    <xdr:graphicFrame macro="">
      <xdr:nvGraphicFramePr>
        <xdr:cNvPr id="5" name="Chart 4">
          <a:extLst>
            <a:ext uri="{FF2B5EF4-FFF2-40B4-BE49-F238E27FC236}">
              <a16:creationId xmlns:a16="http://schemas.microsoft.com/office/drawing/2014/main" id="{50322C13-2A12-D727-A147-758CEBBA7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235858</xdr:colOff>
      <xdr:row>26</xdr:row>
      <xdr:rowOff>72572</xdr:rowOff>
    </xdr:from>
    <xdr:to>
      <xdr:col>17</xdr:col>
      <xdr:colOff>734786</xdr:colOff>
      <xdr:row>42</xdr:row>
      <xdr:rowOff>103415</xdr:rowOff>
    </xdr:to>
    <xdr:graphicFrame macro="">
      <xdr:nvGraphicFramePr>
        <xdr:cNvPr id="6" name="Chart 5">
          <a:extLst>
            <a:ext uri="{FF2B5EF4-FFF2-40B4-BE49-F238E27FC236}">
              <a16:creationId xmlns:a16="http://schemas.microsoft.com/office/drawing/2014/main" id="{423AF849-9904-994C-BB85-01A490592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36286</xdr:colOff>
      <xdr:row>44</xdr:row>
      <xdr:rowOff>16327</xdr:rowOff>
    </xdr:from>
    <xdr:to>
      <xdr:col>21</xdr:col>
      <xdr:colOff>508000</xdr:colOff>
      <xdr:row>63</xdr:row>
      <xdr:rowOff>27213</xdr:rowOff>
    </xdr:to>
    <xdr:graphicFrame macro="">
      <xdr:nvGraphicFramePr>
        <xdr:cNvPr id="7" name="Chart 6">
          <a:extLst>
            <a:ext uri="{FF2B5EF4-FFF2-40B4-BE49-F238E27FC236}">
              <a16:creationId xmlns:a16="http://schemas.microsoft.com/office/drawing/2014/main" id="{2304A193-5A13-5872-1BB9-0BE38CA78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272142</xdr:colOff>
      <xdr:row>75</xdr:row>
      <xdr:rowOff>7257</xdr:rowOff>
    </xdr:from>
    <xdr:to>
      <xdr:col>17</xdr:col>
      <xdr:colOff>616858</xdr:colOff>
      <xdr:row>95</xdr:row>
      <xdr:rowOff>54429</xdr:rowOff>
    </xdr:to>
    <xdr:graphicFrame macro="">
      <xdr:nvGraphicFramePr>
        <xdr:cNvPr id="8" name="Chart 7">
          <a:extLst>
            <a:ext uri="{FF2B5EF4-FFF2-40B4-BE49-F238E27FC236}">
              <a16:creationId xmlns:a16="http://schemas.microsoft.com/office/drawing/2014/main" id="{60E8DB7C-0063-9CD7-3324-6214EC280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235858</xdr:colOff>
      <xdr:row>71</xdr:row>
      <xdr:rowOff>43542</xdr:rowOff>
    </xdr:from>
    <xdr:to>
      <xdr:col>23</xdr:col>
      <xdr:colOff>680358</xdr:colOff>
      <xdr:row>87</xdr:row>
      <xdr:rowOff>83457</xdr:rowOff>
    </xdr:to>
    <xdr:graphicFrame macro="">
      <xdr:nvGraphicFramePr>
        <xdr:cNvPr id="9" name="Chart 8">
          <a:extLst>
            <a:ext uri="{FF2B5EF4-FFF2-40B4-BE49-F238E27FC236}">
              <a16:creationId xmlns:a16="http://schemas.microsoft.com/office/drawing/2014/main" id="{565F809D-BC3A-6BEA-6D44-C78C5294C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358320</xdr:colOff>
      <xdr:row>118</xdr:row>
      <xdr:rowOff>161471</xdr:rowOff>
    </xdr:from>
    <xdr:to>
      <xdr:col>7</xdr:col>
      <xdr:colOff>136071</xdr:colOff>
      <xdr:row>143</xdr:row>
      <xdr:rowOff>9071</xdr:rowOff>
    </xdr:to>
    <xdr:graphicFrame macro="">
      <xdr:nvGraphicFramePr>
        <xdr:cNvPr id="4" name="Chart 3">
          <a:extLst>
            <a:ext uri="{FF2B5EF4-FFF2-40B4-BE49-F238E27FC236}">
              <a16:creationId xmlns:a16="http://schemas.microsoft.com/office/drawing/2014/main" id="{D9A840B0-4262-B358-DDFA-9F6E37BA7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0.xml><?xml version="1.0" encoding="utf-8"?>
<xdr:wsDr xmlns:xdr="http://schemas.openxmlformats.org/drawingml/2006/spreadsheetDrawing" xmlns:a="http://schemas.openxmlformats.org/drawingml/2006/main">
  <xdr:oneCellAnchor>
    <xdr:from>
      <xdr:col>0</xdr:col>
      <xdr:colOff>0</xdr:colOff>
      <xdr:row>0</xdr:row>
      <xdr:rowOff>0</xdr:rowOff>
    </xdr:from>
    <xdr:ext cx="1981200" cy="476250"/>
    <xdr:pic>
      <xdr:nvPicPr>
        <xdr:cNvPr id="2" name="Logo" descr="Logo">
          <a:extLst>
            <a:ext uri="{FF2B5EF4-FFF2-40B4-BE49-F238E27FC236}">
              <a16:creationId xmlns:a16="http://schemas.microsoft.com/office/drawing/2014/main" id="{81F6B6F5-430B-8E45-BBA3-1A72687E4A32}"/>
            </a:ext>
          </a:extLst>
        </xdr:cNvPr>
        <xdr:cNvPicPr>
          <a:picLocks noChangeAspect="1"/>
        </xdr:cNvPicPr>
      </xdr:nvPicPr>
      <xdr:blipFill>
        <a:blip xmlns:r="http://schemas.openxmlformats.org/officeDocument/2006/relationships" r:embed="rId1"/>
        <a:stretch>
          <a:fillRect/>
        </a:stretch>
      </xdr:blipFill>
      <xdr:spPr>
        <a:xfrm>
          <a:off x="0" y="0"/>
          <a:ext cx="1981200" cy="476250"/>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981200" cy="476250"/>
    <xdr:pic>
      <xdr:nvPicPr>
        <xdr:cNvPr id="2" name="Logo" descr="Logo">
          <a:extLst>
            <a:ext uri="{FF2B5EF4-FFF2-40B4-BE49-F238E27FC236}">
              <a16:creationId xmlns:a16="http://schemas.microsoft.com/office/drawing/2014/main" id="{05CA62B7-AB8C-6B43-AC30-8ED6FA3F586B}"/>
            </a:ext>
          </a:extLst>
        </xdr:cNvPr>
        <xdr:cNvPicPr>
          <a:picLocks noChangeAspect="1"/>
        </xdr:cNvPicPr>
      </xdr:nvPicPr>
      <xdr:blipFill>
        <a:blip xmlns:r="http://schemas.openxmlformats.org/officeDocument/2006/relationships" r:embed="rId1"/>
        <a:stretch>
          <a:fillRect/>
        </a:stretch>
      </xdr:blipFill>
      <xdr:spPr>
        <a:xfrm>
          <a:off x="0" y="0"/>
          <a:ext cx="1981200" cy="476250"/>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twoCellAnchor>
    <xdr:from>
      <xdr:col>0</xdr:col>
      <xdr:colOff>0</xdr:colOff>
      <xdr:row>41</xdr:row>
      <xdr:rowOff>20320</xdr:rowOff>
    </xdr:from>
    <xdr:to>
      <xdr:col>3</xdr:col>
      <xdr:colOff>2936240</xdr:colOff>
      <xdr:row>65</xdr:row>
      <xdr:rowOff>45720</xdr:rowOff>
    </xdr:to>
    <xdr:graphicFrame macro="">
      <xdr:nvGraphicFramePr>
        <xdr:cNvPr id="2" name="Chart 1">
          <a:extLst>
            <a:ext uri="{FF2B5EF4-FFF2-40B4-BE49-F238E27FC236}">
              <a16:creationId xmlns:a16="http://schemas.microsoft.com/office/drawing/2014/main" id="{AF160129-23B2-034A-997B-DB0086388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67</xdr:row>
      <xdr:rowOff>0</xdr:rowOff>
    </xdr:from>
    <xdr:to>
      <xdr:col>3</xdr:col>
      <xdr:colOff>2936240</xdr:colOff>
      <xdr:row>91</xdr:row>
      <xdr:rowOff>25400</xdr:rowOff>
    </xdr:to>
    <xdr:graphicFrame macro="">
      <xdr:nvGraphicFramePr>
        <xdr:cNvPr id="3" name="Chart 2">
          <a:extLst>
            <a:ext uri="{FF2B5EF4-FFF2-40B4-BE49-F238E27FC236}">
              <a16:creationId xmlns:a16="http://schemas.microsoft.com/office/drawing/2014/main" id="{75D96E48-AD60-2C41-9F6E-96688B3D7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0</xdr:rowOff>
    </xdr:from>
    <xdr:to>
      <xdr:col>13</xdr:col>
      <xdr:colOff>629920</xdr:colOff>
      <xdr:row>67</xdr:row>
      <xdr:rowOff>101600</xdr:rowOff>
    </xdr:to>
    <xdr:graphicFrame macro="">
      <xdr:nvGraphicFramePr>
        <xdr:cNvPr id="4" name="Chart 3">
          <a:extLst>
            <a:ext uri="{FF2B5EF4-FFF2-40B4-BE49-F238E27FC236}">
              <a16:creationId xmlns:a16="http://schemas.microsoft.com/office/drawing/2014/main" id="{0523BFE7-9772-E045-97E6-849C69958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41</xdr:row>
      <xdr:rowOff>0</xdr:rowOff>
    </xdr:from>
    <xdr:to>
      <xdr:col>23</xdr:col>
      <xdr:colOff>223520</xdr:colOff>
      <xdr:row>67</xdr:row>
      <xdr:rowOff>101600</xdr:rowOff>
    </xdr:to>
    <xdr:graphicFrame macro="">
      <xdr:nvGraphicFramePr>
        <xdr:cNvPr id="5" name="Chart 4">
          <a:extLst>
            <a:ext uri="{FF2B5EF4-FFF2-40B4-BE49-F238E27FC236}">
              <a16:creationId xmlns:a16="http://schemas.microsoft.com/office/drawing/2014/main" id="{9D0FA89D-253F-1D4D-8264-C52957D07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69</xdr:row>
      <xdr:rowOff>0</xdr:rowOff>
    </xdr:from>
    <xdr:to>
      <xdr:col>13</xdr:col>
      <xdr:colOff>629920</xdr:colOff>
      <xdr:row>95</xdr:row>
      <xdr:rowOff>101600</xdr:rowOff>
    </xdr:to>
    <xdr:graphicFrame macro="">
      <xdr:nvGraphicFramePr>
        <xdr:cNvPr id="6" name="Chart 5">
          <a:extLst>
            <a:ext uri="{FF2B5EF4-FFF2-40B4-BE49-F238E27FC236}">
              <a16:creationId xmlns:a16="http://schemas.microsoft.com/office/drawing/2014/main" id="{74B375D7-1965-2846-A4F3-A7FDA20E8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69</xdr:row>
      <xdr:rowOff>0</xdr:rowOff>
    </xdr:from>
    <xdr:to>
      <xdr:col>23</xdr:col>
      <xdr:colOff>223520</xdr:colOff>
      <xdr:row>95</xdr:row>
      <xdr:rowOff>101600</xdr:rowOff>
    </xdr:to>
    <xdr:graphicFrame macro="">
      <xdr:nvGraphicFramePr>
        <xdr:cNvPr id="7" name="Chart 6">
          <a:extLst>
            <a:ext uri="{FF2B5EF4-FFF2-40B4-BE49-F238E27FC236}">
              <a16:creationId xmlns:a16="http://schemas.microsoft.com/office/drawing/2014/main" id="{566477FE-9828-804B-988D-84D80D190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97</xdr:row>
      <xdr:rowOff>0</xdr:rowOff>
    </xdr:from>
    <xdr:to>
      <xdr:col>13</xdr:col>
      <xdr:colOff>629920</xdr:colOff>
      <xdr:row>123</xdr:row>
      <xdr:rowOff>101600</xdr:rowOff>
    </xdr:to>
    <xdr:graphicFrame macro="">
      <xdr:nvGraphicFramePr>
        <xdr:cNvPr id="8" name="Chart 7">
          <a:extLst>
            <a:ext uri="{FF2B5EF4-FFF2-40B4-BE49-F238E27FC236}">
              <a16:creationId xmlns:a16="http://schemas.microsoft.com/office/drawing/2014/main" id="{0D0AE59C-37E7-DB45-B418-FADE361C0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93</xdr:row>
      <xdr:rowOff>0</xdr:rowOff>
    </xdr:from>
    <xdr:to>
      <xdr:col>4</xdr:col>
      <xdr:colOff>160020</xdr:colOff>
      <xdr:row>119</xdr:row>
      <xdr:rowOff>101600</xdr:rowOff>
    </xdr:to>
    <xdr:graphicFrame macro="">
      <xdr:nvGraphicFramePr>
        <xdr:cNvPr id="9" name="Chart 8">
          <a:extLst>
            <a:ext uri="{FF2B5EF4-FFF2-40B4-BE49-F238E27FC236}">
              <a16:creationId xmlns:a16="http://schemas.microsoft.com/office/drawing/2014/main" id="{9ACF81ED-4183-F849-BAC0-90F3D195A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122</xdr:row>
      <xdr:rowOff>0</xdr:rowOff>
    </xdr:from>
    <xdr:to>
      <xdr:col>4</xdr:col>
      <xdr:colOff>160020</xdr:colOff>
      <xdr:row>148</xdr:row>
      <xdr:rowOff>101600</xdr:rowOff>
    </xdr:to>
    <xdr:graphicFrame macro="">
      <xdr:nvGraphicFramePr>
        <xdr:cNvPr id="10" name="Chart 9">
          <a:extLst>
            <a:ext uri="{FF2B5EF4-FFF2-40B4-BE49-F238E27FC236}">
              <a16:creationId xmlns:a16="http://schemas.microsoft.com/office/drawing/2014/main" id="{1DF1EE32-5FC0-9549-8441-63A45C8F6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97</xdr:row>
      <xdr:rowOff>0</xdr:rowOff>
    </xdr:from>
    <xdr:to>
      <xdr:col>23</xdr:col>
      <xdr:colOff>223520</xdr:colOff>
      <xdr:row>123</xdr:row>
      <xdr:rowOff>101600</xdr:rowOff>
    </xdr:to>
    <xdr:graphicFrame macro="">
      <xdr:nvGraphicFramePr>
        <xdr:cNvPr id="11" name="Chart 10">
          <a:extLst>
            <a:ext uri="{FF2B5EF4-FFF2-40B4-BE49-F238E27FC236}">
              <a16:creationId xmlns:a16="http://schemas.microsoft.com/office/drawing/2014/main" id="{12C7F18E-97E6-1D49-8CB9-61B592EE5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692150</xdr:colOff>
      <xdr:row>6</xdr:row>
      <xdr:rowOff>50800</xdr:rowOff>
    </xdr:from>
    <xdr:to>
      <xdr:col>4</xdr:col>
      <xdr:colOff>203200</xdr:colOff>
      <xdr:row>26</xdr:row>
      <xdr:rowOff>25400</xdr:rowOff>
    </xdr:to>
    <xdr:graphicFrame macro="">
      <xdr:nvGraphicFramePr>
        <xdr:cNvPr id="2" name="Chart 1">
          <a:extLst>
            <a:ext uri="{FF2B5EF4-FFF2-40B4-BE49-F238E27FC236}">
              <a16:creationId xmlns:a16="http://schemas.microsoft.com/office/drawing/2014/main" id="{9F24358E-8EBB-F940-A8F1-A97ADE848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226784</xdr:colOff>
      <xdr:row>29</xdr:row>
      <xdr:rowOff>45356</xdr:rowOff>
    </xdr:from>
    <xdr:to>
      <xdr:col>9</xdr:col>
      <xdr:colOff>45358</xdr:colOff>
      <xdr:row>53</xdr:row>
      <xdr:rowOff>108856</xdr:rowOff>
    </xdr:to>
    <xdr:graphicFrame macro="">
      <xdr:nvGraphicFramePr>
        <xdr:cNvPr id="3" name="Chart 2">
          <a:extLst>
            <a:ext uri="{FF2B5EF4-FFF2-40B4-BE49-F238E27FC236}">
              <a16:creationId xmlns:a16="http://schemas.microsoft.com/office/drawing/2014/main" id="{2FE7376A-D098-1F44-95F7-E6DBA6CBC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798285</xdr:colOff>
      <xdr:row>7</xdr:row>
      <xdr:rowOff>54428</xdr:rowOff>
    </xdr:from>
    <xdr:to>
      <xdr:col>9</xdr:col>
      <xdr:colOff>155121</xdr:colOff>
      <xdr:row>27</xdr:row>
      <xdr:rowOff>29029</xdr:rowOff>
    </xdr:to>
    <xdr:graphicFrame macro="">
      <xdr:nvGraphicFramePr>
        <xdr:cNvPr id="4" name="Chart 3">
          <a:extLst>
            <a:ext uri="{FF2B5EF4-FFF2-40B4-BE49-F238E27FC236}">
              <a16:creationId xmlns:a16="http://schemas.microsoft.com/office/drawing/2014/main" id="{0C1F5E29-B548-A348-9D98-4ACBC1F48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725715</xdr:colOff>
      <xdr:row>0</xdr:row>
      <xdr:rowOff>136071</xdr:rowOff>
    </xdr:from>
    <xdr:to>
      <xdr:col>18</xdr:col>
      <xdr:colOff>123735</xdr:colOff>
      <xdr:row>27</xdr:row>
      <xdr:rowOff>121557</xdr:rowOff>
    </xdr:to>
    <xdr:graphicFrame macro="">
      <xdr:nvGraphicFramePr>
        <xdr:cNvPr id="5" name="Chart 4">
          <a:extLst>
            <a:ext uri="{FF2B5EF4-FFF2-40B4-BE49-F238E27FC236}">
              <a16:creationId xmlns:a16="http://schemas.microsoft.com/office/drawing/2014/main" id="{92355C82-0062-E54A-A344-79F4D651A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268515</xdr:colOff>
      <xdr:row>0</xdr:row>
      <xdr:rowOff>136071</xdr:rowOff>
    </xdr:from>
    <xdr:to>
      <xdr:col>27</xdr:col>
      <xdr:colOff>492035</xdr:colOff>
      <xdr:row>27</xdr:row>
      <xdr:rowOff>121557</xdr:rowOff>
    </xdr:to>
    <xdr:graphicFrame macro="">
      <xdr:nvGraphicFramePr>
        <xdr:cNvPr id="6" name="Chart 5">
          <a:extLst>
            <a:ext uri="{FF2B5EF4-FFF2-40B4-BE49-F238E27FC236}">
              <a16:creationId xmlns:a16="http://schemas.microsoft.com/office/drawing/2014/main" id="{9552768F-59D8-4545-8B86-FB9F3DDB5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725715</xdr:colOff>
      <xdr:row>29</xdr:row>
      <xdr:rowOff>23585</xdr:rowOff>
    </xdr:from>
    <xdr:to>
      <xdr:col>18</xdr:col>
      <xdr:colOff>123735</xdr:colOff>
      <xdr:row>56</xdr:row>
      <xdr:rowOff>9071</xdr:rowOff>
    </xdr:to>
    <xdr:graphicFrame macro="">
      <xdr:nvGraphicFramePr>
        <xdr:cNvPr id="7" name="Chart 6">
          <a:extLst>
            <a:ext uri="{FF2B5EF4-FFF2-40B4-BE49-F238E27FC236}">
              <a16:creationId xmlns:a16="http://schemas.microsoft.com/office/drawing/2014/main" id="{CDA361CC-6487-7A4E-8404-9A7130B86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268515</xdr:colOff>
      <xdr:row>29</xdr:row>
      <xdr:rowOff>23585</xdr:rowOff>
    </xdr:from>
    <xdr:to>
      <xdr:col>27</xdr:col>
      <xdr:colOff>492035</xdr:colOff>
      <xdr:row>56</xdr:row>
      <xdr:rowOff>9071</xdr:rowOff>
    </xdr:to>
    <xdr:graphicFrame macro="">
      <xdr:nvGraphicFramePr>
        <xdr:cNvPr id="8" name="Chart 7">
          <a:extLst>
            <a:ext uri="{FF2B5EF4-FFF2-40B4-BE49-F238E27FC236}">
              <a16:creationId xmlns:a16="http://schemas.microsoft.com/office/drawing/2014/main" id="{64ED7C27-11E0-6C46-82D8-D72DD0D4F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734784</xdr:colOff>
      <xdr:row>60</xdr:row>
      <xdr:rowOff>39007</xdr:rowOff>
    </xdr:from>
    <xdr:to>
      <xdr:col>13</xdr:col>
      <xdr:colOff>54427</xdr:colOff>
      <xdr:row>81</xdr:row>
      <xdr:rowOff>72570</xdr:rowOff>
    </xdr:to>
    <xdr:graphicFrame macro="">
      <xdr:nvGraphicFramePr>
        <xdr:cNvPr id="9" name="Chart 8">
          <a:extLst>
            <a:ext uri="{FF2B5EF4-FFF2-40B4-BE49-F238E27FC236}">
              <a16:creationId xmlns:a16="http://schemas.microsoft.com/office/drawing/2014/main" id="{678A4909-B590-DF4E-B0AF-59B86D5C2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88900</xdr:colOff>
      <xdr:row>3</xdr:row>
      <xdr:rowOff>50800</xdr:rowOff>
    </xdr:from>
    <xdr:to>
      <xdr:col>4</xdr:col>
      <xdr:colOff>271236</xdr:colOff>
      <xdr:row>22</xdr:row>
      <xdr:rowOff>154215</xdr:rowOff>
    </xdr:to>
    <xdr:graphicFrame macro="">
      <xdr:nvGraphicFramePr>
        <xdr:cNvPr id="2" name="Chart 1">
          <a:extLst>
            <a:ext uri="{FF2B5EF4-FFF2-40B4-BE49-F238E27FC236}">
              <a16:creationId xmlns:a16="http://schemas.microsoft.com/office/drawing/2014/main" id="{2FD36A55-6A07-6847-8A9C-C635338B0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xdr:row>
      <xdr:rowOff>0</xdr:rowOff>
    </xdr:from>
    <xdr:to>
      <xdr:col>9</xdr:col>
      <xdr:colOff>182336</xdr:colOff>
      <xdr:row>22</xdr:row>
      <xdr:rowOff>103415</xdr:rowOff>
    </xdr:to>
    <xdr:graphicFrame macro="">
      <xdr:nvGraphicFramePr>
        <xdr:cNvPr id="3" name="Chart 2">
          <a:extLst>
            <a:ext uri="{FF2B5EF4-FFF2-40B4-BE49-F238E27FC236}">
              <a16:creationId xmlns:a16="http://schemas.microsoft.com/office/drawing/2014/main" id="{E89FEEBF-3588-CA4F-9290-4789C939A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xdr:row>
      <xdr:rowOff>0</xdr:rowOff>
    </xdr:from>
    <xdr:to>
      <xdr:col>17</xdr:col>
      <xdr:colOff>160564</xdr:colOff>
      <xdr:row>23</xdr:row>
      <xdr:rowOff>97065</xdr:rowOff>
    </xdr:to>
    <xdr:graphicFrame macro="">
      <xdr:nvGraphicFramePr>
        <xdr:cNvPr id="4" name="Chart 3">
          <a:extLst>
            <a:ext uri="{FF2B5EF4-FFF2-40B4-BE49-F238E27FC236}">
              <a16:creationId xmlns:a16="http://schemas.microsoft.com/office/drawing/2014/main" id="{937EF8B5-4CB0-2941-87DE-2B7E56A37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0</xdr:rowOff>
    </xdr:from>
    <xdr:to>
      <xdr:col>6</xdr:col>
      <xdr:colOff>704850</xdr:colOff>
      <xdr:row>44</xdr:row>
      <xdr:rowOff>97065</xdr:rowOff>
    </xdr:to>
    <xdr:graphicFrame macro="">
      <xdr:nvGraphicFramePr>
        <xdr:cNvPr id="5" name="Chart 4">
          <a:extLst>
            <a:ext uri="{FF2B5EF4-FFF2-40B4-BE49-F238E27FC236}">
              <a16:creationId xmlns:a16="http://schemas.microsoft.com/office/drawing/2014/main" id="{24B191B9-A385-B642-ACE1-71557F09B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25</xdr:row>
      <xdr:rowOff>0</xdr:rowOff>
    </xdr:from>
    <xdr:to>
      <xdr:col>16</xdr:col>
      <xdr:colOff>780142</xdr:colOff>
      <xdr:row>41</xdr:row>
      <xdr:rowOff>101600</xdr:rowOff>
    </xdr:to>
    <xdr:graphicFrame macro="">
      <xdr:nvGraphicFramePr>
        <xdr:cNvPr id="6" name="Chart 5">
          <a:extLst>
            <a:ext uri="{FF2B5EF4-FFF2-40B4-BE49-F238E27FC236}">
              <a16:creationId xmlns:a16="http://schemas.microsoft.com/office/drawing/2014/main" id="{C7AE5237-4A84-A144-95C1-D435ABA1B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47</xdr:row>
      <xdr:rowOff>0</xdr:rowOff>
    </xdr:from>
    <xdr:to>
      <xdr:col>6</xdr:col>
      <xdr:colOff>498928</xdr:colOff>
      <xdr:row>63</xdr:row>
      <xdr:rowOff>101600</xdr:rowOff>
    </xdr:to>
    <xdr:graphicFrame macro="">
      <xdr:nvGraphicFramePr>
        <xdr:cNvPr id="7" name="Chart 6">
          <a:extLst>
            <a:ext uri="{FF2B5EF4-FFF2-40B4-BE49-F238E27FC236}">
              <a16:creationId xmlns:a16="http://schemas.microsoft.com/office/drawing/2014/main" id="{40A6B24A-1036-D546-B82E-303C44B78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46</xdr:row>
      <xdr:rowOff>0</xdr:rowOff>
    </xdr:from>
    <xdr:to>
      <xdr:col>15</xdr:col>
      <xdr:colOff>471714</xdr:colOff>
      <xdr:row>65</xdr:row>
      <xdr:rowOff>94343</xdr:rowOff>
    </xdr:to>
    <xdr:graphicFrame macro="">
      <xdr:nvGraphicFramePr>
        <xdr:cNvPr id="8" name="Chart 7">
          <a:extLst>
            <a:ext uri="{FF2B5EF4-FFF2-40B4-BE49-F238E27FC236}">
              <a16:creationId xmlns:a16="http://schemas.microsoft.com/office/drawing/2014/main" id="{238B90B0-CB61-1349-9165-4538B8940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70</xdr:row>
      <xdr:rowOff>0</xdr:rowOff>
    </xdr:from>
    <xdr:to>
      <xdr:col>6</xdr:col>
      <xdr:colOff>625930</xdr:colOff>
      <xdr:row>90</xdr:row>
      <xdr:rowOff>83458</xdr:rowOff>
    </xdr:to>
    <xdr:graphicFrame macro="">
      <xdr:nvGraphicFramePr>
        <xdr:cNvPr id="9" name="Chart 8">
          <a:extLst>
            <a:ext uri="{FF2B5EF4-FFF2-40B4-BE49-F238E27FC236}">
              <a16:creationId xmlns:a16="http://schemas.microsoft.com/office/drawing/2014/main" id="{822D522D-BC98-CA45-8FC3-A38CA46A5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558800</xdr:colOff>
      <xdr:row>68</xdr:row>
      <xdr:rowOff>63500</xdr:rowOff>
    </xdr:from>
    <xdr:to>
      <xdr:col>16</xdr:col>
      <xdr:colOff>782320</xdr:colOff>
      <xdr:row>95</xdr:row>
      <xdr:rowOff>0</xdr:rowOff>
    </xdr:to>
    <xdr:graphicFrame macro="">
      <xdr:nvGraphicFramePr>
        <xdr:cNvPr id="10" name="Chart 9">
          <a:extLst>
            <a:ext uri="{FF2B5EF4-FFF2-40B4-BE49-F238E27FC236}">
              <a16:creationId xmlns:a16="http://schemas.microsoft.com/office/drawing/2014/main" id="{A5C25696-C8E6-6149-8674-5D6EE02B6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635000</xdr:colOff>
      <xdr:row>97</xdr:row>
      <xdr:rowOff>25400</xdr:rowOff>
    </xdr:from>
    <xdr:to>
      <xdr:col>17</xdr:col>
      <xdr:colOff>33020</xdr:colOff>
      <xdr:row>123</xdr:row>
      <xdr:rowOff>127000</xdr:rowOff>
    </xdr:to>
    <xdr:graphicFrame macro="">
      <xdr:nvGraphicFramePr>
        <xdr:cNvPr id="11" name="Chart 10">
          <a:extLst>
            <a:ext uri="{FF2B5EF4-FFF2-40B4-BE49-F238E27FC236}">
              <a16:creationId xmlns:a16="http://schemas.microsoft.com/office/drawing/2014/main" id="{2CB2EDCB-5187-B740-9269-32FEDEE91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96</xdr:row>
      <xdr:rowOff>0</xdr:rowOff>
    </xdr:from>
    <xdr:to>
      <xdr:col>8</xdr:col>
      <xdr:colOff>223520</xdr:colOff>
      <xdr:row>122</xdr:row>
      <xdr:rowOff>101600</xdr:rowOff>
    </xdr:to>
    <xdr:graphicFrame macro="">
      <xdr:nvGraphicFramePr>
        <xdr:cNvPr id="12" name="Chart 11">
          <a:extLst>
            <a:ext uri="{FF2B5EF4-FFF2-40B4-BE49-F238E27FC236}">
              <a16:creationId xmlns:a16="http://schemas.microsoft.com/office/drawing/2014/main" id="{CD84224B-E5C8-5348-AF3D-7022376CB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124</xdr:row>
      <xdr:rowOff>0</xdr:rowOff>
    </xdr:from>
    <xdr:to>
      <xdr:col>8</xdr:col>
      <xdr:colOff>223520</xdr:colOff>
      <xdr:row>150</xdr:row>
      <xdr:rowOff>101600</xdr:rowOff>
    </xdr:to>
    <xdr:graphicFrame macro="">
      <xdr:nvGraphicFramePr>
        <xdr:cNvPr id="13" name="Chart 12">
          <a:extLst>
            <a:ext uri="{FF2B5EF4-FFF2-40B4-BE49-F238E27FC236}">
              <a16:creationId xmlns:a16="http://schemas.microsoft.com/office/drawing/2014/main" id="{942AAF7C-885B-8548-9184-46BFDCC0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28</xdr:col>
      <xdr:colOff>65151</xdr:colOff>
      <xdr:row>94</xdr:row>
      <xdr:rowOff>122738</xdr:rowOff>
    </xdr:from>
    <xdr:to>
      <xdr:col>37</xdr:col>
      <xdr:colOff>733963</xdr:colOff>
      <xdr:row>118</xdr:row>
      <xdr:rowOff>48298</xdr:rowOff>
    </xdr:to>
    <xdr:graphicFrame macro="">
      <xdr:nvGraphicFramePr>
        <xdr:cNvPr id="14" name="Chart 13">
          <a:extLst>
            <a:ext uri="{FF2B5EF4-FFF2-40B4-BE49-F238E27FC236}">
              <a16:creationId xmlns:a16="http://schemas.microsoft.com/office/drawing/2014/main" id="{CBA0D1FC-D207-3C44-8117-644367691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0</xdr:colOff>
      <xdr:row>94</xdr:row>
      <xdr:rowOff>117929</xdr:rowOff>
    </xdr:from>
    <xdr:to>
      <xdr:col>27</xdr:col>
      <xdr:colOff>648196</xdr:colOff>
      <xdr:row>118</xdr:row>
      <xdr:rowOff>35791</xdr:rowOff>
    </xdr:to>
    <xdr:graphicFrame macro="">
      <xdr:nvGraphicFramePr>
        <xdr:cNvPr id="15" name="Chart 14">
          <a:extLst>
            <a:ext uri="{FF2B5EF4-FFF2-40B4-BE49-F238E27FC236}">
              <a16:creationId xmlns:a16="http://schemas.microsoft.com/office/drawing/2014/main" id="{567DB216-7B8A-8E4A-8EF5-C0E5A2385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0</xdr:colOff>
      <xdr:row>69</xdr:row>
      <xdr:rowOff>12700</xdr:rowOff>
    </xdr:from>
    <xdr:to>
      <xdr:col>27</xdr:col>
      <xdr:colOff>648196</xdr:colOff>
      <xdr:row>92</xdr:row>
      <xdr:rowOff>95663</xdr:rowOff>
    </xdr:to>
    <xdr:graphicFrame macro="">
      <xdr:nvGraphicFramePr>
        <xdr:cNvPr id="16" name="Chart 15">
          <a:extLst>
            <a:ext uri="{FF2B5EF4-FFF2-40B4-BE49-F238E27FC236}">
              <a16:creationId xmlns:a16="http://schemas.microsoft.com/office/drawing/2014/main" id="{CA6048E8-7E98-7E40-BB34-17A08E8DD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28</xdr:col>
      <xdr:colOff>80273</xdr:colOff>
      <xdr:row>69</xdr:row>
      <xdr:rowOff>0</xdr:rowOff>
    </xdr:from>
    <xdr:to>
      <xdr:col>37</xdr:col>
      <xdr:colOff>718001</xdr:colOff>
      <xdr:row>92</xdr:row>
      <xdr:rowOff>82963</xdr:rowOff>
    </xdr:to>
    <xdr:graphicFrame macro="">
      <xdr:nvGraphicFramePr>
        <xdr:cNvPr id="17" name="Chart 16">
          <a:extLst>
            <a:ext uri="{FF2B5EF4-FFF2-40B4-BE49-F238E27FC236}">
              <a16:creationId xmlns:a16="http://schemas.microsoft.com/office/drawing/2014/main" id="{7FA02846-825B-0243-AE10-663E2AC5E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81200" cy="476250"/>
    <xdr:pic>
      <xdr:nvPicPr>
        <xdr:cNvPr id="2" name="Logo" descr="Logo">
          <a:extLst>
            <a:ext uri="{FF2B5EF4-FFF2-40B4-BE49-F238E27FC236}">
              <a16:creationId xmlns:a16="http://schemas.microsoft.com/office/drawing/2014/main" id="{59A8ADB1-23C7-2344-B1F4-57610133B0BD}"/>
            </a:ext>
          </a:extLst>
        </xdr:cNvPr>
        <xdr:cNvPicPr>
          <a:picLocks noChangeAspect="1"/>
        </xdr:cNvPicPr>
      </xdr:nvPicPr>
      <xdr:blipFill>
        <a:blip xmlns:r="http://schemas.openxmlformats.org/officeDocument/2006/relationships" r:embed="rId1"/>
        <a:stretch>
          <a:fillRect/>
        </a:stretch>
      </xdr:blipFill>
      <xdr:spPr>
        <a:xfrm>
          <a:off x="0" y="0"/>
          <a:ext cx="1981200" cy="476250"/>
        </a:xfrm>
        <a:prstGeom prst="rect">
          <a:avLst/>
        </a:prstGeom>
      </xdr:spPr>
    </xdr:pic>
    <xdr:clientData/>
  </xdr:oneCellAnchor>
  <xdr:oneCellAnchor>
    <xdr:from>
      <xdr:col>0</xdr:col>
      <xdr:colOff>0</xdr:colOff>
      <xdr:row>53</xdr:row>
      <xdr:rowOff>0</xdr:rowOff>
    </xdr:from>
    <xdr:ext cx="476250" cy="476250"/>
    <xdr:pic>
      <xdr:nvPicPr>
        <xdr:cNvPr id="3" name="Logo" descr="Logo">
          <a:extLst>
            <a:ext uri="{FF2B5EF4-FFF2-40B4-BE49-F238E27FC236}">
              <a16:creationId xmlns:a16="http://schemas.microsoft.com/office/drawing/2014/main" id="{3FE35343-3953-8649-91B1-9CA5051D34AC}"/>
            </a:ext>
          </a:extLst>
        </xdr:cNvPr>
        <xdr:cNvPicPr>
          <a:picLocks noChangeAspect="1"/>
        </xdr:cNvPicPr>
      </xdr:nvPicPr>
      <xdr:blipFill>
        <a:blip xmlns:r="http://schemas.openxmlformats.org/officeDocument/2006/relationships" r:embed="rId2"/>
        <a:stretch>
          <a:fillRect/>
        </a:stretch>
      </xdr:blipFill>
      <xdr:spPr>
        <a:xfrm>
          <a:off x="0" y="0"/>
          <a:ext cx="476250" cy="476250"/>
        </a:xfrm>
        <a:prstGeom prst="rect">
          <a:avLst/>
        </a:prstGeom>
      </xdr:spPr>
    </xdr:pic>
    <xdr:clientData/>
  </xdr:oneCellAnchor>
  <xdr:oneCellAnchor>
    <xdr:from>
      <xdr:col>0</xdr:col>
      <xdr:colOff>0</xdr:colOff>
      <xdr:row>100</xdr:row>
      <xdr:rowOff>0</xdr:rowOff>
    </xdr:from>
    <xdr:ext cx="476250" cy="476250"/>
    <xdr:pic>
      <xdr:nvPicPr>
        <xdr:cNvPr id="4" name="Logo" descr="Logo">
          <a:extLst>
            <a:ext uri="{FF2B5EF4-FFF2-40B4-BE49-F238E27FC236}">
              <a16:creationId xmlns:a16="http://schemas.microsoft.com/office/drawing/2014/main" id="{F5406FA8-1C2D-6D4B-B0A3-8EB20C2D20C9}"/>
            </a:ext>
          </a:extLst>
        </xdr:cNvPr>
        <xdr:cNvPicPr>
          <a:picLocks noChangeAspect="1"/>
        </xdr:cNvPicPr>
      </xdr:nvPicPr>
      <xdr:blipFill>
        <a:blip xmlns:r="http://schemas.openxmlformats.org/officeDocument/2006/relationships" r:embed="rId3"/>
        <a:stretch>
          <a:fillRect/>
        </a:stretch>
      </xdr:blipFill>
      <xdr:spPr>
        <a:xfrm>
          <a:off x="0" y="0"/>
          <a:ext cx="476250" cy="4762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xdr:from>
      <xdr:col>0</xdr:col>
      <xdr:colOff>3037418</xdr:colOff>
      <xdr:row>45</xdr:row>
      <xdr:rowOff>168275</xdr:rowOff>
    </xdr:from>
    <xdr:to>
      <xdr:col>4</xdr:col>
      <xdr:colOff>508001</xdr:colOff>
      <xdr:row>62</xdr:row>
      <xdr:rowOff>32809</xdr:rowOff>
    </xdr:to>
    <xdr:graphicFrame macro="">
      <xdr:nvGraphicFramePr>
        <xdr:cNvPr id="3" name="Chart 2">
          <a:extLst>
            <a:ext uri="{FF2B5EF4-FFF2-40B4-BE49-F238E27FC236}">
              <a16:creationId xmlns:a16="http://schemas.microsoft.com/office/drawing/2014/main" id="{5274FCB0-1ED9-31D0-043A-9A5A437C6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677334</xdr:colOff>
      <xdr:row>45</xdr:row>
      <xdr:rowOff>95250</xdr:rowOff>
    </xdr:from>
    <xdr:to>
      <xdr:col>9</xdr:col>
      <xdr:colOff>1026584</xdr:colOff>
      <xdr:row>52</xdr:row>
      <xdr:rowOff>84667</xdr:rowOff>
    </xdr:to>
    <xdr:sp macro="" textlink="">
      <xdr:nvSpPr>
        <xdr:cNvPr id="4" name="TextBox 3">
          <a:extLst>
            <a:ext uri="{FF2B5EF4-FFF2-40B4-BE49-F238E27FC236}">
              <a16:creationId xmlns:a16="http://schemas.microsoft.com/office/drawing/2014/main" id="{502B00E6-5444-0412-A486-886E87A0AD3A}"/>
            </a:ext>
          </a:extLst>
        </xdr:cNvPr>
        <xdr:cNvSpPr txBox="1"/>
      </xdr:nvSpPr>
      <xdr:spPr>
        <a:xfrm>
          <a:off x="10022417" y="8117417"/>
          <a:ext cx="3714750" cy="117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Interest Expense Growth</a:t>
          </a:r>
        </a:p>
        <a:p>
          <a:endParaRPr lang="en-US" sz="1100"/>
        </a:p>
        <a:p>
          <a:r>
            <a:rPr lang="en-US" sz="1100"/>
            <a:t>Averaging</a:t>
          </a:r>
          <a:r>
            <a:rPr lang="en-US" sz="1100" baseline="0"/>
            <a:t> the growth starting 2020 to get the latest trend during the pandemic and post pandemic.</a:t>
          </a:r>
        </a:p>
        <a:p>
          <a:endParaRPr lang="en-US" sz="1100" baseline="0"/>
        </a:p>
        <a:p>
          <a:r>
            <a:rPr lang="en-US" sz="1100" baseline="0"/>
            <a:t>12.83% lat 5 year avg</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038CCFE6-5E02-6F42-97A4-241BCEBADD69}"/>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C92F870A-5BCE-354A-BB3B-396EFCB88AE5}"/>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twoCellAnchor>
    <xdr:from>
      <xdr:col>0</xdr:col>
      <xdr:colOff>2750039</xdr:colOff>
      <xdr:row>49</xdr:row>
      <xdr:rowOff>113323</xdr:rowOff>
    </xdr:from>
    <xdr:to>
      <xdr:col>5</xdr:col>
      <xdr:colOff>14654</xdr:colOff>
      <xdr:row>66</xdr:row>
      <xdr:rowOff>33215</xdr:rowOff>
    </xdr:to>
    <xdr:graphicFrame macro="">
      <xdr:nvGraphicFramePr>
        <xdr:cNvPr id="3" name="Chart 2">
          <a:extLst>
            <a:ext uri="{FF2B5EF4-FFF2-40B4-BE49-F238E27FC236}">
              <a16:creationId xmlns:a16="http://schemas.microsoft.com/office/drawing/2014/main" id="{7D64434D-C46B-BADB-35C5-5EFECEDAC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796191</xdr:colOff>
      <xdr:row>49</xdr:row>
      <xdr:rowOff>152401</xdr:rowOff>
    </xdr:from>
    <xdr:to>
      <xdr:col>11</xdr:col>
      <xdr:colOff>385884</xdr:colOff>
      <xdr:row>66</xdr:row>
      <xdr:rowOff>72293</xdr:rowOff>
    </xdr:to>
    <xdr:graphicFrame macro="">
      <xdr:nvGraphicFramePr>
        <xdr:cNvPr id="5" name="Chart 4">
          <a:extLst>
            <a:ext uri="{FF2B5EF4-FFF2-40B4-BE49-F238E27FC236}">
              <a16:creationId xmlns:a16="http://schemas.microsoft.com/office/drawing/2014/main" id="{7D50319C-5DC5-DDD3-49C6-C523750BA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99D30734-824D-994A-A4E1-3F41BF425E22}"/>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4501FEBF-26BB-3B40-9052-773B9C4C4A83}"/>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twoCellAnchor>
    <xdr:from>
      <xdr:col>6</xdr:col>
      <xdr:colOff>600365</xdr:colOff>
      <xdr:row>94</xdr:row>
      <xdr:rowOff>4809</xdr:rowOff>
    </xdr:from>
    <xdr:to>
      <xdr:col>15</xdr:col>
      <xdr:colOff>588820</xdr:colOff>
      <xdr:row>117</xdr:row>
      <xdr:rowOff>137198</xdr:rowOff>
    </xdr:to>
    <xdr:graphicFrame macro="">
      <xdr:nvGraphicFramePr>
        <xdr:cNvPr id="5" name="Chart 4">
          <a:extLst>
            <a:ext uri="{FF2B5EF4-FFF2-40B4-BE49-F238E27FC236}">
              <a16:creationId xmlns:a16="http://schemas.microsoft.com/office/drawing/2014/main" id="{01120B51-A145-D04A-9D7E-1C628CA9D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94</xdr:row>
      <xdr:rowOff>0</xdr:rowOff>
    </xdr:from>
    <xdr:to>
      <xdr:col>6</xdr:col>
      <xdr:colOff>357910</xdr:colOff>
      <xdr:row>117</xdr:row>
      <xdr:rowOff>124691</xdr:rowOff>
    </xdr:to>
    <xdr:graphicFrame macro="">
      <xdr:nvGraphicFramePr>
        <xdr:cNvPr id="6" name="Chart 5">
          <a:extLst>
            <a:ext uri="{FF2B5EF4-FFF2-40B4-BE49-F238E27FC236}">
              <a16:creationId xmlns:a16="http://schemas.microsoft.com/office/drawing/2014/main" id="{B58BA768-D984-2B4B-B848-DD99E64DD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121</xdr:row>
      <xdr:rowOff>0</xdr:rowOff>
    </xdr:from>
    <xdr:to>
      <xdr:col>16</xdr:col>
      <xdr:colOff>840510</xdr:colOff>
      <xdr:row>144</xdr:row>
      <xdr:rowOff>124691</xdr:rowOff>
    </xdr:to>
    <xdr:graphicFrame macro="">
      <xdr:nvGraphicFramePr>
        <xdr:cNvPr id="7" name="Chart 6">
          <a:extLst>
            <a:ext uri="{FF2B5EF4-FFF2-40B4-BE49-F238E27FC236}">
              <a16:creationId xmlns:a16="http://schemas.microsoft.com/office/drawing/2014/main" id="{6697A53E-ACF9-B84F-8E1F-979E7F22A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68</xdr:row>
      <xdr:rowOff>12700</xdr:rowOff>
    </xdr:from>
    <xdr:to>
      <xdr:col>6</xdr:col>
      <xdr:colOff>357910</xdr:colOff>
      <xdr:row>91</xdr:row>
      <xdr:rowOff>137391</xdr:rowOff>
    </xdr:to>
    <xdr:graphicFrame macro="">
      <xdr:nvGraphicFramePr>
        <xdr:cNvPr id="8" name="Chart 7">
          <a:extLst>
            <a:ext uri="{FF2B5EF4-FFF2-40B4-BE49-F238E27FC236}">
              <a16:creationId xmlns:a16="http://schemas.microsoft.com/office/drawing/2014/main" id="{D697CE09-6824-074A-B061-7A524E488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615487</xdr:colOff>
      <xdr:row>68</xdr:row>
      <xdr:rowOff>0</xdr:rowOff>
    </xdr:from>
    <xdr:to>
      <xdr:col>15</xdr:col>
      <xdr:colOff>572858</xdr:colOff>
      <xdr:row>91</xdr:row>
      <xdr:rowOff>124691</xdr:rowOff>
    </xdr:to>
    <xdr:graphicFrame macro="">
      <xdr:nvGraphicFramePr>
        <xdr:cNvPr id="3" name="Chart 2">
          <a:extLst>
            <a:ext uri="{FF2B5EF4-FFF2-40B4-BE49-F238E27FC236}">
              <a16:creationId xmlns:a16="http://schemas.microsoft.com/office/drawing/2014/main" id="{4D42F520-0E30-3F46-9EFA-9261EEC82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16</xdr:col>
      <xdr:colOff>580572</xdr:colOff>
      <xdr:row>3</xdr:row>
      <xdr:rowOff>45357</xdr:rowOff>
    </xdr:from>
    <xdr:to>
      <xdr:col>28</xdr:col>
      <xdr:colOff>36286</xdr:colOff>
      <xdr:row>27</xdr:row>
      <xdr:rowOff>145143</xdr:rowOff>
    </xdr:to>
    <xdr:graphicFrame macro="">
      <xdr:nvGraphicFramePr>
        <xdr:cNvPr id="2" name="Chart 1">
          <a:extLst>
            <a:ext uri="{FF2B5EF4-FFF2-40B4-BE49-F238E27FC236}">
              <a16:creationId xmlns:a16="http://schemas.microsoft.com/office/drawing/2014/main" id="{CD85E07F-5E97-E35A-C84A-56C5B0D83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jairoonatebarrios/Documents/3.%20SPRING%202025%20MSBA/BDA%20632%20FINANCIAL%20ANALYTICS/INDUSTRY%20ANALYSIS%20STATEMENTS.xlsx" TargetMode="External"/><Relationship Id="rId1" Type="http://schemas.openxmlformats.org/officeDocument/2006/relationships/externalLinkPath" Target="/Users/jairoonatebarrios/Documents/3.%20SPRING%202025%20MSBA/BDA%20632%20FINANCIAL%20ANALYTICS/INDUSTRY%20ANALYSIS%20STATE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ND Income Statement"/>
      <sheetName val="FND CS Income Statement"/>
      <sheetName val="FND Balance Sheet"/>
      <sheetName val="FND CS Balance Sheet"/>
      <sheetName val="LOW Income Statement"/>
      <sheetName val="LOW CS Income Statement"/>
      <sheetName val="LOW Balance Sheet"/>
      <sheetName val="LOW CS Balance Sheet "/>
      <sheetName val="WMT Income Statement"/>
      <sheetName val="WMT CS Income Statement"/>
      <sheetName val="WMT Balance Sheet"/>
      <sheetName val="WMT CS Balance Sheet"/>
      <sheetName val="Consolidated Ratios"/>
      <sheetName val="PPT Graphs"/>
      <sheetName val="Paper Graph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E1">
            <v>42036</v>
          </cell>
          <cell r="F1">
            <v>42400</v>
          </cell>
          <cell r="G1">
            <v>42764</v>
          </cell>
          <cell r="H1">
            <v>43128</v>
          </cell>
          <cell r="I1">
            <v>43499</v>
          </cell>
          <cell r="J1">
            <v>43863</v>
          </cell>
          <cell r="K1">
            <v>44227</v>
          </cell>
          <cell r="L1">
            <v>44591</v>
          </cell>
          <cell r="M1">
            <v>44955</v>
          </cell>
          <cell r="N1">
            <v>45319</v>
          </cell>
        </row>
        <row r="2">
          <cell r="A2" t="str">
            <v>The Home Depot</v>
          </cell>
          <cell r="E2">
            <v>1.3578844617978525</v>
          </cell>
          <cell r="F2">
            <v>1.3566182340731276</v>
          </cell>
          <cell r="G2">
            <v>1.2540861812778605</v>
          </cell>
          <cell r="H2">
            <v>1.1691367173027047</v>
          </cell>
          <cell r="I2">
            <v>1.108458961474037</v>
          </cell>
          <cell r="J2">
            <v>1.0780952380952382</v>
          </cell>
          <cell r="K2">
            <v>1.2292583959250625</v>
          </cell>
          <cell r="L2">
            <v>1.0126163175687448</v>
          </cell>
          <cell r="M2">
            <v>1.4050627434011249</v>
          </cell>
          <cell r="N2">
            <v>1.3524869407222349</v>
          </cell>
        </row>
        <row r="3">
          <cell r="E3">
            <v>0.37474487532167883</v>
          </cell>
          <cell r="F3">
            <v>0.4138591729203257</v>
          </cell>
          <cell r="G3">
            <v>0.36616429632774372</v>
          </cell>
          <cell r="H3">
            <v>0.38193157959738167</v>
          </cell>
          <cell r="I3">
            <v>0.2754247427614262</v>
          </cell>
          <cell r="J3">
            <v>0.28729251700680286</v>
          </cell>
          <cell r="K3">
            <v>0.51152551152551162</v>
          </cell>
          <cell r="L3">
            <v>0.24350886975917471</v>
          </cell>
          <cell r="M3">
            <v>0.32821289485071387</v>
          </cell>
          <cell r="N3">
            <v>0.39968203497615268</v>
          </cell>
        </row>
        <row r="4">
          <cell r="E4">
            <v>0.15289732895554176</v>
          </cell>
          <cell r="F4">
            <v>0.17691202299217626</v>
          </cell>
          <cell r="G4">
            <v>0.17957970706856294</v>
          </cell>
          <cell r="H4">
            <v>0.22199580091391877</v>
          </cell>
          <cell r="I4">
            <v>0.10636515912897823</v>
          </cell>
          <cell r="J4">
            <v>0.11608163265306125</v>
          </cell>
          <cell r="K4">
            <v>0.34080117413450745</v>
          </cell>
          <cell r="L4">
            <v>8.1657547136932351E-2</v>
          </cell>
          <cell r="M4">
            <v>0.11929900475984422</v>
          </cell>
          <cell r="N4">
            <v>0.17079264138087669</v>
          </cell>
        </row>
        <row r="5">
          <cell r="E5">
            <v>0.76663495719220942</v>
          </cell>
          <cell r="F5">
            <v>0.85155937859879205</v>
          </cell>
          <cell r="G5">
            <v>0.89915281850765727</v>
          </cell>
          <cell r="H5">
            <v>0.96734712210020446</v>
          </cell>
          <cell r="I5">
            <v>1.0426789082562553</v>
          </cell>
          <cell r="J5">
            <v>1.0608166133187602</v>
          </cell>
          <cell r="K5">
            <v>0.95325937575268138</v>
          </cell>
          <cell r="L5">
            <v>1.0235961934442652</v>
          </cell>
          <cell r="M5">
            <v>0.97956700896069071</v>
          </cell>
          <cell r="N5">
            <v>0.98635829086632698</v>
          </cell>
        </row>
        <row r="7">
          <cell r="E7">
            <v>4.8941240184132138</v>
          </cell>
          <cell r="F7">
            <v>4.9330171902786013</v>
          </cell>
          <cell r="G7">
            <v>4.9631046298509842</v>
          </cell>
          <cell r="H7">
            <v>5.2202698462503916</v>
          </cell>
          <cell r="I7">
            <v>5.101831238779174</v>
          </cell>
          <cell r="J7">
            <v>4.9998623632234533</v>
          </cell>
          <cell r="K7">
            <v>5.2479100258615503</v>
          </cell>
          <cell r="L7">
            <v>4.5461754576762736</v>
          </cell>
          <cell r="M7">
            <v>4.2041710198505182</v>
          </cell>
          <cell r="N7">
            <v>4.8488272311212812</v>
          </cell>
        </row>
        <row r="8">
          <cell r="E8">
            <v>74.579229832909164</v>
          </cell>
          <cell r="F8">
            <v>73.991228070175438</v>
          </cell>
          <cell r="G8">
            <v>73.542676856876781</v>
          </cell>
          <cell r="H8">
            <v>69.919757167758618</v>
          </cell>
          <cell r="I8">
            <v>71.542938783553623</v>
          </cell>
          <cell r="J8">
            <v>73.002009552255245</v>
          </cell>
          <cell r="K8">
            <v>69.551497301076139</v>
          </cell>
          <cell r="L8">
            <v>80.287266384251183</v>
          </cell>
          <cell r="M8">
            <v>86.818542413381124</v>
          </cell>
          <cell r="N8">
            <v>75.27593428310179</v>
          </cell>
        </row>
        <row r="9">
          <cell r="E9">
            <v>2.0822109848295196</v>
          </cell>
          <cell r="F9">
            <v>2.0804014195398248</v>
          </cell>
          <cell r="G9">
            <v>2.2016245403342176</v>
          </cell>
          <cell r="H9">
            <v>2.266028880055694</v>
          </cell>
          <cell r="I9">
            <v>2.4589914324023363</v>
          </cell>
          <cell r="J9">
            <v>2.1513193848075569</v>
          </cell>
          <cell r="K9">
            <v>1.8717501877275755</v>
          </cell>
          <cell r="L9">
            <v>2.1030246535700372</v>
          </cell>
          <cell r="M9">
            <v>2.059035908169272</v>
          </cell>
          <cell r="N9">
            <v>1.9948908924604731</v>
          </cell>
        </row>
        <row r="10">
          <cell r="E10">
            <v>7.6284024237760886E-2</v>
          </cell>
          <cell r="F10">
            <v>7.9180740857894921E-2</v>
          </cell>
          <cell r="G10">
            <v>8.4116496643585809E-2</v>
          </cell>
          <cell r="H10">
            <v>8.5526837389994448E-2</v>
          </cell>
          <cell r="I10">
            <v>0.10277903570141309</v>
          </cell>
          <cell r="J10">
            <v>0.10199138126559311</v>
          </cell>
          <cell r="K10">
            <v>9.738853985315267E-2</v>
          </cell>
          <cell r="L10">
            <v>0.10871477999695681</v>
          </cell>
          <cell r="M10">
            <v>0.10867010158637383</v>
          </cell>
          <cell r="N10">
            <v>9.9188440351348342E-2</v>
          </cell>
        </row>
        <row r="11">
          <cell r="A11" t="str">
            <v>Floor &amp; Decor</v>
          </cell>
          <cell r="E11">
            <v>1.5525450975205268</v>
          </cell>
          <cell r="F11">
            <v>1.3795473382735501</v>
          </cell>
          <cell r="G11">
            <v>1.4005343723907597</v>
          </cell>
          <cell r="H11">
            <v>1.3838208194714123</v>
          </cell>
          <cell r="I11">
            <v>1.2695637065846697</v>
          </cell>
          <cell r="J11">
            <v>1.4888414449169765</v>
          </cell>
          <cell r="K11">
            <v>1.2338435003367199</v>
          </cell>
          <cell r="L11">
            <v>1.4477014337109813</v>
          </cell>
          <cell r="M11">
            <v>1.1429037693151032</v>
          </cell>
        </row>
        <row r="12">
          <cell r="E12">
            <v>0.16594768382390351</v>
          </cell>
          <cell r="F12">
            <v>0.17443807085354152</v>
          </cell>
          <cell r="G12">
            <v>0.20946841079877551</v>
          </cell>
          <cell r="H12">
            <v>0.21876646425170346</v>
          </cell>
          <cell r="I12">
            <v>0.21649253177592256</v>
          </cell>
          <cell r="J12">
            <v>0.5529995592671243</v>
          </cell>
          <cell r="K12">
            <v>0.25696719524425504</v>
          </cell>
          <cell r="L12">
            <v>0.16404041487626625</v>
          </cell>
          <cell r="M12">
            <v>0.18271495200140955</v>
          </cell>
        </row>
        <row r="13">
          <cell r="E13">
            <v>1.6177113962172007E-3</v>
          </cell>
          <cell r="F13">
            <v>1.850529719261101E-3</v>
          </cell>
          <cell r="G13">
            <v>1.5474533815752851E-3</v>
          </cell>
          <cell r="H13">
            <v>1.5929356765647996E-3</v>
          </cell>
          <cell r="I13">
            <v>4.8932115444826715E-2</v>
          </cell>
          <cell r="J13">
            <v>0.44040661900646222</v>
          </cell>
          <cell r="K13">
            <v>0.13511819111156331</v>
          </cell>
          <cell r="L13">
            <v>9.728256442958487E-3</v>
          </cell>
          <cell r="M13">
            <v>2.984514931689139E-2</v>
          </cell>
        </row>
        <row r="14">
          <cell r="E14">
            <v>0.58289490551324097</v>
          </cell>
          <cell r="F14">
            <v>0.83844021531198354</v>
          </cell>
          <cell r="G14">
            <v>0.58533397253912012</v>
          </cell>
          <cell r="H14">
            <v>0.52652681204222374</v>
          </cell>
          <cell r="I14">
            <v>0.67115559936307956</v>
          </cell>
          <cell r="J14">
            <v>0.65373582023486121</v>
          </cell>
          <cell r="K14">
            <v>0.64532104607854557</v>
          </cell>
          <cell r="L14">
            <v>0.61914873960124484</v>
          </cell>
          <cell r="M14">
            <v>0.58585109006873926</v>
          </cell>
        </row>
        <row r="16">
          <cell r="E16">
            <v>1.7294336479937189</v>
          </cell>
          <cell r="F16">
            <v>2.1160802446016711</v>
          </cell>
          <cell r="G16">
            <v>1.8978922771351792</v>
          </cell>
          <cell r="H16">
            <v>2.1391720840569493</v>
          </cell>
          <cell r="I16">
            <v>2.0321586622326486</v>
          </cell>
          <cell r="J16">
            <v>2.1267522935779817</v>
          </cell>
          <cell r="K16">
            <v>1.9950057084702588</v>
          </cell>
          <cell r="L16">
            <v>1.9629237288135593</v>
          </cell>
          <cell r="M16">
            <v>2.3102978800343532</v>
          </cell>
        </row>
        <row r="17">
          <cell r="E17">
            <v>211.0517512038864</v>
          </cell>
          <cell r="F17">
            <v>172.48873284987698</v>
          </cell>
          <cell r="G17">
            <v>192.31860754023319</v>
          </cell>
          <cell r="H17">
            <v>170.62675916552533</v>
          </cell>
          <cell r="I17">
            <v>179.61195982551362</v>
          </cell>
          <cell r="J17">
            <v>171.62318390447595</v>
          </cell>
          <cell r="K17">
            <v>182.95686997300709</v>
          </cell>
          <cell r="L17">
            <v>185.94711279007015</v>
          </cell>
          <cell r="M17">
            <v>157.98828504078989</v>
          </cell>
        </row>
        <row r="18">
          <cell r="E18">
            <v>1.0469015393490082</v>
          </cell>
          <cell r="F18">
            <v>1.2641987280519176</v>
          </cell>
          <cell r="G18">
            <v>1.2966080270264198</v>
          </cell>
          <cell r="H18">
            <v>1.3855120894650395</v>
          </cell>
          <cell r="I18">
            <v>0.88002756948409189</v>
          </cell>
          <cell r="J18">
            <v>0.84216322244113284</v>
          </cell>
          <cell r="K18">
            <v>0.92034674504348379</v>
          </cell>
          <cell r="L18">
            <v>0.98005879700554455</v>
          </cell>
          <cell r="M18">
            <v>0.94666738158303931</v>
          </cell>
        </row>
        <row r="19">
          <cell r="E19">
            <v>3.4192078692673072E-2</v>
          </cell>
          <cell r="F19">
            <v>4.0959915641931216E-2</v>
          </cell>
          <cell r="G19">
            <v>7.422764985011919E-2</v>
          </cell>
          <cell r="H19">
            <v>6.7951654182126134E-2</v>
          </cell>
          <cell r="I19">
            <v>7.364176985474144E-2</v>
          </cell>
          <cell r="J19">
            <v>8.0378417240088582E-2</v>
          </cell>
          <cell r="K19">
            <v>8.2489377559499213E-2</v>
          </cell>
          <cell r="L19">
            <v>6.992540461623277E-2</v>
          </cell>
          <cell r="M19">
            <v>5.5728696087164957E-2</v>
          </cell>
        </row>
        <row r="20">
          <cell r="A20" t="str">
            <v>Lowes</v>
          </cell>
          <cell r="E20">
            <v>1.0783055198973042</v>
          </cell>
          <cell r="F20">
            <v>1.0065764391917651</v>
          </cell>
          <cell r="G20">
            <v>1.0021713713044931</v>
          </cell>
          <cell r="H20">
            <v>1.0558862433862433</v>
          </cell>
          <cell r="I20">
            <v>0.98144443678002347</v>
          </cell>
          <cell r="J20">
            <v>1.0089579765511789</v>
          </cell>
          <cell r="K20">
            <v>1.191991457554725</v>
          </cell>
          <cell r="L20">
            <v>1.0199308521456174</v>
          </cell>
          <cell r="M20">
            <v>1.098969811900979</v>
          </cell>
          <cell r="N20">
            <v>1.2250128468653647</v>
          </cell>
        </row>
        <row r="21">
          <cell r="E21">
            <v>0.12505348737697894</v>
          </cell>
          <cell r="F21">
            <v>0.10512771635531833</v>
          </cell>
          <cell r="G21">
            <v>0.12877902121262733</v>
          </cell>
          <cell r="H21">
            <v>0.11400462962962948</v>
          </cell>
          <cell r="I21">
            <v>0.11498930813271714</v>
          </cell>
          <cell r="J21">
            <v>0.14089052825714657</v>
          </cell>
          <cell r="K21">
            <v>0.32744260544580883</v>
          </cell>
          <cell r="L21">
            <v>0.12482204596298556</v>
          </cell>
          <cell r="M21">
            <v>0.14914663523140792</v>
          </cell>
          <cell r="N21">
            <v>0.13983812949640281</v>
          </cell>
        </row>
        <row r="22">
          <cell r="E22">
            <v>6.322207958921694E-2</v>
          </cell>
          <cell r="F22">
            <v>6.786122760198246E-2</v>
          </cell>
          <cell r="G22">
            <v>5.4952396859863042E-2</v>
          </cell>
          <cell r="H22">
            <v>5.7043650793650799E-2</v>
          </cell>
          <cell r="I22">
            <v>5.0286266124025661E-2</v>
          </cell>
          <cell r="J22">
            <v>5.7699907785535506E-2</v>
          </cell>
          <cell r="K22">
            <v>0.27741591030432461</v>
          </cell>
          <cell r="L22">
            <v>7.1384990848078103E-2</v>
          </cell>
          <cell r="M22">
            <v>8.8770437189277823E-2</v>
          </cell>
          <cell r="N22">
            <v>7.8879753340184988E-2</v>
          </cell>
        </row>
        <row r="23">
          <cell r="E23">
            <v>0.6868067992584912</v>
          </cell>
          <cell r="F23">
            <v>0.75519733896245111</v>
          </cell>
          <cell r="G23">
            <v>0.81300860265054642</v>
          </cell>
          <cell r="H23">
            <v>0.83358363322093454</v>
          </cell>
          <cell r="I23">
            <v>0.89440129824968118</v>
          </cell>
          <cell r="J23">
            <v>0.95003926933698168</v>
          </cell>
          <cell r="K23">
            <v>0.96925216647052548</v>
          </cell>
          <cell r="L23">
            <v>1.1078853046594981</v>
          </cell>
          <cell r="M23">
            <v>1.3261187883225038</v>
          </cell>
          <cell r="N23">
            <v>1.360090919966503</v>
          </cell>
        </row>
        <row r="25">
          <cell r="E25">
            <v>4.1145774884973623</v>
          </cell>
          <cell r="F25">
            <v>4.0710509621484459</v>
          </cell>
          <cell r="G25">
            <v>4.0689424364123159</v>
          </cell>
          <cell r="H25">
            <v>3.9682261037479147</v>
          </cell>
          <cell r="I25">
            <v>3.8532760130562851</v>
          </cell>
          <cell r="J25">
            <v>3.7335913195234842</v>
          </cell>
          <cell r="K25">
            <v>3.7068486383004999</v>
          </cell>
          <cell r="L25">
            <v>3.6463504686168706</v>
          </cell>
          <cell r="M25">
            <v>3.4967623570041009</v>
          </cell>
          <cell r="N25">
            <v>3.4055285900319641</v>
          </cell>
        </row>
        <row r="26">
          <cell r="E26">
            <v>88.708986772126011</v>
          </cell>
          <cell r="F26">
            <v>89.657438188240178</v>
          </cell>
          <cell r="G26">
            <v>89.70389866754401</v>
          </cell>
          <cell r="H26">
            <v>91.98064587480647</v>
          </cell>
          <cell r="I26">
            <v>94.724592467097793</v>
          </cell>
          <cell r="J26">
            <v>97.761101514073772</v>
          </cell>
          <cell r="K26">
            <v>98.46638900458143</v>
          </cell>
          <cell r="L26">
            <v>100.10008723556717</v>
          </cell>
          <cell r="M26">
            <v>104.38227215209407</v>
          </cell>
          <cell r="N26">
            <v>107.17866268054856</v>
          </cell>
        </row>
        <row r="27">
          <cell r="E27">
            <v>1.7665189933075689</v>
          </cell>
          <cell r="F27">
            <v>1.8894006268790378</v>
          </cell>
          <cell r="G27">
            <v>1.8895896303185307</v>
          </cell>
          <cell r="H27">
            <v>1.944376753279873</v>
          </cell>
          <cell r="I27">
            <v>2.066448359800626</v>
          </cell>
          <cell r="J27">
            <v>1.8278736287400879</v>
          </cell>
          <cell r="K27">
            <v>1.9171284904247352</v>
          </cell>
          <cell r="L27">
            <v>2.1561379928315412</v>
          </cell>
          <cell r="M27">
            <v>2.2206232268692232</v>
          </cell>
          <cell r="N27">
            <v>2.0666826175379831</v>
          </cell>
        </row>
        <row r="28">
          <cell r="E28">
            <v>4.798747843409281E-2</v>
          </cell>
          <cell r="F28">
            <v>4.30984866438704E-2</v>
          </cell>
          <cell r="G28">
            <v>4.7572173431564051E-2</v>
          </cell>
          <cell r="H28">
            <v>5.023390023171425E-2</v>
          </cell>
          <cell r="I28">
            <v>3.2450321838758081E-2</v>
          </cell>
          <cell r="J28">
            <v>5.9336364140378114E-2</v>
          </cell>
          <cell r="K28">
            <v>6.5124948379968073E-2</v>
          </cell>
          <cell r="L28">
            <v>8.7709090909090903E-2</v>
          </cell>
          <cell r="M28">
            <v>6.6320485477905186E-2</v>
          </cell>
          <cell r="N28">
            <v>8.9445106915035252E-2</v>
          </cell>
        </row>
        <row r="29">
          <cell r="A29" t="str">
            <v>Walmart</v>
          </cell>
          <cell r="E29">
            <v>0.83186712113834327</v>
          </cell>
          <cell r="F29">
            <v>0.82057094513980777</v>
          </cell>
          <cell r="G29">
            <v>0.92779729683333512</v>
          </cell>
          <cell r="H29">
            <v>0.97217334988396553</v>
          </cell>
          <cell r="I29">
            <v>0.7945237177015041</v>
          </cell>
          <cell r="J29">
            <v>0.79890806303806283</v>
          </cell>
          <cell r="K29">
            <v>0.75984768405904157</v>
          </cell>
          <cell r="L29">
            <v>0.86195613196270626</v>
          </cell>
          <cell r="M29">
            <v>0.93221807827419167</v>
          </cell>
          <cell r="N29">
            <v>0.96945091310209586</v>
          </cell>
        </row>
        <row r="30">
          <cell r="E30">
            <v>0.23789428123140174</v>
          </cell>
          <cell r="F30">
            <v>0.2069350745135469</v>
          </cell>
          <cell r="G30">
            <v>0.28106295563007122</v>
          </cell>
          <cell r="H30">
            <v>0.48699875870257425</v>
          </cell>
          <cell r="I30">
            <v>0.22330633757552384</v>
          </cell>
          <cell r="J30">
            <v>0.22752558823909033</v>
          </cell>
          <cell r="K30">
            <v>0.20225162695329907</v>
          </cell>
          <cell r="L30">
            <v>0.21878735357398996</v>
          </cell>
          <cell r="M30">
            <v>0.24404586886209931</v>
          </cell>
          <cell r="N30">
            <v>0.27786799852923155</v>
          </cell>
        </row>
        <row r="31">
          <cell r="E31">
            <v>0.10676838175620841</v>
          </cell>
          <cell r="F31">
            <v>9.3548666999284158E-2</v>
          </cell>
          <cell r="G31">
            <v>0.16891930555396606</v>
          </cell>
          <cell r="H31">
            <v>0.19149441416158455</v>
          </cell>
          <cell r="I31">
            <v>0.12167373698418821</v>
          </cell>
          <cell r="J31">
            <v>9.9668288653406822E-2</v>
          </cell>
          <cell r="K31">
            <v>8.6040677016339578E-2</v>
          </cell>
          <cell r="L31">
            <v>0.10260279703562036</v>
          </cell>
          <cell r="M31">
            <v>0.13471270059889506</v>
          </cell>
          <cell r="N31">
            <v>0.13995281284471137</v>
          </cell>
        </row>
        <row r="32">
          <cell r="E32">
            <v>0.66774432545295348</v>
          </cell>
          <cell r="F32">
            <v>0.68464660337092975</v>
          </cell>
          <cell r="G32">
            <v>0.65999754962019119</v>
          </cell>
          <cell r="H32">
            <v>0.67949987326531891</v>
          </cell>
          <cell r="I32">
            <v>0.68426816634601151</v>
          </cell>
          <cell r="J32">
            <v>0.66941334731754032</v>
          </cell>
          <cell r="K32">
            <v>0.61926345332042521</v>
          </cell>
          <cell r="L32">
            <v>0.60871117817175902</v>
          </cell>
          <cell r="M32">
            <v>0.59642450934708213</v>
          </cell>
          <cell r="N32">
            <v>0.60043395874446504</v>
          </cell>
        </row>
        <row r="34">
          <cell r="E34">
            <v>6.6509873934270933</v>
          </cell>
          <cell r="F34">
            <v>6.3805147058823533</v>
          </cell>
          <cell r="G34">
            <v>6.3926669144060444</v>
          </cell>
          <cell r="H34">
            <v>8.3071036063093722</v>
          </cell>
          <cell r="I34">
            <v>8.6711151119612904</v>
          </cell>
          <cell r="J34">
            <v>8.913799724412117</v>
          </cell>
          <cell r="K34">
            <v>9.5999588881529352</v>
          </cell>
          <cell r="L34">
            <v>9.966082795149374</v>
          </cell>
          <cell r="M34">
            <v>10.427961051519036</v>
          </cell>
          <cell r="N34">
            <v>10.858022640171905</v>
          </cell>
        </row>
        <row r="35">
          <cell r="E35">
            <v>54.879069589083116</v>
          </cell>
          <cell r="F35">
            <v>57.205416306539902</v>
          </cell>
          <cell r="G35">
            <v>57.096671058750587</v>
          </cell>
          <cell r="H35">
            <v>43.938298749852706</v>
          </cell>
          <cell r="I35">
            <v>42.093778630213791</v>
          </cell>
          <cell r="J35">
            <v>40.947745213567998</v>
          </cell>
          <cell r="K35">
            <v>38.020996157643673</v>
          </cell>
          <cell r="L35">
            <v>36.624219114219116</v>
          </cell>
          <cell r="M35">
            <v>35.002048645629593</v>
          </cell>
          <cell r="N35">
            <v>33.61569708370228</v>
          </cell>
        </row>
        <row r="36">
          <cell r="E36">
            <v>1.9241399530109071</v>
          </cell>
          <cell r="F36">
            <v>1.9824668889830055</v>
          </cell>
          <cell r="G36">
            <v>1.984288981458793</v>
          </cell>
          <cell r="H36">
            <v>1.9815878271338949</v>
          </cell>
          <cell r="I36">
            <v>2.1751199813949555</v>
          </cell>
          <cell r="J36">
            <v>2.3893112018057865</v>
          </cell>
          <cell r="K36">
            <v>2.7339406029669182</v>
          </cell>
          <cell r="L36">
            <v>2.8806940777065257</v>
          </cell>
          <cell r="M36">
            <v>3.0628616952515522</v>
          </cell>
          <cell r="N36">
            <v>3.1816686793712505</v>
          </cell>
        </row>
        <row r="37">
          <cell r="E37">
            <v>3.369291940096901E-2</v>
          </cell>
          <cell r="F37">
            <v>3.0477257171302344E-2</v>
          </cell>
          <cell r="G37">
            <v>2.8079354069890691E-2</v>
          </cell>
          <cell r="H37">
            <v>1.9710478611672393E-2</v>
          </cell>
          <cell r="I37">
            <v>1.2966436951429322E-2</v>
          </cell>
          <cell r="J37">
            <v>2.8400806162255422E-2</v>
          </cell>
          <cell r="K37">
            <v>2.4161630758059986E-2</v>
          </cell>
          <cell r="L37">
            <v>2.3872378019184501E-2</v>
          </cell>
          <cell r="M37">
            <v>1.9107165350595218E-2</v>
          </cell>
          <cell r="N37">
            <v>2.3932111861137896E-2</v>
          </cell>
        </row>
      </sheetData>
      <sheetData sheetId="13">
        <row r="2">
          <cell r="C2" t="str">
            <v>% of Revenue</v>
          </cell>
          <cell r="G2" t="str">
            <v>% of Revenue</v>
          </cell>
        </row>
        <row r="3">
          <cell r="B3" t="str">
            <v>United States</v>
          </cell>
          <cell r="C3">
            <v>0.85</v>
          </cell>
          <cell r="F3" t="str">
            <v>Building Materials</v>
          </cell>
          <cell r="G3">
            <v>0.34200000000000003</v>
          </cell>
        </row>
        <row r="4">
          <cell r="B4" t="str">
            <v>Canada</v>
          </cell>
          <cell r="C4">
            <v>0.09</v>
          </cell>
          <cell r="F4" t="str">
            <v>Décor</v>
          </cell>
          <cell r="G4">
            <v>0.32500000000000001</v>
          </cell>
        </row>
        <row r="5">
          <cell r="B5" t="str">
            <v>Mexico &amp; Caribbean</v>
          </cell>
          <cell r="C5">
            <v>0.06</v>
          </cell>
          <cell r="F5" t="str">
            <v>Hardlines</v>
          </cell>
          <cell r="G5">
            <v>0.29299999999999998</v>
          </cell>
        </row>
        <row r="6">
          <cell r="F6" t="str">
            <v>Other</v>
          </cell>
          <cell r="G6">
            <v>4.0000000000000036E-2</v>
          </cell>
        </row>
        <row r="29">
          <cell r="B29" t="str">
            <v>US</v>
          </cell>
          <cell r="C29" t="str">
            <v>International</v>
          </cell>
        </row>
        <row r="30">
          <cell r="A30">
            <v>43830</v>
          </cell>
          <cell r="B30">
            <v>101330000000</v>
          </cell>
          <cell r="C30">
            <v>8890000000</v>
          </cell>
        </row>
        <row r="31">
          <cell r="A31">
            <v>43921</v>
          </cell>
          <cell r="B31">
            <v>103300000000</v>
          </cell>
          <cell r="C31">
            <v>8810000000</v>
          </cell>
        </row>
        <row r="32">
          <cell r="A32">
            <v>44012</v>
          </cell>
          <cell r="B32">
            <v>110320000000</v>
          </cell>
          <cell r="C32">
            <v>9000000000</v>
          </cell>
        </row>
        <row r="33">
          <cell r="A33">
            <v>44104</v>
          </cell>
          <cell r="B33">
            <v>116170000000</v>
          </cell>
          <cell r="C33">
            <v>9460000000</v>
          </cell>
        </row>
        <row r="34">
          <cell r="A34">
            <v>44196</v>
          </cell>
          <cell r="B34">
            <v>122160000000</v>
          </cell>
          <cell r="C34">
            <v>9950000000</v>
          </cell>
        </row>
        <row r="35">
          <cell r="A35">
            <v>44286</v>
          </cell>
          <cell r="B35">
            <v>130460000000</v>
          </cell>
          <cell r="C35">
            <v>10890000000</v>
          </cell>
        </row>
        <row r="36">
          <cell r="A36">
            <v>44377</v>
          </cell>
          <cell r="B36">
            <v>132890000000</v>
          </cell>
          <cell r="C36">
            <v>11520000000</v>
          </cell>
        </row>
        <row r="37">
          <cell r="A37">
            <v>44469</v>
          </cell>
          <cell r="B37">
            <v>135790000000</v>
          </cell>
          <cell r="C37">
            <v>11910000000</v>
          </cell>
        </row>
        <row r="38">
          <cell r="A38">
            <v>44561</v>
          </cell>
          <cell r="B38">
            <v>138920000000</v>
          </cell>
          <cell r="C38">
            <v>12240000000</v>
          </cell>
        </row>
        <row r="39">
          <cell r="A39">
            <v>44651</v>
          </cell>
          <cell r="B39">
            <v>140210000000</v>
          </cell>
          <cell r="C39">
            <v>12360000000</v>
          </cell>
        </row>
        <row r="40">
          <cell r="A40">
            <v>44742</v>
          </cell>
          <cell r="B40">
            <v>142610000000</v>
          </cell>
          <cell r="C40">
            <v>12630000000</v>
          </cell>
        </row>
        <row r="41">
          <cell r="A41">
            <v>44834</v>
          </cell>
          <cell r="B41">
            <v>144660000000</v>
          </cell>
          <cell r="C41">
            <v>12630000000</v>
          </cell>
        </row>
        <row r="42">
          <cell r="A42">
            <v>44926</v>
          </cell>
          <cell r="B42">
            <v>144840000000</v>
          </cell>
          <cell r="C42">
            <v>12560000000</v>
          </cell>
        </row>
        <row r="43">
          <cell r="A43">
            <v>45016</v>
          </cell>
          <cell r="B43">
            <v>143340000000</v>
          </cell>
          <cell r="C43">
            <v>12410000000</v>
          </cell>
        </row>
        <row r="44">
          <cell r="A44">
            <v>45107</v>
          </cell>
          <cell r="B44">
            <v>142490000000</v>
          </cell>
          <cell r="C44">
            <v>12390000000</v>
          </cell>
        </row>
        <row r="45">
          <cell r="A45">
            <v>45199</v>
          </cell>
          <cell r="B45">
            <v>141250000000</v>
          </cell>
          <cell r="C45">
            <v>12470000000</v>
          </cell>
        </row>
        <row r="46">
          <cell r="A46">
            <v>45291</v>
          </cell>
          <cell r="B46">
            <v>140080000000</v>
          </cell>
          <cell r="C46">
            <v>12590000000</v>
          </cell>
        </row>
        <row r="47">
          <cell r="A47">
            <v>45382</v>
          </cell>
          <cell r="B47">
            <v>139150000000</v>
          </cell>
          <cell r="C47">
            <v>12690000000</v>
          </cell>
        </row>
        <row r="48">
          <cell r="A48">
            <v>45473</v>
          </cell>
          <cell r="B48">
            <v>139470000000</v>
          </cell>
          <cell r="C48">
            <v>12620000000</v>
          </cell>
        </row>
        <row r="49">
          <cell r="A49">
            <v>45565</v>
          </cell>
          <cell r="B49">
            <v>142060000000</v>
          </cell>
          <cell r="C49">
            <v>12540000000</v>
          </cell>
        </row>
        <row r="59">
          <cell r="C59" t="str">
            <v>Risk Probability</v>
          </cell>
        </row>
        <row r="60">
          <cell r="A60" t="str">
            <v>Economic Downturns</v>
          </cell>
          <cell r="B60">
            <v>3</v>
          </cell>
          <cell r="C60">
            <v>3</v>
          </cell>
          <cell r="D60">
            <v>300</v>
          </cell>
        </row>
        <row r="61">
          <cell r="A61" t="str">
            <v>Supply Chain Disruptions</v>
          </cell>
          <cell r="B61">
            <v>3</v>
          </cell>
          <cell r="C61">
            <v>3</v>
          </cell>
          <cell r="D61">
            <v>300</v>
          </cell>
        </row>
        <row r="62">
          <cell r="A62" t="str">
            <v>Regulatory &amp; Compliance</v>
          </cell>
          <cell r="B62">
            <v>3</v>
          </cell>
          <cell r="C62">
            <v>2</v>
          </cell>
          <cell r="D62">
            <v>250</v>
          </cell>
        </row>
        <row r="63">
          <cell r="A63" t="str">
            <v>Geopolitical Risks</v>
          </cell>
          <cell r="B63">
            <v>3</v>
          </cell>
          <cell r="C63">
            <v>2</v>
          </cell>
          <cell r="D63">
            <v>250</v>
          </cell>
        </row>
        <row r="64">
          <cell r="A64" t="str">
            <v>Shifting Consumer Preferences</v>
          </cell>
          <cell r="B64">
            <v>2</v>
          </cell>
          <cell r="C64">
            <v>2</v>
          </cell>
          <cell r="D64">
            <v>220</v>
          </cell>
        </row>
        <row r="65">
          <cell r="A65" t="str">
            <v>Acquisition Integration Challenges</v>
          </cell>
          <cell r="B65">
            <v>2</v>
          </cell>
          <cell r="C65">
            <v>1</v>
          </cell>
          <cell r="D65">
            <v>180</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Jairo Andres Onate" id="{F17B86D8-F2C5-2749-8F02-A9E5A35B85B4}" userId="S::11062465@live.mercer.edu::d03cd148-744d-4b95-bd82-9d7b2f6d25c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9" dT="2025-02-13T18:58:56.49" personId="{F17B86D8-F2C5-2749-8F02-A9E5A35B85B4}" id="{9EEBAEE1-3BF8-4041-8766-C794B549E6C2}">
    <text>Expected Growth Rate calculating by averaging the Real GDP growth from 2015 to 2024, computing the difference between the sales growth and GDP and adding these average as it is expected to outgrow the economy by 4 points.</text>
  </threadedComment>
  <threadedComment ref="A12" dT="2025-02-13T19:48:12.37" personId="{F17B86D8-F2C5-2749-8F02-A9E5A35B85B4}" id="{3BC20E39-907C-984F-AAAD-4D7B23DDC9CE}">
    <text>How rapidly are my assets depreciating</text>
  </threadedComment>
  <threadedComment ref="D78" dT="2025-02-23T19:55:01.90" personId="{F17B86D8-F2C5-2749-8F02-A9E5A35B85B4}" id="{8A7C0A17-DF28-6E4C-9A5D-A6646BFE627B}">
    <text xml:space="preserve">ADD previous val + debt issued for this year
</text>
  </threadedComment>
  <threadedComment ref="B112" dT="2025-02-21T21:37:38.86" personId="{F17B86D8-F2C5-2749-8F02-A9E5A35B85B4}" id="{C6B1A724-A89A-874F-9B34-0249192BD921}">
    <text xml:space="preserve">How much am I willing to pay right now for a future cashflow </text>
  </threadedComment>
  <threadedComment ref="A130" dT="2025-02-18T20:13:22.37" personId="{F17B86D8-F2C5-2749-8F02-A9E5A35B85B4}" id="{A444C812-A661-CA4A-98E8-83A627F03AC6}">
    <text>Enterprise value = Equity + Debt
Since we are interest on the Value of Equity, we are deducting the Net Debt from IT.
	Value of Equity = Enterprise Value - Net Debt</text>
  </threadedComment>
  <threadedComment ref="A134" dT="2025-02-18T20:13:55.82" personId="{F17B86D8-F2C5-2749-8F02-A9E5A35B85B4}" id="{FF36DF19-1EE1-EC43-9C13-DB3B5FA09686}">
    <text xml:space="preserve">Based on our model this is the market value that our company should be
</text>
  </threadedComment>
  <threadedComment ref="A136" dT="2025-02-18T20:14:49.05" personId="{F17B86D8-F2C5-2749-8F02-A9E5A35B85B4}" id="{C93F1E10-D0FB-424F-8D20-C637B3E73D3F}">
    <text>This is a recommendation of the model and we need to compare this to the current stock price
If the price today is lower than our model compared to the intrinsic value of the stock, the recommendation is to buy as the stock is undervalued</text>
  </threadedComment>
</ThreadedComments>
</file>

<file path=xl/threadedComments/threadedComment2.xml><?xml version="1.0" encoding="utf-8"?>
<ThreadedComments xmlns="http://schemas.microsoft.com/office/spreadsheetml/2018/threadedcomments" xmlns:x="http://schemas.openxmlformats.org/spreadsheetml/2006/main">
  <threadedComment ref="L34" dT="2025-02-13T20:13:59.82" personId="{F17B86D8-F2C5-2749-8F02-A9E5A35B85B4}" id="{C9B8EAAA-4AB5-FD47-B8F4-0F9FEB38F204}">
    <text>Average tax paid</text>
  </threadedComment>
</ThreadedComments>
</file>

<file path=xl/threadedComments/threadedComment3.xml><?xml version="1.0" encoding="utf-8"?>
<ThreadedComments xmlns="http://schemas.microsoft.com/office/spreadsheetml/2018/threadedcomments" xmlns:x="http://schemas.openxmlformats.org/spreadsheetml/2006/main">
  <threadedComment ref="A24" dT="2025-02-23T16:28:13.72" personId="{F17B86D8-F2C5-2749-8F02-A9E5A35B85B4}" id="{ACE58E73-4ADD-C644-A23A-62A149B36EED}">
    <text>Fixed Assets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stockanalysis.com/stocks/hd/metric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8.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F946F-2D91-614B-BE88-F5D0A64D2515}">
  <sheetPr>
    <tabColor rgb="FF00B050"/>
  </sheetPr>
  <dimension ref="A1:L142"/>
  <sheetViews>
    <sheetView tabSelected="1" zoomScale="140" zoomScaleNormal="140" workbookViewId="0">
      <selection activeCell="B5" sqref="B5"/>
    </sheetView>
  </sheetViews>
  <sheetFormatPr baseColWidth="10" defaultColWidth="8.83203125" defaultRowHeight="13" x14ac:dyDescent="0.15"/>
  <cols>
    <col min="1" max="1" width="52.33203125" customWidth="1"/>
    <col min="2" max="2" width="15.6640625" bestFit="1" customWidth="1"/>
    <col min="3" max="3" width="15.1640625" customWidth="1"/>
    <col min="4" max="4" width="16" customWidth="1"/>
    <col min="5" max="5" width="15.6640625" customWidth="1"/>
    <col min="6" max="6" width="15.5" customWidth="1"/>
    <col min="7" max="9" width="17" bestFit="1" customWidth="1"/>
    <col min="10" max="10" width="15.33203125" customWidth="1"/>
    <col min="11" max="11" width="18.1640625" customWidth="1"/>
    <col min="12" max="183" width="12" customWidth="1"/>
  </cols>
  <sheetData>
    <row r="1" spans="1:11" x14ac:dyDescent="0.15">
      <c r="C1" s="19" t="s">
        <v>101</v>
      </c>
      <c r="D1" s="19" t="s">
        <v>100</v>
      </c>
      <c r="J1" s="19" t="s">
        <v>108</v>
      </c>
    </row>
    <row r="2" spans="1:11" x14ac:dyDescent="0.15">
      <c r="C2" s="19" t="s">
        <v>102</v>
      </c>
      <c r="D2" s="19" t="s">
        <v>103</v>
      </c>
    </row>
    <row r="3" spans="1:11" x14ac:dyDescent="0.15">
      <c r="D3" s="19" t="s">
        <v>104</v>
      </c>
    </row>
    <row r="4" spans="1:11" x14ac:dyDescent="0.15">
      <c r="A4" s="1" t="s">
        <v>0</v>
      </c>
      <c r="D4" s="19" t="s">
        <v>105</v>
      </c>
    </row>
    <row r="5" spans="1:11" ht="20" x14ac:dyDescent="0.2">
      <c r="A5" s="2" t="s">
        <v>1</v>
      </c>
    </row>
    <row r="7" spans="1:11" ht="14" x14ac:dyDescent="0.15">
      <c r="A7" s="37" t="s">
        <v>91</v>
      </c>
    </row>
    <row r="8" spans="1:11" x14ac:dyDescent="0.15">
      <c r="A8" s="37"/>
      <c r="B8" s="41">
        <v>2023</v>
      </c>
      <c r="C8" s="41">
        <v>2024</v>
      </c>
      <c r="D8" s="41">
        <v>2025</v>
      </c>
      <c r="E8" s="41">
        <v>2026</v>
      </c>
      <c r="F8" s="41">
        <v>2027</v>
      </c>
      <c r="G8" s="41">
        <v>2028</v>
      </c>
      <c r="H8" s="41">
        <v>2029</v>
      </c>
      <c r="I8" s="41">
        <v>2030</v>
      </c>
      <c r="J8" s="41">
        <v>2031</v>
      </c>
      <c r="K8" s="41">
        <v>2032</v>
      </c>
    </row>
    <row r="9" spans="1:11" ht="14" x14ac:dyDescent="0.15">
      <c r="A9" s="43" t="s">
        <v>45</v>
      </c>
      <c r="B9" s="38">
        <f>'Income Statement'!J15</f>
        <v>4.1321275230389531E-2</v>
      </c>
      <c r="C9" s="38">
        <f>'Income Statement'!K15</f>
        <v>-3.0075665648049865E-2</v>
      </c>
      <c r="D9" s="48">
        <f>'Income Statement'!$L$16+'Income Statement'!$L$17</f>
        <v>6.4399999999999999E-2</v>
      </c>
      <c r="E9" s="48">
        <f>'Income Statement'!$L$16+'Income Statement'!$L$17</f>
        <v>6.4399999999999999E-2</v>
      </c>
      <c r="F9" s="48">
        <f>'Income Statement'!$L$16+'Income Statement'!$L$17</f>
        <v>6.4399999999999999E-2</v>
      </c>
      <c r="G9" s="48">
        <f>'Income Statement'!$L$16+'Income Statement'!$L$17</f>
        <v>6.4399999999999999E-2</v>
      </c>
      <c r="H9" s="48">
        <f>'Income Statement'!$L$16+'Income Statement'!$L$17</f>
        <v>6.4399999999999999E-2</v>
      </c>
      <c r="I9" s="48">
        <f>'Income Statement'!$L$16+'Income Statement'!$L$17</f>
        <v>6.4399999999999999E-2</v>
      </c>
      <c r="J9" s="48">
        <f>'Income Statement'!$L$16+'Income Statement'!$L$17</f>
        <v>6.4399999999999999E-2</v>
      </c>
      <c r="K9" s="48">
        <f>'Income Statement'!$L$16+'Income Statement'!$L$17</f>
        <v>6.4399999999999999E-2</v>
      </c>
    </row>
    <row r="10" spans="1:11" ht="14" x14ac:dyDescent="0.15">
      <c r="A10" s="43" t="s">
        <v>114</v>
      </c>
      <c r="B10" s="38">
        <f>'Common Size Income Statement'!J21</f>
        <v>0.66469508205053274</v>
      </c>
      <c r="C10" s="38">
        <f>'Common Size Income Statement'!K21</f>
        <v>0.66620597501784906</v>
      </c>
      <c r="D10" s="38">
        <f>C10-1%</f>
        <v>0.65620597501784905</v>
      </c>
      <c r="E10" s="38">
        <f t="shared" ref="E10:K10" si="0">D10-1%</f>
        <v>0.64620597501784904</v>
      </c>
      <c r="F10" s="38">
        <f t="shared" si="0"/>
        <v>0.63620597501784903</v>
      </c>
      <c r="G10" s="38">
        <f t="shared" si="0"/>
        <v>0.62620597501784903</v>
      </c>
      <c r="H10" s="38">
        <f t="shared" si="0"/>
        <v>0.61620597501784902</v>
      </c>
      <c r="I10" s="38">
        <f t="shared" si="0"/>
        <v>0.60620597501784901</v>
      </c>
      <c r="J10" s="38">
        <f t="shared" si="0"/>
        <v>0.596205975017849</v>
      </c>
      <c r="K10" s="38">
        <f t="shared" si="0"/>
        <v>0.58620597501784899</v>
      </c>
    </row>
    <row r="11" spans="1:11" ht="14" x14ac:dyDescent="0.15">
      <c r="A11" s="43" t="s">
        <v>113</v>
      </c>
      <c r="B11" s="38">
        <f>'Common Size Income Statement'!J23</f>
        <v>0.16698538147303418</v>
      </c>
      <c r="C11" s="38">
        <f>'Common Size Income Statement'!K23</f>
        <v>0.17422004467180632</v>
      </c>
      <c r="D11" s="38">
        <f>C11-0.25%</f>
        <v>0.17172004467180632</v>
      </c>
      <c r="E11" s="38">
        <f t="shared" ref="E11:K11" si="1">D11-0.25%</f>
        <v>0.16922004467180632</v>
      </c>
      <c r="F11" s="38">
        <f t="shared" si="1"/>
        <v>0.16672004467180632</v>
      </c>
      <c r="G11" s="38">
        <f t="shared" si="1"/>
        <v>0.16422004467180631</v>
      </c>
      <c r="H11" s="38">
        <f t="shared" si="1"/>
        <v>0.16172004467180631</v>
      </c>
      <c r="I11" s="38">
        <f t="shared" si="1"/>
        <v>0.15922004467180631</v>
      </c>
      <c r="J11" s="38">
        <f t="shared" si="1"/>
        <v>0.15672004467180631</v>
      </c>
      <c r="K11" s="38">
        <f t="shared" si="1"/>
        <v>0.15422004467180631</v>
      </c>
    </row>
    <row r="12" spans="1:11" x14ac:dyDescent="0.15">
      <c r="A12" s="44" t="s">
        <v>209</v>
      </c>
      <c r="B12" s="38"/>
      <c r="C12" s="38"/>
      <c r="D12" s="38">
        <v>0.1</v>
      </c>
      <c r="E12" s="38">
        <v>0.1</v>
      </c>
      <c r="F12" s="38">
        <v>0.1</v>
      </c>
      <c r="G12" s="38">
        <v>0.1</v>
      </c>
      <c r="H12" s="38">
        <v>0.1</v>
      </c>
      <c r="I12" s="38">
        <v>0.1</v>
      </c>
      <c r="J12" s="38">
        <v>0.1</v>
      </c>
      <c r="K12" s="38">
        <v>0.1</v>
      </c>
    </row>
    <row r="13" spans="1:11" x14ac:dyDescent="0.15">
      <c r="A13" s="44" t="s">
        <v>107</v>
      </c>
      <c r="B13" s="38"/>
      <c r="C13" s="38"/>
      <c r="D13" s="38">
        <v>0.21</v>
      </c>
      <c r="E13" s="38">
        <v>0.21</v>
      </c>
      <c r="F13" s="38">
        <v>0.21</v>
      </c>
      <c r="G13" s="38">
        <v>0.21</v>
      </c>
      <c r="H13" s="38">
        <v>0.21</v>
      </c>
      <c r="I13" s="38">
        <v>0.21</v>
      </c>
      <c r="J13" s="38">
        <v>0.21</v>
      </c>
      <c r="K13" s="38">
        <v>0.21</v>
      </c>
    </row>
    <row r="14" spans="1:11" x14ac:dyDescent="0.15">
      <c r="A14" s="44" t="s">
        <v>116</v>
      </c>
      <c r="C14" s="38">
        <f>'CS Balance Sheet Sales'!L17</f>
        <v>2.6139602058879614E-2</v>
      </c>
      <c r="D14" s="38">
        <f t="shared" ref="D14:K14" si="2">C14</f>
        <v>2.6139602058879614E-2</v>
      </c>
      <c r="E14" s="38">
        <f t="shared" si="2"/>
        <v>2.6139602058879614E-2</v>
      </c>
      <c r="F14" s="38">
        <f t="shared" si="2"/>
        <v>2.6139602058879614E-2</v>
      </c>
      <c r="G14" s="38">
        <f t="shared" si="2"/>
        <v>2.6139602058879614E-2</v>
      </c>
      <c r="H14" s="38">
        <f t="shared" si="2"/>
        <v>2.6139602058879614E-2</v>
      </c>
      <c r="I14" s="38">
        <f t="shared" si="2"/>
        <v>2.6139602058879614E-2</v>
      </c>
      <c r="J14" s="38">
        <f t="shared" si="2"/>
        <v>2.6139602058879614E-2</v>
      </c>
      <c r="K14" s="38">
        <f t="shared" si="2"/>
        <v>2.6139602058879614E-2</v>
      </c>
    </row>
    <row r="15" spans="1:11" x14ac:dyDescent="0.15">
      <c r="A15" s="44" t="s">
        <v>115</v>
      </c>
      <c r="C15" s="38">
        <f>'CS Balance Sheet Sales'!L18</f>
        <v>2.0517121737592771E-2</v>
      </c>
      <c r="D15" s="38">
        <f>C15</f>
        <v>2.0517121737592771E-2</v>
      </c>
      <c r="E15" s="38">
        <f t="shared" ref="E15:K15" si="3">D15</f>
        <v>2.0517121737592771E-2</v>
      </c>
      <c r="F15" s="38">
        <f t="shared" si="3"/>
        <v>2.0517121737592771E-2</v>
      </c>
      <c r="G15" s="38">
        <f t="shared" si="3"/>
        <v>2.0517121737592771E-2</v>
      </c>
      <c r="H15" s="38">
        <f t="shared" si="3"/>
        <v>2.0517121737592771E-2</v>
      </c>
      <c r="I15" s="38">
        <f t="shared" si="3"/>
        <v>2.0517121737592771E-2</v>
      </c>
      <c r="J15" s="38">
        <f t="shared" si="3"/>
        <v>2.0517121737592771E-2</v>
      </c>
      <c r="K15" s="38">
        <f t="shared" si="3"/>
        <v>2.0517121737592771E-2</v>
      </c>
    </row>
    <row r="16" spans="1:11" x14ac:dyDescent="0.15">
      <c r="A16" s="44" t="s">
        <v>211</v>
      </c>
      <c r="B16" s="38"/>
      <c r="C16" s="38">
        <f>'Balance Sheet'!K20/'Income Statement'!K20</f>
        <v>1.1207252290903851E-2</v>
      </c>
      <c r="D16" s="38">
        <f>C16</f>
        <v>1.1207252290903851E-2</v>
      </c>
      <c r="E16" s="38">
        <f t="shared" ref="E16:K17" si="4">D16</f>
        <v>1.1207252290903851E-2</v>
      </c>
      <c r="F16" s="38">
        <f t="shared" si="4"/>
        <v>1.1207252290903851E-2</v>
      </c>
      <c r="G16" s="38">
        <f t="shared" si="4"/>
        <v>1.1207252290903851E-2</v>
      </c>
      <c r="H16" s="38">
        <f t="shared" si="4"/>
        <v>1.1207252290903851E-2</v>
      </c>
      <c r="I16" s="38">
        <f t="shared" si="4"/>
        <v>1.1207252290903851E-2</v>
      </c>
      <c r="J16" s="38">
        <f t="shared" si="4"/>
        <v>1.1207252290903851E-2</v>
      </c>
      <c r="K16" s="38">
        <f t="shared" si="4"/>
        <v>1.1207252290903851E-2</v>
      </c>
    </row>
    <row r="17" spans="1:11" x14ac:dyDescent="0.15">
      <c r="A17" s="44" t="s">
        <v>210</v>
      </c>
      <c r="B17" s="19"/>
      <c r="D17" s="38">
        <f>'Balance Sheet'!L22/'Income Statement'!L20</f>
        <v>0.38430448505082015</v>
      </c>
      <c r="E17" s="38">
        <f t="shared" si="4"/>
        <v>0.38430448505082015</v>
      </c>
      <c r="F17" s="38">
        <f t="shared" si="4"/>
        <v>0.38430448505082015</v>
      </c>
      <c r="G17" s="38">
        <f t="shared" si="4"/>
        <v>0.38430448505082015</v>
      </c>
      <c r="H17" s="38">
        <f t="shared" si="4"/>
        <v>0.38430448505082015</v>
      </c>
      <c r="I17" s="38">
        <f t="shared" si="4"/>
        <v>0.38430448505082015</v>
      </c>
      <c r="J17" s="38">
        <f t="shared" si="4"/>
        <v>0.38430448505082015</v>
      </c>
      <c r="K17" s="38">
        <f t="shared" si="4"/>
        <v>0.38430448505082015</v>
      </c>
    </row>
    <row r="18" spans="1:11" x14ac:dyDescent="0.15">
      <c r="A18" s="44" t="s">
        <v>112</v>
      </c>
      <c r="B18" s="38"/>
      <c r="C18" s="38">
        <f>'CS Balance Sheet Sales'!L28</f>
        <v>0.11396661462664168</v>
      </c>
      <c r="D18" s="38">
        <f>C18</f>
        <v>0.11396661462664168</v>
      </c>
      <c r="E18" s="38">
        <f t="shared" ref="E18:K18" si="5">D18</f>
        <v>0.11396661462664168</v>
      </c>
      <c r="F18" s="38">
        <f t="shared" si="5"/>
        <v>0.11396661462664168</v>
      </c>
      <c r="G18" s="38">
        <f t="shared" si="5"/>
        <v>0.11396661462664168</v>
      </c>
      <c r="H18" s="38">
        <f t="shared" si="5"/>
        <v>0.11396661462664168</v>
      </c>
      <c r="I18" s="38">
        <f t="shared" si="5"/>
        <v>0.11396661462664168</v>
      </c>
      <c r="J18" s="38">
        <f t="shared" si="5"/>
        <v>0.11396661462664168</v>
      </c>
      <c r="K18" s="38">
        <f t="shared" si="5"/>
        <v>0.11396661462664168</v>
      </c>
    </row>
    <row r="19" spans="1:11" ht="14" x14ac:dyDescent="0.15">
      <c r="A19" s="43" t="s">
        <v>133</v>
      </c>
      <c r="C19" s="38">
        <f>AVERAGE('Income Statement'!G44:K44)</f>
        <v>0.12832689938855993</v>
      </c>
    </row>
    <row r="20" spans="1:11" ht="14" x14ac:dyDescent="0.15">
      <c r="A20" s="43" t="s">
        <v>120</v>
      </c>
      <c r="B20" s="117">
        <f>'Balance Sheet'!J48</f>
        <v>514000</v>
      </c>
      <c r="C20" s="117">
        <f>'Balance Sheet'!K48</f>
        <v>459000</v>
      </c>
      <c r="D20" s="117">
        <f t="shared" ref="D20:K20" si="6">AVERAGE(C70:D70)*D12</f>
        <v>5785340.9196100645</v>
      </c>
      <c r="E20" s="117">
        <f t="shared" si="6"/>
        <v>6446070.2544430159</v>
      </c>
      <c r="F20" s="117">
        <f t="shared" si="6"/>
        <v>6861197.1788291456</v>
      </c>
      <c r="G20" s="117">
        <f t="shared" si="6"/>
        <v>7303058.2771457424</v>
      </c>
      <c r="H20" s="117">
        <f t="shared" si="6"/>
        <v>7773375.2301939279</v>
      </c>
      <c r="I20" s="117">
        <f t="shared" si="6"/>
        <v>8273980.5950184166</v>
      </c>
      <c r="J20" s="117">
        <f t="shared" si="6"/>
        <v>8806824.9453376029</v>
      </c>
      <c r="K20" s="117">
        <f t="shared" si="6"/>
        <v>9373984.4718173444</v>
      </c>
    </row>
    <row r="21" spans="1:11" x14ac:dyDescent="0.15">
      <c r="A21" s="43"/>
      <c r="C21" s="38"/>
    </row>
    <row r="24" spans="1:11" x14ac:dyDescent="0.15">
      <c r="A24" s="41" t="s">
        <v>213</v>
      </c>
    </row>
    <row r="25" spans="1:11" x14ac:dyDescent="0.15">
      <c r="A25" s="41"/>
    </row>
    <row r="26" spans="1:11" x14ac:dyDescent="0.15">
      <c r="A26" s="41" t="s">
        <v>214</v>
      </c>
    </row>
    <row r="27" spans="1:11" x14ac:dyDescent="0.15">
      <c r="A27" s="41" t="s">
        <v>215</v>
      </c>
    </row>
    <row r="28" spans="1:11" x14ac:dyDescent="0.15">
      <c r="A28" s="41" t="s">
        <v>216</v>
      </c>
    </row>
    <row r="29" spans="1:11" x14ac:dyDescent="0.15">
      <c r="A29" s="41" t="s">
        <v>217</v>
      </c>
    </row>
    <row r="30" spans="1:11" x14ac:dyDescent="0.15">
      <c r="A30" s="41" t="s">
        <v>218</v>
      </c>
    </row>
    <row r="31" spans="1:11" x14ac:dyDescent="0.15">
      <c r="A31" s="41" t="s">
        <v>247</v>
      </c>
      <c r="B31" s="18">
        <f>AVERAGE('HD &amp; S&amp;P500'!H2:H120)</f>
        <v>1.5135804007325827E-2</v>
      </c>
    </row>
    <row r="33" spans="1:11" x14ac:dyDescent="0.15">
      <c r="A33" s="5"/>
    </row>
    <row r="34" spans="1:11" x14ac:dyDescent="0.15">
      <c r="A34" s="5" t="s">
        <v>227</v>
      </c>
    </row>
    <row r="35" spans="1:11" x14ac:dyDescent="0.15">
      <c r="A35" s="5"/>
    </row>
    <row r="36" spans="1:11" x14ac:dyDescent="0.15">
      <c r="A36" s="5" t="s">
        <v>228</v>
      </c>
      <c r="B36" s="118">
        <v>1</v>
      </c>
      <c r="C36" s="118">
        <v>1</v>
      </c>
      <c r="D36" s="118">
        <v>1</v>
      </c>
      <c r="E36" s="118">
        <v>1</v>
      </c>
      <c r="F36" s="118">
        <v>1</v>
      </c>
      <c r="G36" s="118">
        <v>1</v>
      </c>
      <c r="H36" s="118">
        <v>1</v>
      </c>
      <c r="I36" s="118">
        <v>1</v>
      </c>
      <c r="J36" s="118">
        <v>1</v>
      </c>
      <c r="K36" s="118">
        <v>1</v>
      </c>
    </row>
    <row r="37" spans="1:11" x14ac:dyDescent="0.15">
      <c r="A37" s="5" t="s">
        <v>229</v>
      </c>
      <c r="B37" s="118">
        <v>0</v>
      </c>
      <c r="C37" s="118">
        <v>0</v>
      </c>
      <c r="D37" s="118">
        <v>0</v>
      </c>
      <c r="E37" s="118">
        <v>0</v>
      </c>
      <c r="F37" s="118">
        <v>0</v>
      </c>
      <c r="G37" s="118">
        <v>0</v>
      </c>
      <c r="H37" s="118">
        <v>0</v>
      </c>
      <c r="I37" s="118">
        <v>0</v>
      </c>
      <c r="J37" s="118">
        <v>0</v>
      </c>
      <c r="K37" s="118">
        <v>0</v>
      </c>
    </row>
    <row r="38" spans="1:11" x14ac:dyDescent="0.15">
      <c r="A38" s="5"/>
    </row>
    <row r="39" spans="1:11" x14ac:dyDescent="0.15">
      <c r="A39" s="5"/>
    </row>
    <row r="40" spans="1:11" x14ac:dyDescent="0.15">
      <c r="C40" s="45"/>
      <c r="D40" s="38"/>
      <c r="E40" s="38"/>
      <c r="F40" s="38"/>
      <c r="G40" s="38"/>
      <c r="H40" s="38"/>
      <c r="I40" s="38"/>
      <c r="J40" s="38"/>
      <c r="K40" s="38"/>
    </row>
    <row r="41" spans="1:11" ht="14" thickBot="1" x14ac:dyDescent="0.2">
      <c r="C41" s="38"/>
      <c r="D41" s="40"/>
      <c r="E41" s="19"/>
    </row>
    <row r="42" spans="1:11" ht="14" customHeight="1" thickBot="1" x14ac:dyDescent="0.2">
      <c r="A42" s="173" t="s">
        <v>123</v>
      </c>
      <c r="B42" s="174"/>
      <c r="C42" s="174"/>
      <c r="D42" s="174"/>
      <c r="E42" s="174"/>
      <c r="F42" s="174"/>
      <c r="G42" s="174"/>
      <c r="H42" s="174"/>
      <c r="I42" s="174"/>
      <c r="J42" s="174"/>
      <c r="K42" s="175"/>
    </row>
    <row r="43" spans="1:11" ht="14" x14ac:dyDescent="0.15">
      <c r="A43" s="49" t="s">
        <v>4</v>
      </c>
      <c r="B43" s="6" t="s">
        <v>6</v>
      </c>
      <c r="C43" s="6" t="s">
        <v>5</v>
      </c>
      <c r="D43" s="6" t="s">
        <v>92</v>
      </c>
      <c r="E43" s="6" t="s">
        <v>93</v>
      </c>
      <c r="F43" s="6" t="s">
        <v>94</v>
      </c>
      <c r="G43" s="6" t="s">
        <v>95</v>
      </c>
      <c r="H43" s="6" t="s">
        <v>96</v>
      </c>
      <c r="I43" s="6" t="s">
        <v>97</v>
      </c>
      <c r="J43" s="6" t="s">
        <v>98</v>
      </c>
      <c r="K43" s="50" t="s">
        <v>99</v>
      </c>
    </row>
    <row r="44" spans="1:11" ht="15" thickBot="1" x14ac:dyDescent="0.2">
      <c r="A44" s="49" t="s">
        <v>21</v>
      </c>
      <c r="B44" s="6" t="s">
        <v>22</v>
      </c>
      <c r="C44" s="6" t="s">
        <v>22</v>
      </c>
      <c r="D44" s="6" t="s">
        <v>22</v>
      </c>
      <c r="E44" s="6" t="s">
        <v>22</v>
      </c>
      <c r="F44" s="6" t="s">
        <v>22</v>
      </c>
      <c r="G44" s="6" t="s">
        <v>22</v>
      </c>
      <c r="H44" s="6" t="s">
        <v>22</v>
      </c>
      <c r="I44" s="6" t="s">
        <v>22</v>
      </c>
      <c r="J44" s="6" t="s">
        <v>22</v>
      </c>
      <c r="K44" s="50" t="s">
        <v>22</v>
      </c>
    </row>
    <row r="45" spans="1:11" x14ac:dyDescent="0.15">
      <c r="A45" s="60" t="s">
        <v>23</v>
      </c>
      <c r="B45" s="61">
        <v>157403000</v>
      </c>
      <c r="C45" s="61">
        <v>152669000</v>
      </c>
      <c r="D45" s="61"/>
      <c r="E45" s="61"/>
      <c r="F45" s="61"/>
      <c r="G45" s="61"/>
      <c r="H45" s="61"/>
      <c r="I45" s="61"/>
      <c r="J45" s="61"/>
      <c r="K45" s="62"/>
    </row>
    <row r="46" spans="1:11" s="39" customFormat="1" ht="14" x14ac:dyDescent="0.15">
      <c r="A46" s="53" t="s">
        <v>24</v>
      </c>
      <c r="B46" s="127">
        <f>'Income Statement'!J20</f>
        <v>157403000</v>
      </c>
      <c r="C46" s="127">
        <f>'Income Statement'!K20</f>
        <v>152669000</v>
      </c>
      <c r="D46" s="127">
        <f>C46*(1+D9)</f>
        <v>162500883.59999999</v>
      </c>
      <c r="E46" s="127">
        <f t="shared" ref="E46:K46" si="7">D46*(1+E9)</f>
        <v>172965940.50384</v>
      </c>
      <c r="F46" s="127">
        <f t="shared" si="7"/>
        <v>184104947.07228729</v>
      </c>
      <c r="G46" s="127">
        <f t="shared" si="7"/>
        <v>195961305.6637426</v>
      </c>
      <c r="H46" s="127">
        <f t="shared" si="7"/>
        <v>208581213.74848762</v>
      </c>
      <c r="I46" s="127">
        <f t="shared" si="7"/>
        <v>222013843.91389021</v>
      </c>
      <c r="J46" s="127">
        <f t="shared" si="7"/>
        <v>236311535.46194476</v>
      </c>
      <c r="K46" s="54">
        <f t="shared" si="7"/>
        <v>251529998.34569401</v>
      </c>
    </row>
    <row r="47" spans="1:11" x14ac:dyDescent="0.15">
      <c r="A47" s="55" t="s">
        <v>42</v>
      </c>
      <c r="B47" s="128">
        <f>'Income Statement'!J21</f>
        <v>104625000</v>
      </c>
      <c r="C47" s="128">
        <f>'Income Statement'!K21</f>
        <v>101709000</v>
      </c>
      <c r="D47" s="128">
        <f>D46*D10</f>
        <v>106634050.764</v>
      </c>
      <c r="E47" s="128">
        <f t="shared" ref="E47:K47" si="8">E46*E10</f>
        <v>111771624.2281632</v>
      </c>
      <c r="F47" s="128">
        <f t="shared" si="8"/>
        <v>117128667.35773402</v>
      </c>
      <c r="G47" s="128">
        <f t="shared" si="8"/>
        <v>122712140.47893468</v>
      </c>
      <c r="H47" s="128">
        <f t="shared" si="8"/>
        <v>128528990.18829319</v>
      </c>
      <c r="I47" s="128">
        <f t="shared" si="8"/>
        <v>134586118.71728036</v>
      </c>
      <c r="J47" s="128">
        <f t="shared" si="8"/>
        <v>140890349.40805379</v>
      </c>
      <c r="K47" s="52">
        <f t="shared" si="8"/>
        <v>147448387.9264755</v>
      </c>
    </row>
    <row r="48" spans="1:11" s="39" customFormat="1" ht="14" x14ac:dyDescent="0.15">
      <c r="A48" s="53" t="s">
        <v>25</v>
      </c>
      <c r="B48" s="127">
        <f>'Income Statement'!J22</f>
        <v>52778000</v>
      </c>
      <c r="C48" s="127">
        <f>'Income Statement'!K22</f>
        <v>50960000</v>
      </c>
      <c r="D48" s="127">
        <f>D46-D47</f>
        <v>55866832.835999995</v>
      </c>
      <c r="E48" s="127">
        <f t="shared" ref="E48:K48" si="9">E46-E47</f>
        <v>61194316.275676802</v>
      </c>
      <c r="F48" s="127">
        <f t="shared" si="9"/>
        <v>66976279.714553267</v>
      </c>
      <c r="G48" s="127">
        <f t="shared" si="9"/>
        <v>73249165.184807926</v>
      </c>
      <c r="H48" s="127">
        <f t="shared" si="9"/>
        <v>80052223.560194433</v>
      </c>
      <c r="I48" s="127">
        <f t="shared" si="9"/>
        <v>87427725.196609855</v>
      </c>
      <c r="J48" s="127">
        <f t="shared" si="9"/>
        <v>95421186.053890973</v>
      </c>
      <c r="K48" s="54">
        <f t="shared" si="9"/>
        <v>104081610.41921851</v>
      </c>
    </row>
    <row r="49" spans="1:11" x14ac:dyDescent="0.15">
      <c r="A49" s="51" t="s">
        <v>26</v>
      </c>
      <c r="B49" s="128">
        <f>'Income Statement'!J23</f>
        <v>26284000</v>
      </c>
      <c r="C49" s="128">
        <f>'Income Statement'!K23</f>
        <v>26598000</v>
      </c>
      <c r="D49" s="128">
        <f>D46*D11</f>
        <v>27904658.990999997</v>
      </c>
      <c r="E49" s="128">
        <f t="shared" ref="E49:K49" si="10">E46*E11</f>
        <v>29269304.178760801</v>
      </c>
      <c r="F49" s="128">
        <f t="shared" si="10"/>
        <v>30693985.000192273</v>
      </c>
      <c r="G49" s="128">
        <f t="shared" si="10"/>
        <v>32180774.370045301</v>
      </c>
      <c r="H49" s="128">
        <f t="shared" si="10"/>
        <v>33731763.205104999</v>
      </c>
      <c r="I49" s="128">
        <f t="shared" si="10"/>
        <v>35349054.145729035</v>
      </c>
      <c r="J49" s="128">
        <f t="shared" si="10"/>
        <v>37034754.394059122</v>
      </c>
      <c r="K49" s="52">
        <f t="shared" si="10"/>
        <v>38790967.581172295</v>
      </c>
    </row>
    <row r="50" spans="1:11" x14ac:dyDescent="0.15">
      <c r="A50" s="51" t="s">
        <v>27</v>
      </c>
      <c r="B50" s="128">
        <f>'Income Statement'!J24</f>
        <v>2455000</v>
      </c>
      <c r="C50" s="128">
        <f>'Income Statement'!K24</f>
        <v>2673000</v>
      </c>
      <c r="D50" s="128">
        <f>C50+(1*D12)</f>
        <v>2673000.1</v>
      </c>
      <c r="E50" s="128">
        <f t="shared" ref="E50:K50" si="11">D50+(1*E12)</f>
        <v>2673000.2000000002</v>
      </c>
      <c r="F50" s="128">
        <f t="shared" si="11"/>
        <v>2673000.3000000003</v>
      </c>
      <c r="G50" s="128">
        <f t="shared" si="11"/>
        <v>2673000.4000000004</v>
      </c>
      <c r="H50" s="128">
        <f t="shared" si="11"/>
        <v>2673000.5000000005</v>
      </c>
      <c r="I50" s="128">
        <f t="shared" si="11"/>
        <v>2673000.6000000006</v>
      </c>
      <c r="J50" s="128">
        <f t="shared" si="11"/>
        <v>2673000.7000000007</v>
      </c>
      <c r="K50" s="52">
        <f t="shared" si="11"/>
        <v>2673000.8000000007</v>
      </c>
    </row>
    <row r="51" spans="1:11" ht="14" x14ac:dyDescent="0.15">
      <c r="A51" s="53" t="s">
        <v>43</v>
      </c>
      <c r="B51" s="127">
        <f>'Income Statement'!J25</f>
        <v>28739000</v>
      </c>
      <c r="C51" s="127">
        <f>'Income Statement'!K25</f>
        <v>29271000</v>
      </c>
      <c r="D51" s="127">
        <f>D49+D50</f>
        <v>30577659.090999998</v>
      </c>
      <c r="E51" s="127">
        <f t="shared" ref="E51:K51" si="12">E49+E50</f>
        <v>31942304.3787608</v>
      </c>
      <c r="F51" s="127">
        <f t="shared" si="12"/>
        <v>33366985.300192274</v>
      </c>
      <c r="G51" s="127">
        <f t="shared" si="12"/>
        <v>34853774.770045303</v>
      </c>
      <c r="H51" s="127">
        <f t="shared" si="12"/>
        <v>36404763.705104999</v>
      </c>
      <c r="I51" s="127">
        <f t="shared" si="12"/>
        <v>38022054.745729037</v>
      </c>
      <c r="J51" s="127">
        <f t="shared" si="12"/>
        <v>39707755.094059125</v>
      </c>
      <c r="K51" s="54">
        <f t="shared" si="12"/>
        <v>41463968.381172299</v>
      </c>
    </row>
    <row r="52" spans="1:11" ht="14" x14ac:dyDescent="0.15">
      <c r="A52" s="53" t="s">
        <v>28</v>
      </c>
      <c r="B52" s="127">
        <f>'Income Statement'!J25</f>
        <v>28739000</v>
      </c>
      <c r="C52" s="127">
        <f>'Income Statement'!K25</f>
        <v>29271000</v>
      </c>
      <c r="D52" s="127">
        <f>D48-D51</f>
        <v>25289173.744999997</v>
      </c>
      <c r="E52" s="127">
        <f t="shared" ref="E52:K52" si="13">E48-E51</f>
        <v>29252011.896916002</v>
      </c>
      <c r="F52" s="127">
        <f t="shared" si="13"/>
        <v>33609294.414360993</v>
      </c>
      <c r="G52" s="127">
        <f t="shared" si="13"/>
        <v>38395390.414762624</v>
      </c>
      <c r="H52" s="127">
        <f t="shared" si="13"/>
        <v>43647459.855089433</v>
      </c>
      <c r="I52" s="127">
        <f t="shared" si="13"/>
        <v>49405670.450880818</v>
      </c>
      <c r="J52" s="127">
        <f t="shared" si="13"/>
        <v>55713430.959831849</v>
      </c>
      <c r="K52" s="54">
        <f t="shared" si="13"/>
        <v>62617642.038046211</v>
      </c>
    </row>
    <row r="53" spans="1:11" ht="14" x14ac:dyDescent="0.15">
      <c r="A53" s="56" t="s">
        <v>106</v>
      </c>
      <c r="B53" s="128">
        <f>'Income Statement'!J27*-1</f>
        <v>1562000</v>
      </c>
      <c r="C53" s="128">
        <f>'Income Statement'!K27*-1</f>
        <v>1765000</v>
      </c>
      <c r="D53" s="128">
        <f>C53*(1+$C$19)</f>
        <v>1991496.9774208085</v>
      </c>
      <c r="E53" s="128">
        <f t="shared" ref="E53:K53" si="14">D53*(1+$C$19)</f>
        <v>2247059.6096749101</v>
      </c>
      <c r="F53" s="128">
        <f t="shared" si="14"/>
        <v>2535417.8021257594</v>
      </c>
      <c r="G53" s="128">
        <f t="shared" si="14"/>
        <v>2860780.1073271157</v>
      </c>
      <c r="H53" s="128">
        <f t="shared" si="14"/>
        <v>3227895.1483328766</v>
      </c>
      <c r="I53" s="128">
        <f t="shared" si="14"/>
        <v>3642120.9242698108</v>
      </c>
      <c r="J53" s="128">
        <f t="shared" si="14"/>
        <v>4109503.0096795522</v>
      </c>
      <c r="K53" s="52">
        <f t="shared" si="14"/>
        <v>4636862.7889396846</v>
      </c>
    </row>
    <row r="54" spans="1:11" x14ac:dyDescent="0.15">
      <c r="A54" s="51" t="s">
        <v>29</v>
      </c>
      <c r="B54" s="128">
        <f>'Income Statement'!J28*-1</f>
        <v>1562000</v>
      </c>
      <c r="C54" s="128">
        <f>'Income Statement'!K28*-1</f>
        <v>1765000</v>
      </c>
      <c r="D54" s="128">
        <f>D53</f>
        <v>1991496.9774208085</v>
      </c>
      <c r="E54" s="128">
        <f t="shared" ref="E54:K54" si="15">E53</f>
        <v>2247059.6096749101</v>
      </c>
      <c r="F54" s="128">
        <f t="shared" si="15"/>
        <v>2535417.8021257594</v>
      </c>
      <c r="G54" s="128">
        <f t="shared" si="15"/>
        <v>2860780.1073271157</v>
      </c>
      <c r="H54" s="128">
        <f t="shared" si="15"/>
        <v>3227895.1483328766</v>
      </c>
      <c r="I54" s="128">
        <f t="shared" si="15"/>
        <v>3642120.9242698108</v>
      </c>
      <c r="J54" s="128">
        <f t="shared" si="15"/>
        <v>4109503.0096795522</v>
      </c>
      <c r="K54" s="52">
        <f t="shared" si="15"/>
        <v>4636862.7889396846</v>
      </c>
    </row>
    <row r="55" spans="1:11" ht="14" x14ac:dyDescent="0.15">
      <c r="A55" s="53" t="s">
        <v>30</v>
      </c>
      <c r="B55" s="127">
        <f>'Income Statement'!J29</f>
        <v>22477000</v>
      </c>
      <c r="C55" s="127">
        <f>'Income Statement'!K29</f>
        <v>19924000</v>
      </c>
      <c r="D55" s="127">
        <f>D52-D53</f>
        <v>23297676.76757919</v>
      </c>
      <c r="E55" s="127">
        <f t="shared" ref="E55:K55" si="16">E52-E53</f>
        <v>27004952.287241094</v>
      </c>
      <c r="F55" s="127">
        <f t="shared" si="16"/>
        <v>31073876.612235233</v>
      </c>
      <c r="G55" s="127">
        <f t="shared" si="16"/>
        <v>35534610.307435505</v>
      </c>
      <c r="H55" s="127">
        <f t="shared" si="16"/>
        <v>40419564.706756555</v>
      </c>
      <c r="I55" s="127">
        <f t="shared" si="16"/>
        <v>45763549.526611008</v>
      </c>
      <c r="J55" s="127">
        <f t="shared" si="16"/>
        <v>51603927.950152293</v>
      </c>
      <c r="K55" s="54">
        <f t="shared" si="16"/>
        <v>57980779.249106526</v>
      </c>
    </row>
    <row r="56" spans="1:11" x14ac:dyDescent="0.15">
      <c r="A56" s="51" t="s">
        <v>31</v>
      </c>
      <c r="B56" s="128">
        <f>'Income Statement'!J30</f>
        <v>5372000</v>
      </c>
      <c r="C56" s="128">
        <f>'Income Statement'!K30</f>
        <v>4781000</v>
      </c>
      <c r="D56" s="128">
        <f>D55*D13</f>
        <v>4892512.1211916301</v>
      </c>
      <c r="E56" s="128">
        <f t="shared" ref="E56:K56" si="17">E55*E13</f>
        <v>5671039.9803206297</v>
      </c>
      <c r="F56" s="128">
        <f t="shared" si="17"/>
        <v>6525514.088569399</v>
      </c>
      <c r="G56" s="128">
        <f t="shared" si="17"/>
        <v>7462268.1645614561</v>
      </c>
      <c r="H56" s="128">
        <f t="shared" si="17"/>
        <v>8488108.5884188768</v>
      </c>
      <c r="I56" s="128">
        <f t="shared" si="17"/>
        <v>9610345.4005883113</v>
      </c>
      <c r="J56" s="128">
        <f t="shared" si="17"/>
        <v>10836824.869531982</v>
      </c>
      <c r="K56" s="52">
        <f t="shared" si="17"/>
        <v>12175963.64231237</v>
      </c>
    </row>
    <row r="57" spans="1:11" ht="15" thickBot="1" x14ac:dyDescent="0.2">
      <c r="A57" s="57" t="s">
        <v>32</v>
      </c>
      <c r="B57" s="58">
        <f>'Income Statement'!J31</f>
        <v>17105000</v>
      </c>
      <c r="C57" s="58">
        <f>'Income Statement'!K31</f>
        <v>15143000</v>
      </c>
      <c r="D57" s="58">
        <f>D55-D56</f>
        <v>18405164.646387562</v>
      </c>
      <c r="E57" s="58">
        <f t="shared" ref="E57:K57" si="18">E55-E56</f>
        <v>21333912.306920465</v>
      </c>
      <c r="F57" s="58">
        <f t="shared" si="18"/>
        <v>24548362.523665834</v>
      </c>
      <c r="G57" s="58">
        <f t="shared" si="18"/>
        <v>28072342.142874047</v>
      </c>
      <c r="H57" s="58">
        <f t="shared" si="18"/>
        <v>31931456.118337676</v>
      </c>
      <c r="I57" s="58">
        <f t="shared" si="18"/>
        <v>36153204.126022696</v>
      </c>
      <c r="J57" s="58">
        <f t="shared" si="18"/>
        <v>40767103.080620311</v>
      </c>
      <c r="K57" s="59">
        <f t="shared" si="18"/>
        <v>45804815.606794156</v>
      </c>
    </row>
    <row r="58" spans="1:11" x14ac:dyDescent="0.15">
      <c r="A58" s="7"/>
      <c r="B58" s="8"/>
      <c r="C58" s="8"/>
      <c r="D58" s="7"/>
    </row>
    <row r="60" spans="1:11" x14ac:dyDescent="0.15">
      <c r="A60" s="7"/>
      <c r="B60" s="8"/>
      <c r="C60" s="8"/>
      <c r="D60" s="7"/>
    </row>
    <row r="61" spans="1:11" ht="14" thickBot="1" x14ac:dyDescent="0.2">
      <c r="A61" s="7"/>
      <c r="B61" s="8"/>
      <c r="C61" s="8"/>
      <c r="D61" s="7"/>
    </row>
    <row r="62" spans="1:11" ht="14" thickBot="1" x14ac:dyDescent="0.2">
      <c r="A62" s="176" t="s">
        <v>109</v>
      </c>
      <c r="B62" s="177"/>
      <c r="C62" s="177"/>
      <c r="D62" s="177"/>
      <c r="E62" s="177"/>
      <c r="F62" s="177"/>
      <c r="G62" s="177"/>
      <c r="H62" s="177"/>
      <c r="I62" s="177"/>
      <c r="J62" s="177"/>
      <c r="K62" s="178"/>
    </row>
    <row r="63" spans="1:11" ht="14" x14ac:dyDescent="0.15">
      <c r="A63" s="130" t="s">
        <v>4</v>
      </c>
      <c r="B63" s="131" t="s">
        <v>6</v>
      </c>
      <c r="C63" s="131" t="s">
        <v>5</v>
      </c>
      <c r="D63" s="131" t="s">
        <v>92</v>
      </c>
      <c r="E63" s="131" t="s">
        <v>93</v>
      </c>
      <c r="F63" s="131" t="s">
        <v>94</v>
      </c>
      <c r="G63" s="131" t="s">
        <v>95</v>
      </c>
      <c r="H63" s="131" t="s">
        <v>96</v>
      </c>
      <c r="I63" s="131" t="s">
        <v>97</v>
      </c>
      <c r="J63" s="131" t="s">
        <v>98</v>
      </c>
      <c r="K63" s="132" t="s">
        <v>99</v>
      </c>
    </row>
    <row r="64" spans="1:11" ht="15" thickBot="1" x14ac:dyDescent="0.2">
      <c r="A64" s="65" t="s">
        <v>21</v>
      </c>
      <c r="B64" s="66" t="s">
        <v>22</v>
      </c>
      <c r="C64" s="66" t="s">
        <v>22</v>
      </c>
      <c r="D64" s="66" t="s">
        <v>22</v>
      </c>
      <c r="E64" s="66" t="s">
        <v>22</v>
      </c>
      <c r="F64" s="66" t="s">
        <v>22</v>
      </c>
      <c r="G64" s="66" t="s">
        <v>22</v>
      </c>
      <c r="H64" s="66" t="s">
        <v>22</v>
      </c>
      <c r="I64" s="66" t="s">
        <v>22</v>
      </c>
      <c r="J64" s="66" t="s">
        <v>22</v>
      </c>
      <c r="K64" s="67" t="s">
        <v>22</v>
      </c>
    </row>
    <row r="65" spans="1:11" x14ac:dyDescent="0.15">
      <c r="A65" s="152" t="s">
        <v>49</v>
      </c>
      <c r="B65" s="119">
        <f>+'Balance Sheet'!J17</f>
        <v>2757000</v>
      </c>
      <c r="C65" s="119">
        <f>+'Balance Sheet'!K17</f>
        <v>3760000</v>
      </c>
      <c r="D65" s="133">
        <f>D14*D46</f>
        <v>4247708.4315203167</v>
      </c>
      <c r="E65" s="133">
        <f t="shared" ref="E65:K65" si="19">E14*E46</f>
        <v>4521260.8545102254</v>
      </c>
      <c r="F65" s="133">
        <f t="shared" si="19"/>
        <v>4812430.0535406834</v>
      </c>
      <c r="G65" s="133">
        <f t="shared" si="19"/>
        <v>5122350.5489887036</v>
      </c>
      <c r="H65" s="133">
        <f t="shared" si="19"/>
        <v>5452229.9243435757</v>
      </c>
      <c r="I65" s="133">
        <f t="shared" si="19"/>
        <v>5803353.5314713018</v>
      </c>
      <c r="J65" s="133">
        <f t="shared" si="19"/>
        <v>6177089.4988980545</v>
      </c>
      <c r="K65" s="134">
        <f t="shared" si="19"/>
        <v>6574894.0626270892</v>
      </c>
    </row>
    <row r="66" spans="1:11" x14ac:dyDescent="0.15">
      <c r="A66" s="152" t="s">
        <v>50</v>
      </c>
      <c r="B66" s="119">
        <f>+'Balance Sheet'!J18</f>
        <v>3317000</v>
      </c>
      <c r="C66" s="119">
        <f>+'Balance Sheet'!K18</f>
        <v>3328000</v>
      </c>
      <c r="D66" s="133">
        <f>D46*D14</f>
        <v>4247708.4315203167</v>
      </c>
      <c r="E66" s="133">
        <f t="shared" ref="E66:K66" si="20">E46*E14</f>
        <v>4521260.8545102254</v>
      </c>
      <c r="F66" s="133">
        <f t="shared" si="20"/>
        <v>4812430.0535406834</v>
      </c>
      <c r="G66" s="133">
        <f t="shared" si="20"/>
        <v>5122350.5489887036</v>
      </c>
      <c r="H66" s="133">
        <f t="shared" si="20"/>
        <v>5452229.9243435757</v>
      </c>
      <c r="I66" s="133">
        <f t="shared" si="20"/>
        <v>5803353.5314713018</v>
      </c>
      <c r="J66" s="133">
        <f t="shared" si="20"/>
        <v>6177089.4988980545</v>
      </c>
      <c r="K66" s="134">
        <f t="shared" si="20"/>
        <v>6574894.0626270892</v>
      </c>
    </row>
    <row r="67" spans="1:11" x14ac:dyDescent="0.15">
      <c r="A67" s="152" t="s">
        <v>51</v>
      </c>
      <c r="B67" s="119">
        <f>+'Balance Sheet'!J19</f>
        <v>24886000</v>
      </c>
      <c r="C67" s="119">
        <f>+'Balance Sheet'!K19</f>
        <v>20976000</v>
      </c>
      <c r="D67" s="133">
        <f>AVERAGE(B67:C67)*(1+'CS Balance Sheet Sales'!$L$19)</f>
        <v>26034660.034750015</v>
      </c>
      <c r="E67" s="133">
        <f>AVERAGE(C67:D67)*(1+'CS Balance Sheet Sales'!$L$19)</f>
        <v>26686724.347257555</v>
      </c>
      <c r="F67" s="133">
        <f>AVERAGE(D67:E67)*(1+'CS Balance Sheet Sales'!$L$19)</f>
        <v>29928553.463585235</v>
      </c>
      <c r="G67" s="133">
        <f>AVERAGE(E67:F67)*(1+'CS Balance Sheet Sales'!$L$19)</f>
        <v>32139015.101352274</v>
      </c>
      <c r="H67" s="133">
        <f>AVERAGE(F67:G67)*(1+'CS Balance Sheet Sales'!$L$19)</f>
        <v>35234138.214026533</v>
      </c>
      <c r="I67" s="133">
        <f>AVERAGE(G67:H67)*(1+'CS Balance Sheet Sales'!$L$19)</f>
        <v>38245980.158627585</v>
      </c>
      <c r="J67" s="133">
        <f>AVERAGE(H67:I67)*(1+'CS Balance Sheet Sales'!$L$19)</f>
        <v>41712744.780978553</v>
      </c>
      <c r="K67" s="134">
        <f>AVERAGE(I67:J67)*(1+'CS Balance Sheet Sales'!$L$19)</f>
        <v>45390480.585555211</v>
      </c>
    </row>
    <row r="68" spans="1:11" x14ac:dyDescent="0.15">
      <c r="A68" s="152" t="s">
        <v>52</v>
      </c>
      <c r="B68" s="119">
        <f>+'Balance Sheet'!J20</f>
        <v>1511000</v>
      </c>
      <c r="C68" s="119">
        <f>+'Balance Sheet'!K20</f>
        <v>1711000</v>
      </c>
      <c r="D68" s="133">
        <f>D46*D16</f>
        <v>1821188.4</v>
      </c>
      <c r="E68" s="133">
        <f t="shared" ref="E68:K68" si="21">E46*E16</f>
        <v>1938472.9329599999</v>
      </c>
      <c r="F68" s="133">
        <f t="shared" si="21"/>
        <v>2063310.5898426238</v>
      </c>
      <c r="G68" s="133">
        <f t="shared" si="21"/>
        <v>2196187.7918284889</v>
      </c>
      <c r="H68" s="133">
        <f t="shared" si="21"/>
        <v>2337622.2856222438</v>
      </c>
      <c r="I68" s="133">
        <f t="shared" si="21"/>
        <v>2488165.160816316</v>
      </c>
      <c r="J68" s="133">
        <f t="shared" si="21"/>
        <v>2648402.997172887</v>
      </c>
      <c r="K68" s="134">
        <f t="shared" si="21"/>
        <v>2818960.1501908209</v>
      </c>
    </row>
    <row r="69" spans="1:11" ht="14" x14ac:dyDescent="0.15">
      <c r="A69" s="153" t="s">
        <v>53</v>
      </c>
      <c r="B69" s="120">
        <f>+'Balance Sheet'!J21</f>
        <v>32471000</v>
      </c>
      <c r="C69" s="120">
        <f>+'Balance Sheet'!K21</f>
        <v>29775000</v>
      </c>
      <c r="D69" s="125">
        <f>SUM(D65:D68)</f>
        <v>36351265.297790647</v>
      </c>
      <c r="E69" s="125">
        <f t="shared" ref="E69:K69" si="22">SUM(E65:E68)</f>
        <v>37667718.989238009</v>
      </c>
      <c r="F69" s="125">
        <f t="shared" si="22"/>
        <v>41616724.160509229</v>
      </c>
      <c r="G69" s="125">
        <f t="shared" si="22"/>
        <v>44579903.991158172</v>
      </c>
      <c r="H69" s="125">
        <f t="shared" si="22"/>
        <v>48476220.348335929</v>
      </c>
      <c r="I69" s="125">
        <f t="shared" si="22"/>
        <v>52340852.382386506</v>
      </c>
      <c r="J69" s="125">
        <f t="shared" si="22"/>
        <v>56715326.775947548</v>
      </c>
      <c r="K69" s="135">
        <f t="shared" si="22"/>
        <v>61359228.86100021</v>
      </c>
    </row>
    <row r="70" spans="1:11" x14ac:dyDescent="0.15">
      <c r="A70" s="152" t="s">
        <v>54</v>
      </c>
      <c r="B70" s="119">
        <f>+'Balance Sheet'!J22</f>
        <v>52275000</v>
      </c>
      <c r="C70" s="119">
        <f>+'Balance Sheet'!K22</f>
        <v>53257000</v>
      </c>
      <c r="D70" s="133">
        <f>D46*D17</f>
        <v>62449818.392201267</v>
      </c>
      <c r="E70" s="133">
        <f t="shared" ref="E70:K70" si="23">E46*E17</f>
        <v>66471586.696659029</v>
      </c>
      <c r="F70" s="133">
        <f t="shared" si="23"/>
        <v>70752356.879923865</v>
      </c>
      <c r="G70" s="133">
        <f t="shared" si="23"/>
        <v>75308808.662990972</v>
      </c>
      <c r="H70" s="133">
        <f t="shared" si="23"/>
        <v>80158695.940887585</v>
      </c>
      <c r="I70" s="133">
        <f t="shared" si="23"/>
        <v>85320915.959480748</v>
      </c>
      <c r="J70" s="133">
        <f t="shared" si="23"/>
        <v>90815582.947271302</v>
      </c>
      <c r="K70" s="134">
        <f t="shared" si="23"/>
        <v>96664106.489075586</v>
      </c>
    </row>
    <row r="71" spans="1:11" x14ac:dyDescent="0.15">
      <c r="A71" s="152" t="s">
        <v>55</v>
      </c>
      <c r="B71" s="119">
        <f>+'Balance Sheet'!J23</f>
        <v>26644000</v>
      </c>
      <c r="C71" s="119">
        <f>+'Balance Sheet'!K23</f>
        <v>27103000</v>
      </c>
      <c r="D71" s="133">
        <f>+C71+D20</f>
        <v>32888340.919610064</v>
      </c>
      <c r="E71" s="133">
        <f t="shared" ref="E71:K71" si="24">+D71+E20</f>
        <v>39334411.17405308</v>
      </c>
      <c r="F71" s="133">
        <f t="shared" si="24"/>
        <v>46195608.352882229</v>
      </c>
      <c r="G71" s="133">
        <f t="shared" si="24"/>
        <v>53498666.630027972</v>
      </c>
      <c r="H71" s="133">
        <f t="shared" si="24"/>
        <v>61272041.8602219</v>
      </c>
      <c r="I71" s="133">
        <f t="shared" si="24"/>
        <v>69546022.455240309</v>
      </c>
      <c r="J71" s="133">
        <f t="shared" si="24"/>
        <v>78352847.400577918</v>
      </c>
      <c r="K71" s="134">
        <f t="shared" si="24"/>
        <v>87726831.872395262</v>
      </c>
    </row>
    <row r="72" spans="1:11" x14ac:dyDescent="0.15">
      <c r="A72" s="152" t="s">
        <v>56</v>
      </c>
      <c r="B72" s="119">
        <f>+'Balance Sheet'!J24</f>
        <v>25631000</v>
      </c>
      <c r="C72" s="119">
        <f>+'Balance Sheet'!K24</f>
        <v>26154000</v>
      </c>
      <c r="D72" s="133">
        <f>D70-D71</f>
        <v>29561477.472591203</v>
      </c>
      <c r="E72" s="133">
        <f t="shared" ref="E72:K72" si="25">E70-E71</f>
        <v>27137175.522605948</v>
      </c>
      <c r="F72" s="133">
        <f t="shared" si="25"/>
        <v>24556748.527041636</v>
      </c>
      <c r="G72" s="133">
        <f t="shared" si="25"/>
        <v>21810142.032963</v>
      </c>
      <c r="H72" s="133">
        <f t="shared" si="25"/>
        <v>18886654.080665685</v>
      </c>
      <c r="I72" s="133">
        <f t="shared" si="25"/>
        <v>15774893.504240438</v>
      </c>
      <c r="J72" s="133">
        <f t="shared" si="25"/>
        <v>12462735.546693385</v>
      </c>
      <c r="K72" s="134">
        <f t="shared" si="25"/>
        <v>8937274.6166803241</v>
      </c>
    </row>
    <row r="73" spans="1:11" x14ac:dyDescent="0.15">
      <c r="A73" s="152" t="s">
        <v>58</v>
      </c>
      <c r="B73" s="119">
        <f>+'Balance Sheet'!J26</f>
        <v>10899000</v>
      </c>
      <c r="C73" s="119">
        <f>+'Balance Sheet'!K26</f>
        <v>12146000</v>
      </c>
      <c r="D73" s="133">
        <f>AVERAGE(B73:C73)</f>
        <v>11522500</v>
      </c>
      <c r="E73" s="133">
        <f t="shared" ref="E73:K73" si="26">AVERAGE(C73:D73)</f>
        <v>11834250</v>
      </c>
      <c r="F73" s="133">
        <f t="shared" si="26"/>
        <v>11678375</v>
      </c>
      <c r="G73" s="133">
        <f t="shared" si="26"/>
        <v>11756312.5</v>
      </c>
      <c r="H73" s="133">
        <f t="shared" si="26"/>
        <v>11717343.75</v>
      </c>
      <c r="I73" s="133">
        <f t="shared" si="26"/>
        <v>11736828.125</v>
      </c>
      <c r="J73" s="133">
        <f t="shared" si="26"/>
        <v>11727085.9375</v>
      </c>
      <c r="K73" s="134">
        <f t="shared" si="26"/>
        <v>11731957.03125</v>
      </c>
    </row>
    <row r="74" spans="1:11" ht="14" x14ac:dyDescent="0.15">
      <c r="A74" s="153" t="s">
        <v>59</v>
      </c>
      <c r="B74" s="120">
        <f>+'Balance Sheet'!J27</f>
        <v>76445000</v>
      </c>
      <c r="C74" s="120">
        <f>+'Balance Sheet'!K27</f>
        <v>76530000</v>
      </c>
      <c r="D74" s="136">
        <f>+SUM(D72,D73)+D69</f>
        <v>77435242.770381853</v>
      </c>
      <c r="E74" s="136">
        <f t="shared" ref="E74:K74" si="27">+SUM(E72,E73)+E69</f>
        <v>76639144.51184395</v>
      </c>
      <c r="F74" s="136">
        <f t="shared" si="27"/>
        <v>77851847.687550873</v>
      </c>
      <c r="G74" s="136">
        <f t="shared" si="27"/>
        <v>78146358.524121165</v>
      </c>
      <c r="H74" s="136">
        <f t="shared" si="27"/>
        <v>79080218.179001614</v>
      </c>
      <c r="I74" s="136">
        <f t="shared" si="27"/>
        <v>79852574.011626944</v>
      </c>
      <c r="J74" s="136">
        <f t="shared" si="27"/>
        <v>80905148.260140926</v>
      </c>
      <c r="K74" s="137">
        <f t="shared" si="27"/>
        <v>82028460.508930534</v>
      </c>
    </row>
    <row r="75" spans="1:11" x14ac:dyDescent="0.15">
      <c r="A75" s="152" t="s">
        <v>60</v>
      </c>
      <c r="B75" s="119">
        <f>+'Balance Sheet'!J28</f>
        <v>17292000</v>
      </c>
      <c r="C75" s="119">
        <f>+'Balance Sheet'!K28</f>
        <v>16358000</v>
      </c>
      <c r="D75" s="133">
        <f>D$46*D18</f>
        <v>18519675.577729955</v>
      </c>
      <c r="E75" s="133">
        <f t="shared" ref="E75:K75" si="28">E$46*E18</f>
        <v>19712342.684935767</v>
      </c>
      <c r="F75" s="133">
        <f t="shared" si="28"/>
        <v>20981817.553845629</v>
      </c>
      <c r="G75" s="133">
        <f t="shared" si="28"/>
        <v>22333046.604313288</v>
      </c>
      <c r="H75" s="133">
        <f t="shared" si="28"/>
        <v>23771294.805631064</v>
      </c>
      <c r="I75" s="133">
        <f t="shared" si="28"/>
        <v>25302166.191113703</v>
      </c>
      <c r="J75" s="133">
        <f t="shared" si="28"/>
        <v>26931625.693821426</v>
      </c>
      <c r="K75" s="134">
        <f t="shared" si="28"/>
        <v>28666022.388503525</v>
      </c>
    </row>
    <row r="76" spans="1:11" x14ac:dyDescent="0.15">
      <c r="A76" s="152" t="s">
        <v>64</v>
      </c>
      <c r="B76" s="119">
        <f>+'Balance Sheet'!J32</f>
        <v>4587000</v>
      </c>
      <c r="C76" s="119">
        <f>+'Balance Sheet'!K32</f>
        <v>4289000</v>
      </c>
      <c r="D76" s="133">
        <f>+AVERAGE(B76:C76)</f>
        <v>4438000</v>
      </c>
      <c r="E76" s="133">
        <f t="shared" ref="E76:K76" si="29">+AVERAGE(C76:D76)</f>
        <v>4363500</v>
      </c>
      <c r="F76" s="133">
        <f t="shared" si="29"/>
        <v>4400750</v>
      </c>
      <c r="G76" s="133">
        <f t="shared" si="29"/>
        <v>4382125</v>
      </c>
      <c r="H76" s="133">
        <f t="shared" si="29"/>
        <v>4391437.5</v>
      </c>
      <c r="I76" s="133">
        <f t="shared" si="29"/>
        <v>4386781.25</v>
      </c>
      <c r="J76" s="133">
        <f t="shared" si="29"/>
        <v>4389109.375</v>
      </c>
      <c r="K76" s="134">
        <f t="shared" si="29"/>
        <v>4387945.3125</v>
      </c>
    </row>
    <row r="77" spans="1:11" ht="14" x14ac:dyDescent="0.15">
      <c r="A77" s="153" t="s">
        <v>65</v>
      </c>
      <c r="B77" s="120">
        <f>+'Balance Sheet'!J33</f>
        <v>23110000</v>
      </c>
      <c r="C77" s="120">
        <f>+'Balance Sheet'!K33</f>
        <v>22015000</v>
      </c>
      <c r="D77" s="136">
        <f>D75+D76</f>
        <v>22957675.577729955</v>
      </c>
      <c r="E77" s="136">
        <f t="shared" ref="E77:K77" si="30">E75+E76</f>
        <v>24075842.684935767</v>
      </c>
      <c r="F77" s="136">
        <f t="shared" si="30"/>
        <v>25382567.553845629</v>
      </c>
      <c r="G77" s="136">
        <f t="shared" si="30"/>
        <v>26715171.604313288</v>
      </c>
      <c r="H77" s="136">
        <f t="shared" si="30"/>
        <v>28162732.305631064</v>
      </c>
      <c r="I77" s="136">
        <f t="shared" si="30"/>
        <v>29688947.441113703</v>
      </c>
      <c r="J77" s="136">
        <f t="shared" si="30"/>
        <v>31320735.068821426</v>
      </c>
      <c r="K77" s="137">
        <f t="shared" si="30"/>
        <v>33053967.701003525</v>
      </c>
    </row>
    <row r="78" spans="1:11" x14ac:dyDescent="0.15">
      <c r="A78" s="152" t="s">
        <v>219</v>
      </c>
      <c r="B78" s="119">
        <f>+'Balance Sheet'!J34+'Balance Sheet'!J35+'Balance Sheet'!J36</f>
        <v>51773000</v>
      </c>
      <c r="C78" s="119">
        <f>+'Balance Sheet'!K34+'Balance Sheet'!K35+'Balance Sheet'!K36</f>
        <v>53471000</v>
      </c>
      <c r="D78" s="133">
        <f>D141</f>
        <v>53471000</v>
      </c>
      <c r="E78" s="133">
        <f t="shared" ref="E78:K78" si="31">E141</f>
        <v>53471000</v>
      </c>
      <c r="F78" s="133">
        <f t="shared" si="31"/>
        <v>53471000</v>
      </c>
      <c r="G78" s="133">
        <f t="shared" si="31"/>
        <v>53471000</v>
      </c>
      <c r="H78" s="133">
        <f t="shared" si="31"/>
        <v>53471000</v>
      </c>
      <c r="I78" s="133">
        <f t="shared" si="31"/>
        <v>53471000</v>
      </c>
      <c r="J78" s="133">
        <f t="shared" si="31"/>
        <v>53471000</v>
      </c>
      <c r="K78" s="134">
        <f t="shared" si="31"/>
        <v>53471000</v>
      </c>
    </row>
    <row r="79" spans="1:11" ht="14" x14ac:dyDescent="0.15">
      <c r="A79" s="153" t="s">
        <v>69</v>
      </c>
      <c r="B79" s="120">
        <f>+'Balance Sheet'!J37</f>
        <v>74883000</v>
      </c>
      <c r="C79" s="120">
        <f>+'Balance Sheet'!K37</f>
        <v>75486000</v>
      </c>
      <c r="D79" s="120">
        <f>SUM(D77:D78)</f>
        <v>76428675.577729955</v>
      </c>
      <c r="E79" s="125">
        <f t="shared" ref="E79:K79" si="32">SUM(E77:E78)</f>
        <v>77546842.684935763</v>
      </c>
      <c r="F79" s="125">
        <f t="shared" si="32"/>
        <v>78853567.553845629</v>
      </c>
      <c r="G79" s="125">
        <f t="shared" si="32"/>
        <v>80186171.604313284</v>
      </c>
      <c r="H79" s="125">
        <f t="shared" si="32"/>
        <v>81633732.305631071</v>
      </c>
      <c r="I79" s="125">
        <f t="shared" si="32"/>
        <v>83159947.44111371</v>
      </c>
      <c r="J79" s="125">
        <f t="shared" si="32"/>
        <v>84791735.06882143</v>
      </c>
      <c r="K79" s="135">
        <f t="shared" si="32"/>
        <v>86524967.701003522</v>
      </c>
    </row>
    <row r="80" spans="1:11" x14ac:dyDescent="0.15">
      <c r="A80" s="152" t="s">
        <v>72</v>
      </c>
      <c r="B80" s="119">
        <f>+'Balance Sheet'!J40</f>
        <v>76896000</v>
      </c>
      <c r="C80" s="119">
        <f>+'Balance Sheet'!K40</f>
        <v>83656000</v>
      </c>
      <c r="D80" s="133">
        <f>C80+D57*(1-D37)</f>
        <v>102061164.64638756</v>
      </c>
      <c r="E80" s="133">
        <f t="shared" ref="E80:K80" si="33">D80+E57*(1-E37)</f>
        <v>123395076.95330803</v>
      </c>
      <c r="F80" s="133">
        <f t="shared" si="33"/>
        <v>147943439.47697386</v>
      </c>
      <c r="G80" s="133">
        <f t="shared" si="33"/>
        <v>176015781.61984789</v>
      </c>
      <c r="H80" s="133">
        <f t="shared" si="33"/>
        <v>207947237.73818558</v>
      </c>
      <c r="I80" s="133">
        <f t="shared" si="33"/>
        <v>244100441.86420828</v>
      </c>
      <c r="J80" s="133">
        <f t="shared" si="33"/>
        <v>284867544.94482857</v>
      </c>
      <c r="K80" s="134">
        <f t="shared" si="33"/>
        <v>330672360.55162275</v>
      </c>
    </row>
    <row r="81" spans="1:11" x14ac:dyDescent="0.15">
      <c r="A81" s="152" t="s">
        <v>75</v>
      </c>
      <c r="B81" s="119">
        <f>+'Balance Sheet'!J43</f>
        <v>1562000</v>
      </c>
      <c r="C81" s="119">
        <f>+'Balance Sheet'!K43</f>
        <v>1044000</v>
      </c>
      <c r="D81" s="133">
        <f>D82-D79</f>
        <v>1006567.1926518977</v>
      </c>
      <c r="E81" s="133">
        <f t="shared" ref="E81:K81" si="34">E82-E79</f>
        <v>-907698.17309181392</v>
      </c>
      <c r="F81" s="133">
        <f t="shared" si="34"/>
        <v>-1001719.8662947565</v>
      </c>
      <c r="G81" s="133">
        <f t="shared" si="34"/>
        <v>-2039813.0801921189</v>
      </c>
      <c r="H81" s="133">
        <f t="shared" si="34"/>
        <v>-2553514.1266294569</v>
      </c>
      <c r="I81" s="133">
        <f t="shared" si="34"/>
        <v>-3307373.4294867665</v>
      </c>
      <c r="J81" s="133">
        <f t="shared" si="34"/>
        <v>-3886586.8086805046</v>
      </c>
      <c r="K81" s="134">
        <f t="shared" si="34"/>
        <v>-4496507.1920729876</v>
      </c>
    </row>
    <row r="82" spans="1:11" ht="15" thickBot="1" x14ac:dyDescent="0.2">
      <c r="A82" s="154" t="s">
        <v>76</v>
      </c>
      <c r="B82" s="121">
        <f>+'Balance Sheet'!J44</f>
        <v>76445000</v>
      </c>
      <c r="C82" s="121">
        <f>+'Balance Sheet'!K44</f>
        <v>76530000</v>
      </c>
      <c r="D82" s="122">
        <f>D74</f>
        <v>77435242.770381853</v>
      </c>
      <c r="E82" s="122">
        <f t="shared" ref="E82:K82" si="35">E74</f>
        <v>76639144.51184395</v>
      </c>
      <c r="F82" s="122">
        <f t="shared" si="35"/>
        <v>77851847.687550873</v>
      </c>
      <c r="G82" s="122">
        <f t="shared" si="35"/>
        <v>78146358.524121165</v>
      </c>
      <c r="H82" s="122">
        <f t="shared" si="35"/>
        <v>79080218.179001614</v>
      </c>
      <c r="I82" s="122">
        <f t="shared" si="35"/>
        <v>79852574.011626944</v>
      </c>
      <c r="J82" s="122">
        <f t="shared" si="35"/>
        <v>80905148.260140926</v>
      </c>
      <c r="K82" s="138">
        <f t="shared" si="35"/>
        <v>82028460.508930534</v>
      </c>
    </row>
    <row r="84" spans="1:11" ht="14" thickBot="1" x14ac:dyDescent="0.2"/>
    <row r="85" spans="1:11" ht="14" thickBot="1" x14ac:dyDescent="0.2">
      <c r="A85" s="176" t="s">
        <v>221</v>
      </c>
      <c r="B85" s="177"/>
      <c r="C85" s="177"/>
      <c r="D85" s="177"/>
      <c r="E85" s="177"/>
      <c r="F85" s="177"/>
      <c r="G85" s="177"/>
      <c r="H85" s="177"/>
      <c r="I85" s="177"/>
      <c r="J85" s="177"/>
      <c r="K85" s="178"/>
    </row>
    <row r="86" spans="1:11" ht="15" thickBot="1" x14ac:dyDescent="0.2">
      <c r="A86" s="65" t="s">
        <v>4</v>
      </c>
      <c r="B86" s="66" t="s">
        <v>6</v>
      </c>
      <c r="C86" s="66" t="s">
        <v>5</v>
      </c>
      <c r="D86" s="66" t="s">
        <v>92</v>
      </c>
      <c r="E86" s="66" t="s">
        <v>93</v>
      </c>
      <c r="F86" s="66" t="s">
        <v>94</v>
      </c>
      <c r="G86" s="66" t="s">
        <v>95</v>
      </c>
      <c r="H86" s="66" t="s">
        <v>96</v>
      </c>
      <c r="I86" s="66" t="s">
        <v>97</v>
      </c>
      <c r="J86" s="66" t="s">
        <v>98</v>
      </c>
      <c r="K86" s="67" t="s">
        <v>99</v>
      </c>
    </row>
    <row r="87" spans="1:11" x14ac:dyDescent="0.15">
      <c r="A87" s="139" t="s">
        <v>222</v>
      </c>
      <c r="C87" s="117">
        <f>SUM(C66:C68)-SUM(B66:B68)</f>
        <v>-3699000</v>
      </c>
      <c r="D87" s="117">
        <f t="shared" ref="D87:K87" si="36">SUM(D66:D68)-SUM(C66:C68)</f>
        <v>6088556.8662703298</v>
      </c>
      <c r="E87" s="117">
        <f t="shared" si="36"/>
        <v>1042901.26845745</v>
      </c>
      <c r="F87" s="117">
        <f t="shared" si="36"/>
        <v>3657835.9722407646</v>
      </c>
      <c r="G87" s="117">
        <f t="shared" si="36"/>
        <v>2653259.3352009207</v>
      </c>
      <c r="H87" s="117">
        <f t="shared" si="36"/>
        <v>3566436.981822893</v>
      </c>
      <c r="I87" s="117">
        <f t="shared" si="36"/>
        <v>3513508.4269228503</v>
      </c>
      <c r="J87" s="117">
        <f t="shared" si="36"/>
        <v>4000738.4261342809</v>
      </c>
      <c r="K87" s="140">
        <f t="shared" si="36"/>
        <v>4246097.5213236362</v>
      </c>
    </row>
    <row r="88" spans="1:11" x14ac:dyDescent="0.15">
      <c r="A88" s="139" t="s">
        <v>223</v>
      </c>
      <c r="C88" s="117">
        <f>C70-B70</f>
        <v>982000</v>
      </c>
      <c r="D88" s="117">
        <f t="shared" ref="D88:K88" si="37">D70-C70</f>
        <v>9192818.3922012672</v>
      </c>
      <c r="E88" s="117">
        <f t="shared" si="37"/>
        <v>4021768.3044577613</v>
      </c>
      <c r="F88" s="117">
        <f t="shared" si="37"/>
        <v>4280770.1832648367</v>
      </c>
      <c r="G88" s="117">
        <f t="shared" si="37"/>
        <v>4556451.7830671072</v>
      </c>
      <c r="H88" s="117">
        <f t="shared" si="37"/>
        <v>4849887.2778966129</v>
      </c>
      <c r="I88" s="117">
        <f t="shared" si="37"/>
        <v>5162220.0185931623</v>
      </c>
      <c r="J88" s="117">
        <f t="shared" si="37"/>
        <v>5494666.9877905548</v>
      </c>
      <c r="K88" s="140">
        <f t="shared" si="37"/>
        <v>5848523.5418042839</v>
      </c>
    </row>
    <row r="89" spans="1:11" x14ac:dyDescent="0.15">
      <c r="A89" s="139" t="s">
        <v>224</v>
      </c>
      <c r="C89" s="117">
        <f>C20</f>
        <v>459000</v>
      </c>
      <c r="D89" s="117">
        <f t="shared" ref="D89:K89" si="38">D20</f>
        <v>5785340.9196100645</v>
      </c>
      <c r="E89" s="117">
        <f t="shared" si="38"/>
        <v>6446070.2544430159</v>
      </c>
      <c r="F89" s="117">
        <f t="shared" si="38"/>
        <v>6861197.1788291456</v>
      </c>
      <c r="G89" s="117">
        <f t="shared" si="38"/>
        <v>7303058.2771457424</v>
      </c>
      <c r="H89" s="117">
        <f t="shared" si="38"/>
        <v>7773375.2301939279</v>
      </c>
      <c r="I89" s="117">
        <f t="shared" si="38"/>
        <v>8273980.5950184166</v>
      </c>
      <c r="J89" s="117">
        <f t="shared" si="38"/>
        <v>8806824.9453376029</v>
      </c>
      <c r="K89" s="140">
        <f t="shared" si="38"/>
        <v>9373984.4718173444</v>
      </c>
    </row>
    <row r="90" spans="1:11" x14ac:dyDescent="0.15">
      <c r="A90" s="139" t="s">
        <v>225</v>
      </c>
      <c r="C90" s="117">
        <f>C88+C89</f>
        <v>1441000</v>
      </c>
      <c r="D90" s="117">
        <f t="shared" ref="D90:K90" si="39">D88+D89</f>
        <v>14978159.311811332</v>
      </c>
      <c r="E90" s="117">
        <f t="shared" si="39"/>
        <v>10467838.558900777</v>
      </c>
      <c r="F90" s="117">
        <f t="shared" si="39"/>
        <v>11141967.362093981</v>
      </c>
      <c r="G90" s="117">
        <f t="shared" si="39"/>
        <v>11859510.060212851</v>
      </c>
      <c r="H90" s="117">
        <f t="shared" si="39"/>
        <v>12623262.508090541</v>
      </c>
      <c r="I90" s="117">
        <f t="shared" si="39"/>
        <v>13436200.613611579</v>
      </c>
      <c r="J90" s="117">
        <f t="shared" si="39"/>
        <v>14301491.933128158</v>
      </c>
      <c r="K90" s="140">
        <f t="shared" si="39"/>
        <v>15222508.013621628</v>
      </c>
    </row>
    <row r="91" spans="1:11" ht="14" thickBot="1" x14ac:dyDescent="0.2">
      <c r="A91" s="141" t="s">
        <v>226</v>
      </c>
      <c r="B91" s="142"/>
      <c r="C91" s="143">
        <f>C87+C90</f>
        <v>-2258000</v>
      </c>
      <c r="D91" s="143">
        <f t="shared" ref="D91:K91" si="40">D87+D90</f>
        <v>21066716.178081661</v>
      </c>
      <c r="E91" s="143">
        <f t="shared" si="40"/>
        <v>11510739.827358227</v>
      </c>
      <c r="F91" s="143">
        <f t="shared" si="40"/>
        <v>14799803.334334746</v>
      </c>
      <c r="G91" s="143">
        <f t="shared" si="40"/>
        <v>14512769.395413771</v>
      </c>
      <c r="H91" s="143">
        <f t="shared" si="40"/>
        <v>16189699.489913434</v>
      </c>
      <c r="I91" s="143">
        <f t="shared" si="40"/>
        <v>16949709.040534429</v>
      </c>
      <c r="J91" s="143">
        <f t="shared" si="40"/>
        <v>18302230.359262437</v>
      </c>
      <c r="K91" s="144">
        <f t="shared" si="40"/>
        <v>19468605.534945264</v>
      </c>
    </row>
    <row r="92" spans="1:11" ht="14" thickBot="1" x14ac:dyDescent="0.2"/>
    <row r="93" spans="1:11" ht="14" thickBot="1" x14ac:dyDescent="0.2">
      <c r="A93" s="176" t="s">
        <v>220</v>
      </c>
      <c r="B93" s="177"/>
      <c r="C93" s="177"/>
      <c r="D93" s="177"/>
      <c r="E93" s="177"/>
      <c r="F93" s="177"/>
      <c r="G93" s="177"/>
      <c r="H93" s="177"/>
      <c r="I93" s="177"/>
      <c r="J93" s="177"/>
      <c r="K93" s="178"/>
    </row>
    <row r="94" spans="1:11" ht="15" thickBot="1" x14ac:dyDescent="0.2">
      <c r="A94" s="65" t="s">
        <v>4</v>
      </c>
      <c r="B94" s="66" t="s">
        <v>6</v>
      </c>
      <c r="C94" s="66" t="s">
        <v>5</v>
      </c>
      <c r="D94" s="66" t="s">
        <v>92</v>
      </c>
      <c r="E94" s="66" t="s">
        <v>93</v>
      </c>
      <c r="F94" s="66" t="s">
        <v>94</v>
      </c>
      <c r="G94" s="66" t="s">
        <v>95</v>
      </c>
      <c r="H94" s="66" t="s">
        <v>96</v>
      </c>
      <c r="I94" s="66" t="s">
        <v>97</v>
      </c>
      <c r="J94" s="66" t="s">
        <v>98</v>
      </c>
      <c r="K94" s="67" t="s">
        <v>99</v>
      </c>
    </row>
    <row r="95" spans="1:11" x14ac:dyDescent="0.15">
      <c r="A95" s="68" t="s">
        <v>242</v>
      </c>
      <c r="B95" s="117">
        <f>B91</f>
        <v>0</v>
      </c>
      <c r="C95" s="117">
        <f t="shared" ref="C95:K95" si="41">C91</f>
        <v>-2258000</v>
      </c>
      <c r="D95" s="117">
        <f t="shared" si="41"/>
        <v>21066716.178081661</v>
      </c>
      <c r="E95" s="117">
        <f t="shared" si="41"/>
        <v>11510739.827358227</v>
      </c>
      <c r="F95" s="117">
        <f t="shared" si="41"/>
        <v>14799803.334334746</v>
      </c>
      <c r="G95" s="117">
        <f t="shared" si="41"/>
        <v>14512769.395413771</v>
      </c>
      <c r="H95" s="117">
        <f t="shared" si="41"/>
        <v>16189699.489913434</v>
      </c>
      <c r="I95" s="117">
        <f t="shared" si="41"/>
        <v>16949709.040534429</v>
      </c>
      <c r="J95" s="117">
        <f t="shared" si="41"/>
        <v>18302230.359262437</v>
      </c>
      <c r="K95" s="140">
        <f t="shared" si="41"/>
        <v>19468605.534945264</v>
      </c>
    </row>
    <row r="96" spans="1:11" x14ac:dyDescent="0.15">
      <c r="A96" s="145" t="s">
        <v>230</v>
      </c>
      <c r="B96" s="117"/>
      <c r="C96" s="117"/>
      <c r="D96" s="117"/>
      <c r="E96" s="117"/>
      <c r="F96" s="117"/>
      <c r="G96" s="117"/>
      <c r="H96" s="117"/>
      <c r="I96" s="117"/>
      <c r="J96" s="117"/>
      <c r="K96" s="140"/>
    </row>
    <row r="97" spans="1:11" x14ac:dyDescent="0.15">
      <c r="A97" s="146" t="s">
        <v>231</v>
      </c>
      <c r="B97" s="117">
        <f>B57</f>
        <v>17105000</v>
      </c>
      <c r="C97" s="117">
        <f t="shared" ref="C97:K97" si="42">C57</f>
        <v>15143000</v>
      </c>
      <c r="D97" s="117">
        <f t="shared" si="42"/>
        <v>18405164.646387562</v>
      </c>
      <c r="E97" s="117">
        <f t="shared" si="42"/>
        <v>21333912.306920465</v>
      </c>
      <c r="F97" s="117">
        <f t="shared" si="42"/>
        <v>24548362.523665834</v>
      </c>
      <c r="G97" s="117">
        <f t="shared" si="42"/>
        <v>28072342.142874047</v>
      </c>
      <c r="H97" s="117">
        <f t="shared" si="42"/>
        <v>31931456.118337676</v>
      </c>
      <c r="I97" s="117">
        <f t="shared" si="42"/>
        <v>36153204.126022696</v>
      </c>
      <c r="J97" s="117">
        <f t="shared" si="42"/>
        <v>40767103.080620311</v>
      </c>
      <c r="K97" s="140">
        <f t="shared" si="42"/>
        <v>45804815.606794156</v>
      </c>
    </row>
    <row r="98" spans="1:11" x14ac:dyDescent="0.15">
      <c r="A98" s="146" t="s">
        <v>120</v>
      </c>
      <c r="B98" s="117">
        <f t="shared" ref="B98:K98" si="43">B20</f>
        <v>514000</v>
      </c>
      <c r="C98" s="117">
        <f t="shared" si="43"/>
        <v>459000</v>
      </c>
      <c r="D98" s="117">
        <f t="shared" si="43"/>
        <v>5785340.9196100645</v>
      </c>
      <c r="E98" s="117">
        <f t="shared" si="43"/>
        <v>6446070.2544430159</v>
      </c>
      <c r="F98" s="117">
        <f t="shared" si="43"/>
        <v>6861197.1788291456</v>
      </c>
      <c r="G98" s="117">
        <f t="shared" si="43"/>
        <v>7303058.2771457424</v>
      </c>
      <c r="H98" s="117">
        <f t="shared" si="43"/>
        <v>7773375.2301939279</v>
      </c>
      <c r="I98" s="117">
        <f t="shared" si="43"/>
        <v>8273980.5950184166</v>
      </c>
      <c r="J98" s="117">
        <f t="shared" si="43"/>
        <v>8806824.9453376029</v>
      </c>
      <c r="K98" s="140">
        <f t="shared" si="43"/>
        <v>9373984.4718173444</v>
      </c>
    </row>
    <row r="99" spans="1:11" x14ac:dyDescent="0.15">
      <c r="A99" s="146" t="s">
        <v>232</v>
      </c>
      <c r="B99" s="117">
        <f>B97+B98</f>
        <v>17619000</v>
      </c>
      <c r="C99" s="117">
        <f t="shared" ref="C99:K99" si="44">C97+C98</f>
        <v>15602000</v>
      </c>
      <c r="D99" s="117">
        <f t="shared" si="44"/>
        <v>24190505.565997627</v>
      </c>
      <c r="E99" s="117">
        <f t="shared" si="44"/>
        <v>27779982.561363481</v>
      </c>
      <c r="F99" s="117">
        <f t="shared" si="44"/>
        <v>31409559.702494979</v>
      </c>
      <c r="G99" s="117">
        <f t="shared" si="44"/>
        <v>35375400.420019791</v>
      </c>
      <c r="H99" s="117">
        <f t="shared" si="44"/>
        <v>39704831.348531604</v>
      </c>
      <c r="I99" s="117">
        <f t="shared" si="44"/>
        <v>44427184.721041113</v>
      </c>
      <c r="J99" s="117">
        <f t="shared" si="44"/>
        <v>49573928.025957912</v>
      </c>
      <c r="K99" s="140">
        <f t="shared" si="44"/>
        <v>55178800.078611501</v>
      </c>
    </row>
    <row r="100" spans="1:11" x14ac:dyDescent="0.15">
      <c r="A100" s="146" t="s">
        <v>233</v>
      </c>
      <c r="B100" s="117">
        <f>MAX(B57*B37,0)</f>
        <v>0</v>
      </c>
      <c r="C100" s="117">
        <f t="shared" ref="C100:K100" si="45">MAX(C57*C37,0)</f>
        <v>0</v>
      </c>
      <c r="D100" s="117">
        <f t="shared" si="45"/>
        <v>0</v>
      </c>
      <c r="E100" s="117">
        <f t="shared" si="45"/>
        <v>0</v>
      </c>
      <c r="F100" s="117">
        <f t="shared" si="45"/>
        <v>0</v>
      </c>
      <c r="G100" s="117">
        <f t="shared" si="45"/>
        <v>0</v>
      </c>
      <c r="H100" s="117">
        <f t="shared" si="45"/>
        <v>0</v>
      </c>
      <c r="I100" s="117">
        <f t="shared" si="45"/>
        <v>0</v>
      </c>
      <c r="J100" s="117">
        <f t="shared" si="45"/>
        <v>0</v>
      </c>
      <c r="K100" s="140">
        <f t="shared" si="45"/>
        <v>0</v>
      </c>
    </row>
    <row r="101" spans="1:11" x14ac:dyDescent="0.15">
      <c r="A101" s="146" t="s">
        <v>234</v>
      </c>
      <c r="B101" s="117">
        <f>B99-B100</f>
        <v>17619000</v>
      </c>
      <c r="C101" s="117">
        <f t="shared" ref="C101:K101" si="46">C99-C100</f>
        <v>15602000</v>
      </c>
      <c r="D101" s="117">
        <f t="shared" si="46"/>
        <v>24190505.565997627</v>
      </c>
      <c r="E101" s="117">
        <f t="shared" si="46"/>
        <v>27779982.561363481</v>
      </c>
      <c r="F101" s="117">
        <f t="shared" si="46"/>
        <v>31409559.702494979</v>
      </c>
      <c r="G101" s="117">
        <f t="shared" si="46"/>
        <v>35375400.420019791</v>
      </c>
      <c r="H101" s="117">
        <f t="shared" si="46"/>
        <v>39704831.348531604</v>
      </c>
      <c r="I101" s="117">
        <f t="shared" si="46"/>
        <v>44427184.721041113</v>
      </c>
      <c r="J101" s="117">
        <f t="shared" si="46"/>
        <v>49573928.025957912</v>
      </c>
      <c r="K101" s="140">
        <f t="shared" si="46"/>
        <v>55178800.078611501</v>
      </c>
    </row>
    <row r="102" spans="1:11" x14ac:dyDescent="0.15">
      <c r="A102" s="146" t="s">
        <v>235</v>
      </c>
      <c r="B102" s="117">
        <f>'Balance Sheet'!J33-'Balance Sheet'!I33</f>
        <v>-5583000</v>
      </c>
      <c r="C102" s="117">
        <f>'Balance Sheet'!K33-'Balance Sheet'!J33</f>
        <v>-1095000</v>
      </c>
      <c r="D102" s="117">
        <f>D77-C77</f>
        <v>942675.57772995532</v>
      </c>
      <c r="E102" s="117">
        <f t="shared" ref="E102:K102" si="47">E77-D77</f>
        <v>1118167.1072058119</v>
      </c>
      <c r="F102" s="117">
        <f t="shared" si="47"/>
        <v>1306724.8689098619</v>
      </c>
      <c r="G102" s="117">
        <f t="shared" si="47"/>
        <v>1332604.0504676588</v>
      </c>
      <c r="H102" s="117">
        <f t="shared" si="47"/>
        <v>1447560.701317776</v>
      </c>
      <c r="I102" s="117">
        <f t="shared" si="47"/>
        <v>1526215.1354826391</v>
      </c>
      <c r="J102" s="117">
        <f t="shared" si="47"/>
        <v>1631787.6277077235</v>
      </c>
      <c r="K102" s="140">
        <f t="shared" si="47"/>
        <v>1733232.6321820989</v>
      </c>
    </row>
    <row r="103" spans="1:11" ht="14" x14ac:dyDescent="0.15">
      <c r="A103" s="147" t="s">
        <v>236</v>
      </c>
      <c r="B103" s="124">
        <f>B101+B102</f>
        <v>12036000</v>
      </c>
      <c r="C103" s="124">
        <f t="shared" ref="C103:K103" si="48">C101+C102</f>
        <v>14507000</v>
      </c>
      <c r="D103" s="124">
        <f t="shared" si="48"/>
        <v>25133181.143727582</v>
      </c>
      <c r="E103" s="124">
        <f t="shared" si="48"/>
        <v>28898149.668569293</v>
      </c>
      <c r="F103" s="124">
        <f t="shared" si="48"/>
        <v>32716284.571404841</v>
      </c>
      <c r="G103" s="124">
        <f t="shared" si="48"/>
        <v>36708004.470487446</v>
      </c>
      <c r="H103" s="124">
        <f t="shared" si="48"/>
        <v>41152392.049849376</v>
      </c>
      <c r="I103" s="124">
        <f t="shared" si="48"/>
        <v>45953399.856523752</v>
      </c>
      <c r="J103" s="124">
        <f t="shared" si="48"/>
        <v>51205715.653665632</v>
      </c>
      <c r="K103" s="148">
        <f t="shared" si="48"/>
        <v>56912032.710793599</v>
      </c>
    </row>
    <row r="104" spans="1:11" x14ac:dyDescent="0.15">
      <c r="A104" s="146" t="s">
        <v>237</v>
      </c>
      <c r="B104" s="117">
        <f>B95-B103</f>
        <v>-12036000</v>
      </c>
      <c r="C104" s="117">
        <f t="shared" ref="C104:K104" si="49">C95-C103</f>
        <v>-16765000</v>
      </c>
      <c r="D104" s="117">
        <f t="shared" si="49"/>
        <v>-4066464.9656459205</v>
      </c>
      <c r="E104" s="117">
        <f t="shared" si="49"/>
        <v>-17387409.841211066</v>
      </c>
      <c r="F104" s="117">
        <f t="shared" si="49"/>
        <v>-17916481.237070095</v>
      </c>
      <c r="G104" s="117">
        <f t="shared" si="49"/>
        <v>-22195235.075073674</v>
      </c>
      <c r="H104" s="117">
        <f t="shared" si="49"/>
        <v>-24962692.559935942</v>
      </c>
      <c r="I104" s="117">
        <f t="shared" si="49"/>
        <v>-29003690.815989323</v>
      </c>
      <c r="J104" s="117">
        <f t="shared" si="49"/>
        <v>-32903485.294403195</v>
      </c>
      <c r="K104" s="140">
        <f t="shared" si="49"/>
        <v>-37443427.175848335</v>
      </c>
    </row>
    <row r="105" spans="1:11" x14ac:dyDescent="0.15">
      <c r="A105" s="146" t="s">
        <v>238</v>
      </c>
      <c r="B105" s="117">
        <f>MAX(B104*B36,0)</f>
        <v>0</v>
      </c>
      <c r="C105" s="117">
        <f t="shared" ref="C105:K105" si="50">MAX(C104*C36,0)</f>
        <v>0</v>
      </c>
      <c r="D105" s="117">
        <f t="shared" si="50"/>
        <v>0</v>
      </c>
      <c r="E105" s="117">
        <f t="shared" si="50"/>
        <v>0</v>
      </c>
      <c r="F105" s="117">
        <f t="shared" si="50"/>
        <v>0</v>
      </c>
      <c r="G105" s="117">
        <f t="shared" si="50"/>
        <v>0</v>
      </c>
      <c r="H105" s="117">
        <f t="shared" si="50"/>
        <v>0</v>
      </c>
      <c r="I105" s="117">
        <f t="shared" si="50"/>
        <v>0</v>
      </c>
      <c r="J105" s="117">
        <f t="shared" si="50"/>
        <v>0</v>
      </c>
      <c r="K105" s="140">
        <f t="shared" si="50"/>
        <v>0</v>
      </c>
    </row>
    <row r="106" spans="1:11" x14ac:dyDescent="0.15">
      <c r="A106" s="146" t="s">
        <v>239</v>
      </c>
      <c r="B106" s="117">
        <f>MAX(B104-B105,0)</f>
        <v>0</v>
      </c>
      <c r="C106" s="117">
        <f t="shared" ref="C106:K106" si="51">MAX(C104-C105,0)</f>
        <v>0</v>
      </c>
      <c r="D106" s="117">
        <f t="shared" si="51"/>
        <v>0</v>
      </c>
      <c r="E106" s="117">
        <f t="shared" si="51"/>
        <v>0</v>
      </c>
      <c r="F106" s="117">
        <f t="shared" si="51"/>
        <v>0</v>
      </c>
      <c r="G106" s="117">
        <f t="shared" si="51"/>
        <v>0</v>
      </c>
      <c r="H106" s="117">
        <f t="shared" si="51"/>
        <v>0</v>
      </c>
      <c r="I106" s="117">
        <f t="shared" si="51"/>
        <v>0</v>
      </c>
      <c r="J106" s="117">
        <f t="shared" si="51"/>
        <v>0</v>
      </c>
      <c r="K106" s="140">
        <f t="shared" si="51"/>
        <v>0</v>
      </c>
    </row>
    <row r="107" spans="1:11" ht="14" x14ac:dyDescent="0.15">
      <c r="A107" s="147" t="s">
        <v>240</v>
      </c>
      <c r="B107" s="124">
        <f>B105+B106</f>
        <v>0</v>
      </c>
      <c r="C107" s="124">
        <f t="shared" ref="C107:K107" si="52">C105+C106</f>
        <v>0</v>
      </c>
      <c r="D107" s="124">
        <f t="shared" si="52"/>
        <v>0</v>
      </c>
      <c r="E107" s="124">
        <f t="shared" si="52"/>
        <v>0</v>
      </c>
      <c r="F107" s="124">
        <f t="shared" si="52"/>
        <v>0</v>
      </c>
      <c r="G107" s="124">
        <f t="shared" si="52"/>
        <v>0</v>
      </c>
      <c r="H107" s="124">
        <f t="shared" si="52"/>
        <v>0</v>
      </c>
      <c r="I107" s="124">
        <f t="shared" si="52"/>
        <v>0</v>
      </c>
      <c r="J107" s="124">
        <f t="shared" si="52"/>
        <v>0</v>
      </c>
      <c r="K107" s="148">
        <f t="shared" si="52"/>
        <v>0</v>
      </c>
    </row>
    <row r="108" spans="1:11" ht="15" thickBot="1" x14ac:dyDescent="0.2">
      <c r="A108" s="149" t="s">
        <v>241</v>
      </c>
      <c r="B108" s="150">
        <f>B103+B107</f>
        <v>12036000</v>
      </c>
      <c r="C108" s="150">
        <f t="shared" ref="C108:K108" si="53">C103+C107</f>
        <v>14507000</v>
      </c>
      <c r="D108" s="150">
        <f t="shared" si="53"/>
        <v>25133181.143727582</v>
      </c>
      <c r="E108" s="150">
        <f t="shared" si="53"/>
        <v>28898149.668569293</v>
      </c>
      <c r="F108" s="150">
        <f t="shared" si="53"/>
        <v>32716284.571404841</v>
      </c>
      <c r="G108" s="150">
        <f t="shared" si="53"/>
        <v>36708004.470487446</v>
      </c>
      <c r="H108" s="150">
        <f t="shared" si="53"/>
        <v>41152392.049849376</v>
      </c>
      <c r="I108" s="150">
        <f t="shared" si="53"/>
        <v>45953399.856523752</v>
      </c>
      <c r="J108" s="150">
        <f t="shared" si="53"/>
        <v>51205715.653665632</v>
      </c>
      <c r="K108" s="151">
        <f t="shared" si="53"/>
        <v>56912032.710793599</v>
      </c>
    </row>
    <row r="109" spans="1:11" ht="14" x14ac:dyDescent="0.15">
      <c r="A109" s="123"/>
      <c r="B109" s="124"/>
      <c r="C109" s="124"/>
      <c r="D109" s="124"/>
      <c r="E109" s="124"/>
      <c r="F109" s="124"/>
      <c r="G109" s="124"/>
      <c r="H109" s="124"/>
      <c r="I109" s="124"/>
      <c r="J109" s="124"/>
      <c r="K109" s="124"/>
    </row>
    <row r="111" spans="1:11" x14ac:dyDescent="0.15">
      <c r="A111" s="47" t="s">
        <v>173</v>
      </c>
      <c r="B111" s="126">
        <v>0.02</v>
      </c>
    </row>
    <row r="112" spans="1:11" x14ac:dyDescent="0.15">
      <c r="A112" s="47" t="s">
        <v>174</v>
      </c>
      <c r="B112" s="129">
        <f>B31</f>
        <v>1.5135804007325827E-2</v>
      </c>
    </row>
    <row r="113" spans="1:12" x14ac:dyDescent="0.15">
      <c r="A113" s="47" t="s">
        <v>41</v>
      </c>
      <c r="B113" s="83">
        <f>'Income Statement'!K42</f>
        <v>992000</v>
      </c>
    </row>
    <row r="114" spans="1:12" x14ac:dyDescent="0.15">
      <c r="A114" s="47" t="s">
        <v>212</v>
      </c>
      <c r="B114" s="83">
        <f>B113*'Stock Prices'!F122</f>
        <v>385878070.07999998</v>
      </c>
    </row>
    <row r="116" spans="1:12" ht="14" thickBot="1" x14ac:dyDescent="0.2"/>
    <row r="117" spans="1:12" ht="14" thickBot="1" x14ac:dyDescent="0.2">
      <c r="A117" s="176" t="s">
        <v>122</v>
      </c>
      <c r="B117" s="177"/>
      <c r="C117" s="177"/>
      <c r="D117" s="177"/>
      <c r="E117" s="177"/>
      <c r="F117" s="177"/>
      <c r="G117" s="177"/>
      <c r="H117" s="177"/>
      <c r="I117" s="177"/>
      <c r="J117" s="177"/>
      <c r="K117" s="178"/>
    </row>
    <row r="118" spans="1:12" ht="14" x14ac:dyDescent="0.15">
      <c r="A118" s="49" t="s">
        <v>4</v>
      </c>
      <c r="B118" s="6" t="s">
        <v>6</v>
      </c>
      <c r="C118" s="6" t="s">
        <v>5</v>
      </c>
      <c r="D118" s="6" t="s">
        <v>92</v>
      </c>
      <c r="E118" s="6" t="s">
        <v>93</v>
      </c>
      <c r="F118" s="6" t="s">
        <v>94</v>
      </c>
      <c r="G118" s="6" t="s">
        <v>95</v>
      </c>
      <c r="H118" s="6" t="s">
        <v>96</v>
      </c>
      <c r="I118" s="6" t="s">
        <v>97</v>
      </c>
      <c r="J118" s="6" t="s">
        <v>98</v>
      </c>
      <c r="K118" s="50" t="s">
        <v>99</v>
      </c>
    </row>
    <row r="119" spans="1:12" x14ac:dyDescent="0.15">
      <c r="A119" s="77"/>
      <c r="D119" s="41">
        <v>1</v>
      </c>
      <c r="E119" s="41">
        <v>2</v>
      </c>
      <c r="F119" s="41">
        <v>3</v>
      </c>
      <c r="G119" s="41">
        <v>4</v>
      </c>
      <c r="H119" s="41">
        <v>5</v>
      </c>
      <c r="I119" s="41">
        <v>6</v>
      </c>
      <c r="J119" s="41">
        <v>7</v>
      </c>
      <c r="K119" s="78">
        <v>8</v>
      </c>
    </row>
    <row r="120" spans="1:12" ht="15" thickBot="1" x14ac:dyDescent="0.2">
      <c r="A120" s="65" t="s">
        <v>21</v>
      </c>
      <c r="B120" s="66" t="s">
        <v>22</v>
      </c>
      <c r="C120" s="66" t="s">
        <v>22</v>
      </c>
      <c r="D120" s="66" t="s">
        <v>22</v>
      </c>
      <c r="E120" s="66" t="s">
        <v>22</v>
      </c>
      <c r="F120" s="66" t="s">
        <v>22</v>
      </c>
      <c r="G120" s="66" t="s">
        <v>22</v>
      </c>
      <c r="H120" s="66" t="s">
        <v>22</v>
      </c>
      <c r="I120" s="66" t="s">
        <v>22</v>
      </c>
      <c r="J120" s="66" t="s">
        <v>22</v>
      </c>
      <c r="K120" s="67" t="s">
        <v>22</v>
      </c>
    </row>
    <row r="121" spans="1:12" x14ac:dyDescent="0.15">
      <c r="A121" s="68" t="s">
        <v>117</v>
      </c>
      <c r="B121" s="128">
        <f>B52+B20-B56</f>
        <v>23881000</v>
      </c>
      <c r="C121" s="128">
        <f t="shared" ref="C121:K121" si="54">C52+C20-C56</f>
        <v>24949000</v>
      </c>
      <c r="D121" s="128">
        <f t="shared" si="54"/>
        <v>26182002.54341843</v>
      </c>
      <c r="E121" s="128">
        <f t="shared" si="54"/>
        <v>30027042.171038393</v>
      </c>
      <c r="F121" s="128">
        <f t="shared" si="54"/>
        <v>33944977.504620746</v>
      </c>
      <c r="G121" s="128">
        <f t="shared" si="54"/>
        <v>38236180.527346909</v>
      </c>
      <c r="H121" s="128">
        <f t="shared" si="54"/>
        <v>42932726.496864483</v>
      </c>
      <c r="I121" s="128">
        <f t="shared" si="54"/>
        <v>48069305.645310923</v>
      </c>
      <c r="J121" s="128">
        <f t="shared" si="54"/>
        <v>53683431.035637468</v>
      </c>
      <c r="K121" s="52">
        <f t="shared" si="54"/>
        <v>59815662.867551185</v>
      </c>
    </row>
    <row r="122" spans="1:12" x14ac:dyDescent="0.15">
      <c r="A122" s="68" t="s">
        <v>124</v>
      </c>
      <c r="B122" s="128"/>
      <c r="C122" s="128">
        <f>C70-B70</f>
        <v>982000</v>
      </c>
      <c r="D122" s="128">
        <f t="shared" ref="D122:K122" si="55">D70-C70</f>
        <v>9192818.3922012672</v>
      </c>
      <c r="E122" s="128">
        <f t="shared" si="55"/>
        <v>4021768.3044577613</v>
      </c>
      <c r="F122" s="128">
        <f t="shared" si="55"/>
        <v>4280770.1832648367</v>
      </c>
      <c r="G122" s="128">
        <f t="shared" si="55"/>
        <v>4556451.7830671072</v>
      </c>
      <c r="H122" s="128">
        <f t="shared" si="55"/>
        <v>4849887.2778966129</v>
      </c>
      <c r="I122" s="128">
        <f t="shared" si="55"/>
        <v>5162220.0185931623</v>
      </c>
      <c r="J122" s="128">
        <f t="shared" si="55"/>
        <v>5494666.9877905548</v>
      </c>
      <c r="K122" s="52">
        <f t="shared" si="55"/>
        <v>5848523.5418042839</v>
      </c>
    </row>
    <row r="123" spans="1:12" x14ac:dyDescent="0.15">
      <c r="A123" s="68" t="s">
        <v>118</v>
      </c>
      <c r="B123" s="128"/>
      <c r="C123" s="128">
        <f>(C69-C77)-(B69-B77)</f>
        <v>-1601000</v>
      </c>
      <c r="D123" s="128">
        <f t="shared" ref="D123:K123" si="56">(D69-D77)-(C69-C77)</f>
        <v>5633589.7200606912</v>
      </c>
      <c r="E123" s="128">
        <f t="shared" si="56"/>
        <v>198286.58424155042</v>
      </c>
      <c r="F123" s="128">
        <f t="shared" si="56"/>
        <v>2642280.302361358</v>
      </c>
      <c r="G123" s="128">
        <f t="shared" si="56"/>
        <v>1630575.780181285</v>
      </c>
      <c r="H123" s="128">
        <f t="shared" si="56"/>
        <v>2448755.6558599807</v>
      </c>
      <c r="I123" s="128">
        <f t="shared" si="56"/>
        <v>2338416.8985679373</v>
      </c>
      <c r="J123" s="128">
        <f t="shared" si="56"/>
        <v>2742686.7658533193</v>
      </c>
      <c r="K123" s="52">
        <f t="shared" si="56"/>
        <v>2910669.4528705627</v>
      </c>
    </row>
    <row r="124" spans="1:12" ht="15" thickBot="1" x14ac:dyDescent="0.2">
      <c r="A124" s="69" t="s">
        <v>121</v>
      </c>
      <c r="B124" s="58"/>
      <c r="C124" s="58">
        <f>C121-C122-C123</f>
        <v>25568000</v>
      </c>
      <c r="D124" s="58">
        <f t="shared" ref="D124:K124" si="57">D121-D122-D123</f>
        <v>11355594.431156471</v>
      </c>
      <c r="E124" s="58">
        <f t="shared" si="57"/>
        <v>25806987.282339081</v>
      </c>
      <c r="F124" s="58">
        <f t="shared" si="57"/>
        <v>27021927.018994551</v>
      </c>
      <c r="G124" s="58">
        <f t="shared" si="57"/>
        <v>32049152.964098517</v>
      </c>
      <c r="H124" s="58">
        <f t="shared" si="57"/>
        <v>35634083.563107893</v>
      </c>
      <c r="I124" s="58">
        <f t="shared" si="57"/>
        <v>40568668.728149824</v>
      </c>
      <c r="J124" s="58">
        <f t="shared" si="57"/>
        <v>45446077.281993598</v>
      </c>
      <c r="K124" s="59">
        <f t="shared" si="57"/>
        <v>51056469.872876339</v>
      </c>
    </row>
    <row r="126" spans="1:12" x14ac:dyDescent="0.15">
      <c r="K126" s="76">
        <f>(K124*(1+B111))/(B112-B111)</f>
        <v>-10706311865.057749</v>
      </c>
      <c r="L126" s="41" t="s">
        <v>126</v>
      </c>
    </row>
    <row r="127" spans="1:12" x14ac:dyDescent="0.15">
      <c r="A127" s="41"/>
      <c r="K127" s="46">
        <f>K124+K126</f>
        <v>-10655255395.184872</v>
      </c>
      <c r="L127" s="19" t="s">
        <v>128</v>
      </c>
    </row>
    <row r="128" spans="1:12" x14ac:dyDescent="0.15">
      <c r="A128" s="41" t="s">
        <v>125</v>
      </c>
      <c r="B128" s="76">
        <f>SUM(D128:K128)</f>
        <v>248552933.9115082</v>
      </c>
      <c r="D128" s="46">
        <f>D124/(1+$B$112)^D119</f>
        <v>11186281.073260739</v>
      </c>
      <c r="E128" s="46">
        <f t="shared" ref="E128:J128" si="58">E124/(1+$B$112)^E119</f>
        <v>25043153.554261696</v>
      </c>
      <c r="F128" s="46">
        <f t="shared" si="58"/>
        <v>25831158.226144705</v>
      </c>
      <c r="G128" s="46">
        <f t="shared" si="58"/>
        <v>30180051.267393891</v>
      </c>
      <c r="H128" s="46">
        <f t="shared" si="58"/>
        <v>33055586.385556139</v>
      </c>
      <c r="I128" s="46">
        <f t="shared" si="58"/>
        <v>37071988.553068735</v>
      </c>
      <c r="J128" s="46">
        <f t="shared" si="58"/>
        <v>40909802.501866654</v>
      </c>
      <c r="K128" s="46">
        <f>K124/(1+$B$112)^K119</f>
        <v>45274912.349955693</v>
      </c>
    </row>
    <row r="129" spans="1:11" x14ac:dyDescent="0.15">
      <c r="A129" s="19"/>
    </row>
    <row r="130" spans="1:11" x14ac:dyDescent="0.15">
      <c r="A130" s="41" t="s">
        <v>127</v>
      </c>
      <c r="B130" s="46">
        <f>B128/B113</f>
        <v>250.55739305595586</v>
      </c>
    </row>
    <row r="132" spans="1:11" x14ac:dyDescent="0.15">
      <c r="A132" s="19" t="s">
        <v>129</v>
      </c>
      <c r="B132" s="46">
        <f>D79-D76-D65</f>
        <v>67742967.146209642</v>
      </c>
    </row>
    <row r="134" spans="1:11" x14ac:dyDescent="0.15">
      <c r="A134" s="41" t="s">
        <v>131</v>
      </c>
      <c r="B134" s="79">
        <f>B128-B132</f>
        <v>180809966.76529855</v>
      </c>
    </row>
    <row r="136" spans="1:11" x14ac:dyDescent="0.15">
      <c r="A136" s="41" t="s">
        <v>130</v>
      </c>
      <c r="B136" s="79">
        <f>B134/B113</f>
        <v>182.26811165856708</v>
      </c>
    </row>
    <row r="139" spans="1:11" x14ac:dyDescent="0.15">
      <c r="A139" s="41" t="s">
        <v>243</v>
      </c>
    </row>
    <row r="140" spans="1:11" x14ac:dyDescent="0.15">
      <c r="A140" s="19" t="s">
        <v>106</v>
      </c>
      <c r="B140" s="117">
        <f>B28*B78</f>
        <v>0</v>
      </c>
      <c r="C140" s="117">
        <f>C28*C78</f>
        <v>0</v>
      </c>
      <c r="D140" s="117">
        <f t="shared" ref="D140:K140" si="59">D28*C141</f>
        <v>0</v>
      </c>
      <c r="E140" s="117">
        <f t="shared" si="59"/>
        <v>0</v>
      </c>
      <c r="F140" s="117">
        <f t="shared" si="59"/>
        <v>0</v>
      </c>
      <c r="G140" s="117">
        <f t="shared" si="59"/>
        <v>0</v>
      </c>
      <c r="H140" s="117">
        <f t="shared" si="59"/>
        <v>0</v>
      </c>
      <c r="I140" s="117">
        <f t="shared" si="59"/>
        <v>0</v>
      </c>
      <c r="J140" s="117">
        <f t="shared" si="59"/>
        <v>0</v>
      </c>
      <c r="K140" s="117">
        <f t="shared" si="59"/>
        <v>0</v>
      </c>
    </row>
    <row r="141" spans="1:11" x14ac:dyDescent="0.15">
      <c r="A141" s="19" t="s">
        <v>244</v>
      </c>
      <c r="B141" s="117">
        <f>B78</f>
        <v>51773000</v>
      </c>
      <c r="C141" s="117">
        <f>C78</f>
        <v>53471000</v>
      </c>
      <c r="D141" s="117">
        <f t="shared" ref="D141:K141" si="60">C141+D105</f>
        <v>53471000</v>
      </c>
      <c r="E141" s="117">
        <f t="shared" si="60"/>
        <v>53471000</v>
      </c>
      <c r="F141" s="117">
        <f t="shared" si="60"/>
        <v>53471000</v>
      </c>
      <c r="G141" s="117">
        <f t="shared" si="60"/>
        <v>53471000</v>
      </c>
      <c r="H141" s="117">
        <f t="shared" si="60"/>
        <v>53471000</v>
      </c>
      <c r="I141" s="117">
        <f t="shared" si="60"/>
        <v>53471000</v>
      </c>
      <c r="J141" s="117">
        <f t="shared" si="60"/>
        <v>53471000</v>
      </c>
      <c r="K141" s="117">
        <f t="shared" si="60"/>
        <v>53471000</v>
      </c>
    </row>
    <row r="142" spans="1:11" x14ac:dyDescent="0.15">
      <c r="A142" s="19" t="s">
        <v>245</v>
      </c>
      <c r="B142" s="117">
        <f>B77+B78</f>
        <v>74883000</v>
      </c>
      <c r="C142" s="117">
        <f t="shared" ref="C142:K142" si="61">C77+C78</f>
        <v>75486000</v>
      </c>
      <c r="D142" s="117">
        <f t="shared" si="61"/>
        <v>76428675.577729955</v>
      </c>
      <c r="E142" s="117">
        <f t="shared" si="61"/>
        <v>77546842.684935763</v>
      </c>
      <c r="F142" s="117">
        <f t="shared" si="61"/>
        <v>78853567.553845629</v>
      </c>
      <c r="G142" s="117">
        <f t="shared" si="61"/>
        <v>80186171.604313284</v>
      </c>
      <c r="H142" s="117">
        <f t="shared" si="61"/>
        <v>81633732.305631071</v>
      </c>
      <c r="I142" s="117">
        <f t="shared" si="61"/>
        <v>83159947.44111371</v>
      </c>
      <c r="J142" s="117">
        <f t="shared" si="61"/>
        <v>84791735.06882143</v>
      </c>
      <c r="K142" s="117">
        <f t="shared" si="61"/>
        <v>86524967.701003522</v>
      </c>
    </row>
  </sheetData>
  <sheetProtection formatCells="0" formatColumns="0" formatRows="0" insertColumns="0" insertRows="0" insertHyperlinks="0" deleteColumns="0" deleteRows="0" sort="0" autoFilter="0" pivotTables="0"/>
  <mergeCells count="5">
    <mergeCell ref="A42:K42"/>
    <mergeCell ref="A62:K62"/>
    <mergeCell ref="A117:K117"/>
    <mergeCell ref="A85:K85"/>
    <mergeCell ref="A93:K93"/>
  </mergeCells>
  <pageMargins left="0.7" right="0.7" top="0.75" bottom="0.75" header="0.3" footer="0.3"/>
  <pageSetup orientation="portrait"/>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2B6E-A170-CA4A-BFA3-07F14A77809B}">
  <dimension ref="A1:AB122"/>
  <sheetViews>
    <sheetView zoomScale="140" zoomScaleNormal="140" workbookViewId="0">
      <selection activeCell="F21" sqref="F21"/>
    </sheetView>
  </sheetViews>
  <sheetFormatPr baseColWidth="10" defaultRowHeight="16" x14ac:dyDescent="0.2"/>
  <cols>
    <col min="1" max="16384" width="10.83203125" style="92"/>
  </cols>
  <sheetData>
    <row r="1" spans="1:28" x14ac:dyDescent="0.2">
      <c r="A1" s="180" t="s">
        <v>191</v>
      </c>
      <c r="B1" s="180"/>
      <c r="C1" s="180"/>
      <c r="D1" s="180"/>
      <c r="E1" s="180"/>
      <c r="F1" s="180"/>
      <c r="G1" s="180"/>
      <c r="H1" s="181" t="s">
        <v>194</v>
      </c>
      <c r="I1" s="182"/>
      <c r="J1" s="182"/>
      <c r="K1" s="182"/>
      <c r="L1" s="182"/>
      <c r="M1" s="182"/>
      <c r="N1" s="182"/>
      <c r="O1" s="181" t="s">
        <v>192</v>
      </c>
      <c r="P1" s="182"/>
      <c r="Q1" s="182"/>
      <c r="R1" s="182"/>
      <c r="S1" s="182"/>
      <c r="T1" s="182"/>
      <c r="U1" s="183"/>
      <c r="V1" s="181" t="s">
        <v>193</v>
      </c>
      <c r="W1" s="182"/>
      <c r="X1" s="182"/>
      <c r="Y1" s="182"/>
      <c r="Z1" s="182"/>
      <c r="AA1" s="182"/>
      <c r="AB1" s="183"/>
    </row>
    <row r="2" spans="1:28" x14ac:dyDescent="0.2">
      <c r="A2" s="92" t="s">
        <v>195</v>
      </c>
      <c r="B2" s="92" t="s">
        <v>196</v>
      </c>
      <c r="C2" s="92" t="s">
        <v>197</v>
      </c>
      <c r="D2" s="92" t="s">
        <v>198</v>
      </c>
      <c r="E2" s="92" t="s">
        <v>199</v>
      </c>
      <c r="F2" s="92" t="s">
        <v>200</v>
      </c>
      <c r="G2" s="92" t="s">
        <v>201</v>
      </c>
      <c r="H2" s="93" t="s">
        <v>195</v>
      </c>
      <c r="I2" s="92" t="s">
        <v>196</v>
      </c>
      <c r="J2" s="92" t="s">
        <v>197</v>
      </c>
      <c r="K2" s="92" t="s">
        <v>198</v>
      </c>
      <c r="L2" s="92" t="s">
        <v>199</v>
      </c>
      <c r="M2" s="92" t="s">
        <v>200</v>
      </c>
      <c r="N2" s="92" t="s">
        <v>201</v>
      </c>
      <c r="O2" s="94" t="s">
        <v>195</v>
      </c>
      <c r="P2" s="95" t="s">
        <v>196</v>
      </c>
      <c r="Q2" s="95" t="s">
        <v>197</v>
      </c>
      <c r="R2" s="95" t="s">
        <v>198</v>
      </c>
      <c r="S2" s="95" t="s">
        <v>199</v>
      </c>
      <c r="T2" s="95" t="s">
        <v>200</v>
      </c>
      <c r="U2" s="96" t="s">
        <v>201</v>
      </c>
      <c r="V2" s="93" t="s">
        <v>195</v>
      </c>
      <c r="W2" s="92" t="s">
        <v>196</v>
      </c>
      <c r="X2" s="92" t="s">
        <v>197</v>
      </c>
      <c r="Y2" s="92" t="s">
        <v>198</v>
      </c>
      <c r="Z2" s="92" t="s">
        <v>199</v>
      </c>
      <c r="AA2" s="92" t="s">
        <v>200</v>
      </c>
      <c r="AB2" s="97" t="s">
        <v>201</v>
      </c>
    </row>
    <row r="3" spans="1:28" x14ac:dyDescent="0.2">
      <c r="A3" s="98">
        <v>42005</v>
      </c>
      <c r="B3" s="92">
        <v>105.160004</v>
      </c>
      <c r="C3" s="92">
        <v>107.739998</v>
      </c>
      <c r="D3" s="92">
        <v>100.239998</v>
      </c>
      <c r="E3" s="92">
        <v>104.41999800000001</v>
      </c>
      <c r="F3" s="92">
        <v>82.677825999999996</v>
      </c>
      <c r="G3" s="92">
        <v>109808700</v>
      </c>
      <c r="H3" s="99">
        <v>42005</v>
      </c>
      <c r="I3" s="92">
        <v>69</v>
      </c>
      <c r="J3" s="92">
        <v>71.110000999999997</v>
      </c>
      <c r="K3" s="92">
        <v>65.360000999999997</v>
      </c>
      <c r="L3" s="92">
        <v>67.760002</v>
      </c>
      <c r="M3" s="92">
        <v>56.408324999999998</v>
      </c>
      <c r="N3" s="92">
        <v>112944500</v>
      </c>
      <c r="O3" s="100">
        <v>42005</v>
      </c>
      <c r="P3" s="95">
        <v>28.756665999999999</v>
      </c>
      <c r="Q3" s="95">
        <v>30.323333999999999</v>
      </c>
      <c r="R3" s="95">
        <v>28.299999</v>
      </c>
      <c r="S3" s="95">
        <v>28.326668000000002</v>
      </c>
      <c r="T3" s="95">
        <v>23.190429999999999</v>
      </c>
      <c r="U3" s="96">
        <v>476783100</v>
      </c>
      <c r="V3" s="93"/>
      <c r="AB3" s="97"/>
    </row>
    <row r="4" spans="1:28" x14ac:dyDescent="0.2">
      <c r="A4" s="98">
        <v>42036</v>
      </c>
      <c r="B4" s="92">
        <v>104.779999</v>
      </c>
      <c r="C4" s="92">
        <v>117.91999800000001</v>
      </c>
      <c r="D4" s="92">
        <v>101.57</v>
      </c>
      <c r="E4" s="92">
        <v>114.75</v>
      </c>
      <c r="F4" s="92">
        <v>90.856917999999993</v>
      </c>
      <c r="G4" s="92">
        <v>110415700</v>
      </c>
      <c r="H4" s="99">
        <v>42036</v>
      </c>
      <c r="I4" s="92">
        <v>67.580001999999993</v>
      </c>
      <c r="J4" s="92">
        <v>75.980002999999996</v>
      </c>
      <c r="K4" s="92">
        <v>66.169998000000007</v>
      </c>
      <c r="L4" s="92">
        <v>74.089995999999999</v>
      </c>
      <c r="M4" s="92">
        <v>61.892437000000001</v>
      </c>
      <c r="N4" s="92">
        <v>93874300</v>
      </c>
      <c r="O4" s="100">
        <v>42036</v>
      </c>
      <c r="P4" s="95">
        <v>28.263331999999998</v>
      </c>
      <c r="Q4" s="95">
        <v>29.333331999999999</v>
      </c>
      <c r="R4" s="95">
        <v>27.516666000000001</v>
      </c>
      <c r="S4" s="95">
        <v>27.976666999999999</v>
      </c>
      <c r="T4" s="95">
        <v>22.903898000000002</v>
      </c>
      <c r="U4" s="96">
        <v>415621500</v>
      </c>
      <c r="V4" s="93"/>
      <c r="AB4" s="97"/>
    </row>
    <row r="5" spans="1:28" x14ac:dyDescent="0.2">
      <c r="A5" s="98">
        <v>42064</v>
      </c>
      <c r="B5" s="92">
        <v>114.860001</v>
      </c>
      <c r="C5" s="92">
        <v>117.989998</v>
      </c>
      <c r="D5" s="92">
        <v>111.58000199999999</v>
      </c>
      <c r="E5" s="92">
        <v>113.610001</v>
      </c>
      <c r="F5" s="92">
        <v>89.954300000000003</v>
      </c>
      <c r="G5" s="92">
        <v>104110600</v>
      </c>
      <c r="H5" s="99">
        <v>42064</v>
      </c>
      <c r="I5" s="92">
        <v>73.519997000000004</v>
      </c>
      <c r="J5" s="92">
        <v>76.25</v>
      </c>
      <c r="K5" s="92">
        <v>72.480002999999996</v>
      </c>
      <c r="L5" s="92">
        <v>74.389999000000003</v>
      </c>
      <c r="M5" s="92">
        <v>62.143073999999999</v>
      </c>
      <c r="N5" s="92">
        <v>103215100</v>
      </c>
      <c r="O5" s="100">
        <v>42064</v>
      </c>
      <c r="P5" s="95">
        <v>27.976666999999999</v>
      </c>
      <c r="Q5" s="95">
        <v>28</v>
      </c>
      <c r="R5" s="95">
        <v>26.846665999999999</v>
      </c>
      <c r="S5" s="95">
        <v>27.416668000000001</v>
      </c>
      <c r="T5" s="95">
        <v>22.445426999999999</v>
      </c>
      <c r="U5" s="96">
        <v>427599000</v>
      </c>
      <c r="V5" s="93"/>
      <c r="AB5" s="97"/>
    </row>
    <row r="6" spans="1:28" x14ac:dyDescent="0.2">
      <c r="A6" s="98">
        <v>42095</v>
      </c>
      <c r="B6" s="92">
        <v>113.879997</v>
      </c>
      <c r="C6" s="92">
        <v>116.25</v>
      </c>
      <c r="D6" s="92">
        <v>106.620003</v>
      </c>
      <c r="E6" s="92">
        <v>106.980003</v>
      </c>
      <c r="F6" s="92">
        <v>85.140640000000005</v>
      </c>
      <c r="G6" s="92">
        <v>95675500</v>
      </c>
      <c r="H6" s="99">
        <v>42095</v>
      </c>
      <c r="I6" s="92">
        <v>74.319999999999993</v>
      </c>
      <c r="J6" s="92">
        <v>75.639999000000003</v>
      </c>
      <c r="K6" s="92">
        <v>68.599997999999999</v>
      </c>
      <c r="L6" s="92">
        <v>68.860000999999997</v>
      </c>
      <c r="M6" s="92">
        <v>57.523453000000003</v>
      </c>
      <c r="N6" s="92">
        <v>90452300</v>
      </c>
      <c r="O6" s="100">
        <v>42095</v>
      </c>
      <c r="P6" s="95">
        <v>27.426666000000001</v>
      </c>
      <c r="Q6" s="95">
        <v>27.426666000000001</v>
      </c>
      <c r="R6" s="95">
        <v>25.85</v>
      </c>
      <c r="S6" s="95">
        <v>26.016666000000001</v>
      </c>
      <c r="T6" s="95">
        <v>21.427204</v>
      </c>
      <c r="U6" s="96">
        <v>431055300</v>
      </c>
      <c r="V6" s="93"/>
      <c r="AB6" s="97"/>
    </row>
    <row r="7" spans="1:28" x14ac:dyDescent="0.2">
      <c r="A7" s="98">
        <v>42125</v>
      </c>
      <c r="B7" s="92">
        <v>106.980003</v>
      </c>
      <c r="C7" s="92">
        <v>116.480003</v>
      </c>
      <c r="D7" s="92">
        <v>106.849998</v>
      </c>
      <c r="E7" s="92">
        <v>111.41999800000001</v>
      </c>
      <c r="F7" s="92">
        <v>88.674239999999998</v>
      </c>
      <c r="G7" s="92">
        <v>100397400</v>
      </c>
      <c r="H7" s="99">
        <v>42125</v>
      </c>
      <c r="I7" s="92">
        <v>67.669998000000007</v>
      </c>
      <c r="J7" s="92">
        <v>73.930000000000007</v>
      </c>
      <c r="K7" s="92">
        <v>67.599997999999999</v>
      </c>
      <c r="L7" s="92">
        <v>69.980002999999996</v>
      </c>
      <c r="M7" s="92">
        <v>58.645015999999998</v>
      </c>
      <c r="N7" s="92">
        <v>116898300</v>
      </c>
      <c r="O7" s="100">
        <v>42125</v>
      </c>
      <c r="P7" s="95">
        <v>26.066668</v>
      </c>
      <c r="Q7" s="95">
        <v>26.646667000000001</v>
      </c>
      <c r="R7" s="95">
        <v>24.716667000000001</v>
      </c>
      <c r="S7" s="95">
        <v>24.756665999999999</v>
      </c>
      <c r="T7" s="95">
        <v>20.389479000000001</v>
      </c>
      <c r="U7" s="96">
        <v>453377100</v>
      </c>
      <c r="V7" s="93"/>
      <c r="AB7" s="97"/>
    </row>
    <row r="8" spans="1:28" x14ac:dyDescent="0.2">
      <c r="A8" s="98">
        <v>42156</v>
      </c>
      <c r="B8" s="92">
        <v>111.970001</v>
      </c>
      <c r="C8" s="92">
        <v>113.709999</v>
      </c>
      <c r="D8" s="92">
        <v>109.029999</v>
      </c>
      <c r="E8" s="92">
        <v>111.129997</v>
      </c>
      <c r="F8" s="92">
        <v>88.443443000000002</v>
      </c>
      <c r="G8" s="92">
        <v>104809700</v>
      </c>
      <c r="H8" s="99">
        <v>42156</v>
      </c>
      <c r="I8" s="92">
        <v>69.959998999999996</v>
      </c>
      <c r="J8" s="92">
        <v>71.080001999999993</v>
      </c>
      <c r="K8" s="92">
        <v>66.690002000000007</v>
      </c>
      <c r="L8" s="92">
        <v>66.970000999999996</v>
      </c>
      <c r="M8" s="92">
        <v>56.122543</v>
      </c>
      <c r="N8" s="92">
        <v>111233300</v>
      </c>
      <c r="O8" s="100">
        <v>42156</v>
      </c>
      <c r="P8" s="95">
        <v>24.896667000000001</v>
      </c>
      <c r="Q8" s="95">
        <v>25.066668</v>
      </c>
      <c r="R8" s="95">
        <v>23.593332</v>
      </c>
      <c r="S8" s="95">
        <v>23.643332999999998</v>
      </c>
      <c r="T8" s="95">
        <v>19.595448000000001</v>
      </c>
      <c r="U8" s="96">
        <v>529697100</v>
      </c>
      <c r="V8" s="93"/>
      <c r="AB8" s="97"/>
    </row>
    <row r="9" spans="1:28" x14ac:dyDescent="0.2">
      <c r="A9" s="98">
        <v>42186</v>
      </c>
      <c r="B9" s="92">
        <v>112.449997</v>
      </c>
      <c r="C9" s="92">
        <v>118.129997</v>
      </c>
      <c r="D9" s="92">
        <v>110.16999800000001</v>
      </c>
      <c r="E9" s="92">
        <v>117.029999</v>
      </c>
      <c r="F9" s="92">
        <v>93.633713</v>
      </c>
      <c r="G9" s="92">
        <v>97800100</v>
      </c>
      <c r="H9" s="99">
        <v>42186</v>
      </c>
      <c r="I9" s="92">
        <v>67.449996999999996</v>
      </c>
      <c r="J9" s="92">
        <v>69.800003000000004</v>
      </c>
      <c r="K9" s="92">
        <v>65.830001999999993</v>
      </c>
      <c r="L9" s="92">
        <v>69.360000999999997</v>
      </c>
      <c r="M9" s="92">
        <v>58.125419999999998</v>
      </c>
      <c r="N9" s="92">
        <v>112697900</v>
      </c>
      <c r="O9" s="100">
        <v>42186</v>
      </c>
      <c r="P9" s="95">
        <v>23.866667</v>
      </c>
      <c r="Q9" s="95">
        <v>24.713332999999999</v>
      </c>
      <c r="R9" s="95">
        <v>23.453333000000001</v>
      </c>
      <c r="S9" s="95">
        <v>23.993334000000001</v>
      </c>
      <c r="T9" s="95">
        <v>19.885517</v>
      </c>
      <c r="U9" s="96">
        <v>451261200</v>
      </c>
      <c r="V9" s="93"/>
      <c r="AB9" s="97"/>
    </row>
    <row r="10" spans="1:28" x14ac:dyDescent="0.2">
      <c r="A10" s="98">
        <v>42217</v>
      </c>
      <c r="B10" s="92">
        <v>117.620003</v>
      </c>
      <c r="C10" s="92">
        <v>123.800003</v>
      </c>
      <c r="D10" s="92">
        <v>92.169998000000007</v>
      </c>
      <c r="E10" s="92">
        <v>116.459999</v>
      </c>
      <c r="F10" s="92">
        <v>93.177657999999994</v>
      </c>
      <c r="G10" s="92">
        <v>135234000</v>
      </c>
      <c r="H10" s="99">
        <v>42217</v>
      </c>
      <c r="I10" s="92">
        <v>69.169998000000007</v>
      </c>
      <c r="J10" s="92">
        <v>74.779999000000004</v>
      </c>
      <c r="K10" s="92">
        <v>64.220000999999996</v>
      </c>
      <c r="L10" s="92">
        <v>69.169998000000007</v>
      </c>
      <c r="M10" s="92">
        <v>58.207526999999999</v>
      </c>
      <c r="N10" s="92">
        <v>139029100</v>
      </c>
      <c r="O10" s="100">
        <v>42217</v>
      </c>
      <c r="P10" s="95">
        <v>23.946667000000001</v>
      </c>
      <c r="Q10" s="95">
        <v>24.563334000000001</v>
      </c>
      <c r="R10" s="95">
        <v>20.5</v>
      </c>
      <c r="S10" s="95">
        <v>21.576668000000002</v>
      </c>
      <c r="T10" s="95">
        <v>17.882598999999999</v>
      </c>
      <c r="U10" s="96">
        <v>682083300</v>
      </c>
      <c r="V10" s="93"/>
      <c r="AB10" s="97"/>
    </row>
    <row r="11" spans="1:28" x14ac:dyDescent="0.2">
      <c r="A11" s="98">
        <v>42248</v>
      </c>
      <c r="B11" s="92">
        <v>113.989998</v>
      </c>
      <c r="C11" s="92">
        <v>119.82</v>
      </c>
      <c r="D11" s="92">
        <v>111.800003</v>
      </c>
      <c r="E11" s="92">
        <v>115.489998</v>
      </c>
      <c r="F11" s="92">
        <v>92.401557999999994</v>
      </c>
      <c r="G11" s="92">
        <v>122128700</v>
      </c>
      <c r="H11" s="99">
        <v>42248</v>
      </c>
      <c r="I11" s="92">
        <v>67.879997000000003</v>
      </c>
      <c r="J11" s="92">
        <v>71.589995999999999</v>
      </c>
      <c r="K11" s="92">
        <v>66.220000999999996</v>
      </c>
      <c r="L11" s="92">
        <v>68.919998000000007</v>
      </c>
      <c r="M11" s="92">
        <v>57.997169</v>
      </c>
      <c r="N11" s="92">
        <v>94053800</v>
      </c>
      <c r="O11" s="100">
        <v>42248</v>
      </c>
      <c r="P11" s="95">
        <v>21.266666000000001</v>
      </c>
      <c r="Q11" s="95">
        <v>22.336666000000001</v>
      </c>
      <c r="R11" s="95">
        <v>20.973333</v>
      </c>
      <c r="S11" s="95">
        <v>21.613333000000001</v>
      </c>
      <c r="T11" s="95">
        <v>18.035302999999999</v>
      </c>
      <c r="U11" s="96">
        <v>572442000</v>
      </c>
      <c r="V11" s="93"/>
      <c r="AB11" s="97"/>
    </row>
    <row r="12" spans="1:28" x14ac:dyDescent="0.2">
      <c r="A12" s="98">
        <v>42278</v>
      </c>
      <c r="B12" s="92">
        <v>116.230003</v>
      </c>
      <c r="C12" s="92">
        <v>125.75</v>
      </c>
      <c r="D12" s="92">
        <v>114.709999</v>
      </c>
      <c r="E12" s="92">
        <v>123.639999</v>
      </c>
      <c r="F12" s="92">
        <v>99.425949000000003</v>
      </c>
      <c r="G12" s="92">
        <v>97180400</v>
      </c>
      <c r="H12" s="99">
        <v>42278</v>
      </c>
      <c r="I12" s="92">
        <v>69.040001000000004</v>
      </c>
      <c r="J12" s="92">
        <v>74.569999999999993</v>
      </c>
      <c r="K12" s="92">
        <v>68.160004000000001</v>
      </c>
      <c r="L12" s="92">
        <v>73.830001999999993</v>
      </c>
      <c r="M12" s="92">
        <v>62.128990000000002</v>
      </c>
      <c r="N12" s="92">
        <v>85356400</v>
      </c>
      <c r="O12" s="100">
        <v>42278</v>
      </c>
      <c r="P12" s="95">
        <v>21.586666000000001</v>
      </c>
      <c r="Q12" s="95">
        <v>22.65</v>
      </c>
      <c r="R12" s="95">
        <v>19.053332999999999</v>
      </c>
      <c r="S12" s="95">
        <v>19.079999999999998</v>
      </c>
      <c r="T12" s="95">
        <v>15.921355</v>
      </c>
      <c r="U12" s="96">
        <v>1041507000</v>
      </c>
      <c r="V12" s="93"/>
      <c r="AB12" s="97"/>
    </row>
    <row r="13" spans="1:28" x14ac:dyDescent="0.2">
      <c r="A13" s="98">
        <v>42309</v>
      </c>
      <c r="B13" s="92">
        <v>124.239998</v>
      </c>
      <c r="C13" s="92">
        <v>135.470001</v>
      </c>
      <c r="D13" s="92">
        <v>118.610001</v>
      </c>
      <c r="E13" s="92">
        <v>133.88000500000001</v>
      </c>
      <c r="F13" s="92">
        <v>107.66052999999999</v>
      </c>
      <c r="G13" s="92">
        <v>111416100</v>
      </c>
      <c r="H13" s="99">
        <v>42309</v>
      </c>
      <c r="I13" s="92">
        <v>73.900002000000001</v>
      </c>
      <c r="J13" s="92">
        <v>78.129997000000003</v>
      </c>
      <c r="K13" s="92">
        <v>69.75</v>
      </c>
      <c r="L13" s="92">
        <v>76.599997999999999</v>
      </c>
      <c r="M13" s="92">
        <v>64.708931000000007</v>
      </c>
      <c r="N13" s="92">
        <v>109613600</v>
      </c>
      <c r="O13" s="100">
        <v>42309</v>
      </c>
      <c r="P13" s="95">
        <v>19.096665999999999</v>
      </c>
      <c r="Q13" s="95">
        <v>20.49</v>
      </c>
      <c r="R13" s="95">
        <v>18.766666000000001</v>
      </c>
      <c r="S13" s="95">
        <v>19.613333000000001</v>
      </c>
      <c r="T13" s="95">
        <v>16.366396000000002</v>
      </c>
      <c r="U13" s="96">
        <v>673888200</v>
      </c>
      <c r="V13" s="93"/>
      <c r="AB13" s="97"/>
    </row>
    <row r="14" spans="1:28" x14ac:dyDescent="0.2">
      <c r="A14" s="98">
        <v>42339</v>
      </c>
      <c r="B14" s="92">
        <v>133.520004</v>
      </c>
      <c r="C14" s="92">
        <v>134.83000200000001</v>
      </c>
      <c r="D14" s="92">
        <v>130.009995</v>
      </c>
      <c r="E14" s="92">
        <v>132.25</v>
      </c>
      <c r="F14" s="92">
        <v>106.349716</v>
      </c>
      <c r="G14" s="92">
        <v>99749700</v>
      </c>
      <c r="H14" s="99">
        <v>42339</v>
      </c>
      <c r="I14" s="92">
        <v>76.910004000000001</v>
      </c>
      <c r="J14" s="92">
        <v>77.669998000000007</v>
      </c>
      <c r="K14" s="92">
        <v>73.870002999999997</v>
      </c>
      <c r="L14" s="92">
        <v>76.040001000000004</v>
      </c>
      <c r="M14" s="92">
        <v>64.235862999999995</v>
      </c>
      <c r="N14" s="92">
        <v>84586000</v>
      </c>
      <c r="O14" s="100">
        <v>42339</v>
      </c>
      <c r="P14" s="95">
        <v>19.709999</v>
      </c>
      <c r="Q14" s="95">
        <v>20.623332999999999</v>
      </c>
      <c r="R14" s="95">
        <v>19.440000999999999</v>
      </c>
      <c r="S14" s="95">
        <v>20.433332</v>
      </c>
      <c r="T14" s="95">
        <v>17.050650000000001</v>
      </c>
      <c r="U14" s="96">
        <v>680925300</v>
      </c>
      <c r="V14" s="93"/>
      <c r="AB14" s="97"/>
    </row>
    <row r="15" spans="1:28" x14ac:dyDescent="0.2">
      <c r="A15" s="98">
        <v>42370</v>
      </c>
      <c r="B15" s="92">
        <v>130.11000100000001</v>
      </c>
      <c r="C15" s="92">
        <v>131.94000199999999</v>
      </c>
      <c r="D15" s="92">
        <v>113.589996</v>
      </c>
      <c r="E15" s="92">
        <v>125.760002</v>
      </c>
      <c r="F15" s="92">
        <v>101.5784</v>
      </c>
      <c r="G15" s="92">
        <v>147050100</v>
      </c>
      <c r="H15" s="99">
        <v>42370</v>
      </c>
      <c r="I15" s="92">
        <v>74.690002000000007</v>
      </c>
      <c r="J15" s="92">
        <v>76.470000999999996</v>
      </c>
      <c r="K15" s="92">
        <v>66.930000000000007</v>
      </c>
      <c r="L15" s="92">
        <v>71.660004000000001</v>
      </c>
      <c r="M15" s="92">
        <v>60.535820000000001</v>
      </c>
      <c r="N15" s="92">
        <v>119578200</v>
      </c>
      <c r="O15" s="100">
        <v>42370</v>
      </c>
      <c r="P15" s="95">
        <v>20.166668000000001</v>
      </c>
      <c r="Q15" s="95">
        <v>22.176666000000001</v>
      </c>
      <c r="R15" s="95">
        <v>20.066668</v>
      </c>
      <c r="S15" s="95">
        <v>22.120000999999998</v>
      </c>
      <c r="T15" s="95">
        <v>18.612701000000001</v>
      </c>
      <c r="U15" s="96">
        <v>793997400</v>
      </c>
      <c r="V15" s="93"/>
      <c r="AB15" s="97"/>
    </row>
    <row r="16" spans="1:28" x14ac:dyDescent="0.2">
      <c r="A16" s="98">
        <v>42401</v>
      </c>
      <c r="B16" s="92">
        <v>124.91999800000001</v>
      </c>
      <c r="C16" s="92">
        <v>127.75</v>
      </c>
      <c r="D16" s="92">
        <v>109.620003</v>
      </c>
      <c r="E16" s="92">
        <v>124.120003</v>
      </c>
      <c r="F16" s="92">
        <v>100.253761</v>
      </c>
      <c r="G16" s="92">
        <v>135914000</v>
      </c>
      <c r="H16" s="99">
        <v>42401</v>
      </c>
      <c r="I16" s="92">
        <v>70.540001000000004</v>
      </c>
      <c r="J16" s="92">
        <v>72.889999000000003</v>
      </c>
      <c r="K16" s="92">
        <v>62.619999</v>
      </c>
      <c r="L16" s="92">
        <v>67.529999000000004</v>
      </c>
      <c r="M16" s="92">
        <v>57.276339999999998</v>
      </c>
      <c r="N16" s="92">
        <v>144319700</v>
      </c>
      <c r="O16" s="100">
        <v>42401</v>
      </c>
      <c r="P16" s="95">
        <v>21.969999000000001</v>
      </c>
      <c r="Q16" s="95">
        <v>22.733333999999999</v>
      </c>
      <c r="R16" s="95">
        <v>20.783332999999999</v>
      </c>
      <c r="S16" s="95">
        <v>22.113333000000001</v>
      </c>
      <c r="T16" s="95">
        <v>18.607092000000002</v>
      </c>
      <c r="U16" s="96">
        <v>789308100</v>
      </c>
      <c r="V16" s="93"/>
      <c r="AB16" s="97"/>
    </row>
    <row r="17" spans="1:28" x14ac:dyDescent="0.2">
      <c r="A17" s="98">
        <v>42430</v>
      </c>
      <c r="B17" s="92">
        <v>124.779999</v>
      </c>
      <c r="C17" s="92">
        <v>134.28999300000001</v>
      </c>
      <c r="D17" s="92">
        <v>123.980003</v>
      </c>
      <c r="E17" s="92">
        <v>133.429993</v>
      </c>
      <c r="F17" s="92">
        <v>107.773582</v>
      </c>
      <c r="G17" s="92">
        <v>94146700</v>
      </c>
      <c r="H17" s="99">
        <v>42430</v>
      </c>
      <c r="I17" s="92">
        <v>68.180000000000007</v>
      </c>
      <c r="J17" s="92">
        <v>76.379997000000003</v>
      </c>
      <c r="K17" s="92">
        <v>66.919998000000007</v>
      </c>
      <c r="L17" s="92">
        <v>75.75</v>
      </c>
      <c r="M17" s="92">
        <v>64.248192000000003</v>
      </c>
      <c r="N17" s="92">
        <v>99094400</v>
      </c>
      <c r="O17" s="100">
        <v>42430</v>
      </c>
      <c r="P17" s="95">
        <v>22.216667000000001</v>
      </c>
      <c r="Q17" s="95">
        <v>23.063334000000001</v>
      </c>
      <c r="R17" s="95">
        <v>21.626667000000001</v>
      </c>
      <c r="S17" s="95">
        <v>22.83</v>
      </c>
      <c r="T17" s="95">
        <v>19.210131000000001</v>
      </c>
      <c r="U17" s="96">
        <v>609323700</v>
      </c>
      <c r="V17" s="93"/>
      <c r="AB17" s="97"/>
    </row>
    <row r="18" spans="1:28" x14ac:dyDescent="0.2">
      <c r="A18" s="98">
        <v>42461</v>
      </c>
      <c r="B18" s="92">
        <v>133.10000600000001</v>
      </c>
      <c r="C18" s="92">
        <v>137</v>
      </c>
      <c r="D18" s="92">
        <v>131.75</v>
      </c>
      <c r="E18" s="92">
        <v>133.88999899999999</v>
      </c>
      <c r="F18" s="92">
        <v>108.73983</v>
      </c>
      <c r="G18" s="92">
        <v>82951100</v>
      </c>
      <c r="H18" s="99">
        <v>42461</v>
      </c>
      <c r="I18" s="92">
        <v>75.629997000000003</v>
      </c>
      <c r="J18" s="92">
        <v>77.629997000000003</v>
      </c>
      <c r="K18" s="92">
        <v>74.669998000000007</v>
      </c>
      <c r="L18" s="92">
        <v>76.019997000000004</v>
      </c>
      <c r="M18" s="92">
        <v>64.477226000000002</v>
      </c>
      <c r="N18" s="92">
        <v>83850200</v>
      </c>
      <c r="O18" s="100">
        <v>42461</v>
      </c>
      <c r="P18" s="95">
        <v>22.673331999999998</v>
      </c>
      <c r="Q18" s="95">
        <v>23.360001</v>
      </c>
      <c r="R18" s="95">
        <v>22.120000999999998</v>
      </c>
      <c r="S18" s="95">
        <v>22.290001</v>
      </c>
      <c r="T18" s="95">
        <v>18.894594000000001</v>
      </c>
      <c r="U18" s="96">
        <v>423760800</v>
      </c>
      <c r="V18" s="93"/>
      <c r="AB18" s="97"/>
    </row>
    <row r="19" spans="1:28" x14ac:dyDescent="0.2">
      <c r="A19" s="98">
        <v>42491</v>
      </c>
      <c r="B19" s="92">
        <v>134.36999499999999</v>
      </c>
      <c r="C19" s="92">
        <v>137.820007</v>
      </c>
      <c r="D19" s="92">
        <v>130.020004</v>
      </c>
      <c r="E19" s="92">
        <v>132.11999499999999</v>
      </c>
      <c r="F19" s="92">
        <v>107.302299</v>
      </c>
      <c r="G19" s="92">
        <v>112394600</v>
      </c>
      <c r="H19" s="99">
        <v>42491</v>
      </c>
      <c r="I19" s="92">
        <v>75.330001999999993</v>
      </c>
      <c r="J19" s="92">
        <v>80.690002000000007</v>
      </c>
      <c r="K19" s="92">
        <v>74.559997999999993</v>
      </c>
      <c r="L19" s="92">
        <v>80.129997000000003</v>
      </c>
      <c r="M19" s="92">
        <v>68.210205000000002</v>
      </c>
      <c r="N19" s="92">
        <v>108107200</v>
      </c>
      <c r="O19" s="100">
        <v>42491</v>
      </c>
      <c r="P19" s="95">
        <v>22.206666999999999</v>
      </c>
      <c r="Q19" s="95">
        <v>23.793333000000001</v>
      </c>
      <c r="R19" s="95">
        <v>20.906668</v>
      </c>
      <c r="S19" s="95">
        <v>23.593332</v>
      </c>
      <c r="T19" s="95">
        <v>19.999395</v>
      </c>
      <c r="U19" s="96">
        <v>698928600</v>
      </c>
      <c r="V19" s="93"/>
      <c r="AB19" s="97"/>
    </row>
    <row r="20" spans="1:28" x14ac:dyDescent="0.2">
      <c r="A20" s="98">
        <v>42522</v>
      </c>
      <c r="B20" s="92">
        <v>132.11999499999999</v>
      </c>
      <c r="C20" s="92">
        <v>132.729996</v>
      </c>
      <c r="D20" s="92">
        <v>123.620003</v>
      </c>
      <c r="E20" s="92">
        <v>127.69000200000001</v>
      </c>
      <c r="F20" s="92">
        <v>104.241463</v>
      </c>
      <c r="G20" s="92">
        <v>114046600</v>
      </c>
      <c r="H20" s="99">
        <v>42522</v>
      </c>
      <c r="I20" s="92">
        <v>80.129997000000003</v>
      </c>
      <c r="J20" s="92">
        <v>80.760002</v>
      </c>
      <c r="K20" s="92">
        <v>75.349997999999999</v>
      </c>
      <c r="L20" s="92">
        <v>79.169998000000007</v>
      </c>
      <c r="M20" s="92">
        <v>67.392998000000006</v>
      </c>
      <c r="N20" s="92">
        <v>113898700</v>
      </c>
      <c r="O20" s="100">
        <v>42522</v>
      </c>
      <c r="P20" s="95">
        <v>23.5</v>
      </c>
      <c r="Q20" s="95">
        <v>24.396667000000001</v>
      </c>
      <c r="R20" s="95">
        <v>23.383333</v>
      </c>
      <c r="S20" s="95">
        <v>24.34</v>
      </c>
      <c r="T20" s="95">
        <v>20.783386</v>
      </c>
      <c r="U20" s="96">
        <v>557758800</v>
      </c>
      <c r="V20" s="93"/>
      <c r="AB20" s="97"/>
    </row>
    <row r="21" spans="1:28" x14ac:dyDescent="0.2">
      <c r="A21" s="98">
        <v>42552</v>
      </c>
      <c r="B21" s="92">
        <v>128.28999300000001</v>
      </c>
      <c r="C21" s="92">
        <v>138.720001</v>
      </c>
      <c r="D21" s="92">
        <v>128.11999499999999</v>
      </c>
      <c r="E21" s="92">
        <v>138.240005</v>
      </c>
      <c r="F21" s="92">
        <v>112.85408</v>
      </c>
      <c r="G21" s="92">
        <v>78399700</v>
      </c>
      <c r="H21" s="99">
        <v>42552</v>
      </c>
      <c r="I21" s="92">
        <v>79.339995999999999</v>
      </c>
      <c r="J21" s="92">
        <v>83.650002000000001</v>
      </c>
      <c r="K21" s="92">
        <v>78.819999999999993</v>
      </c>
      <c r="L21" s="92">
        <v>82.279999000000004</v>
      </c>
      <c r="M21" s="92">
        <v>70.040374999999997</v>
      </c>
      <c r="N21" s="92">
        <v>86528300</v>
      </c>
      <c r="O21" s="100">
        <v>42552</v>
      </c>
      <c r="P21" s="95">
        <v>24.376667000000001</v>
      </c>
      <c r="Q21" s="95">
        <v>24.783332999999999</v>
      </c>
      <c r="R21" s="95">
        <v>24.139999</v>
      </c>
      <c r="S21" s="95">
        <v>24.323333999999999</v>
      </c>
      <c r="T21" s="95">
        <v>20.769157</v>
      </c>
      <c r="U21" s="96">
        <v>413170500</v>
      </c>
      <c r="V21" s="93"/>
      <c r="AB21" s="97"/>
    </row>
    <row r="22" spans="1:28" x14ac:dyDescent="0.2">
      <c r="A22" s="98">
        <v>42583</v>
      </c>
      <c r="B22" s="92">
        <v>138.05999800000001</v>
      </c>
      <c r="C22" s="92">
        <v>139</v>
      </c>
      <c r="D22" s="92">
        <v>133.60000600000001</v>
      </c>
      <c r="E22" s="92">
        <v>134.11999499999999</v>
      </c>
      <c r="F22" s="92">
        <v>109.490639</v>
      </c>
      <c r="G22" s="92">
        <v>91331300</v>
      </c>
      <c r="H22" s="99">
        <v>42583</v>
      </c>
      <c r="I22" s="92">
        <v>81.910004000000001</v>
      </c>
      <c r="J22" s="92">
        <v>82.68</v>
      </c>
      <c r="K22" s="92">
        <v>75.809997999999993</v>
      </c>
      <c r="L22" s="92">
        <v>76.559997999999993</v>
      </c>
      <c r="M22" s="92">
        <v>65.451744000000005</v>
      </c>
      <c r="N22" s="92">
        <v>114298200</v>
      </c>
      <c r="O22" s="100">
        <v>42583</v>
      </c>
      <c r="P22" s="95">
        <v>24.27</v>
      </c>
      <c r="Q22" s="95">
        <v>25.063334000000001</v>
      </c>
      <c r="R22" s="95">
        <v>23.629999000000002</v>
      </c>
      <c r="S22" s="95">
        <v>23.813334000000001</v>
      </c>
      <c r="T22" s="95">
        <v>20.333680999999999</v>
      </c>
      <c r="U22" s="96">
        <v>637380000</v>
      </c>
      <c r="V22" s="93"/>
      <c r="AB22" s="97"/>
    </row>
    <row r="23" spans="1:28" x14ac:dyDescent="0.2">
      <c r="A23" s="98">
        <v>42614</v>
      </c>
      <c r="B23" s="92">
        <v>134.479996</v>
      </c>
      <c r="C23" s="92">
        <v>135.88000500000001</v>
      </c>
      <c r="D23" s="92">
        <v>125.349998</v>
      </c>
      <c r="E23" s="92">
        <v>128.679993</v>
      </c>
      <c r="F23" s="92">
        <v>105.588371</v>
      </c>
      <c r="G23" s="92">
        <v>107739700</v>
      </c>
      <c r="H23" s="99">
        <v>42614</v>
      </c>
      <c r="I23" s="92">
        <v>76.690002000000007</v>
      </c>
      <c r="J23" s="92">
        <v>77.080001999999993</v>
      </c>
      <c r="K23" s="92">
        <v>70.410004000000001</v>
      </c>
      <c r="L23" s="92">
        <v>72.209998999999996</v>
      </c>
      <c r="M23" s="92">
        <v>61.732903</v>
      </c>
      <c r="N23" s="92">
        <v>118347300</v>
      </c>
      <c r="O23" s="100">
        <v>42614</v>
      </c>
      <c r="P23" s="95">
        <v>23.856667000000002</v>
      </c>
      <c r="Q23" s="95">
        <v>24.396667000000001</v>
      </c>
      <c r="R23" s="95">
        <v>23.433332</v>
      </c>
      <c r="S23" s="95">
        <v>24.040001</v>
      </c>
      <c r="T23" s="95">
        <v>20.667746999999999</v>
      </c>
      <c r="U23" s="96">
        <v>530951700</v>
      </c>
      <c r="V23" s="93"/>
      <c r="AB23" s="97"/>
    </row>
    <row r="24" spans="1:28" x14ac:dyDescent="0.2">
      <c r="A24" s="98">
        <v>42644</v>
      </c>
      <c r="B24" s="92">
        <v>128.199997</v>
      </c>
      <c r="C24" s="92">
        <v>130.449997</v>
      </c>
      <c r="D24" s="92">
        <v>121.620003</v>
      </c>
      <c r="E24" s="92">
        <v>122.010002</v>
      </c>
      <c r="F24" s="92">
        <v>100.115303</v>
      </c>
      <c r="G24" s="92">
        <v>97360300</v>
      </c>
      <c r="H24" s="99">
        <v>42644</v>
      </c>
      <c r="I24" s="92">
        <v>72.059997999999993</v>
      </c>
      <c r="J24" s="92">
        <v>73.220000999999996</v>
      </c>
      <c r="K24" s="92">
        <v>66.379997000000003</v>
      </c>
      <c r="L24" s="92">
        <v>66.650002000000001</v>
      </c>
      <c r="M24" s="92">
        <v>56.979610000000001</v>
      </c>
      <c r="N24" s="92">
        <v>125729700</v>
      </c>
      <c r="O24" s="100">
        <v>42644</v>
      </c>
      <c r="P24" s="95">
        <v>23.943332999999999</v>
      </c>
      <c r="Q24" s="95">
        <v>24.190000999999999</v>
      </c>
      <c r="R24" s="95">
        <v>22.356667000000002</v>
      </c>
      <c r="S24" s="95">
        <v>23.34</v>
      </c>
      <c r="T24" s="95">
        <v>20.065935</v>
      </c>
      <c r="U24" s="96">
        <v>512148600</v>
      </c>
      <c r="V24" s="93"/>
      <c r="AB24" s="97"/>
    </row>
    <row r="25" spans="1:28" x14ac:dyDescent="0.2">
      <c r="A25" s="98">
        <v>42675</v>
      </c>
      <c r="B25" s="92">
        <v>121.69000200000001</v>
      </c>
      <c r="C25" s="92">
        <v>132.13999899999999</v>
      </c>
      <c r="D25" s="92">
        <v>119.199997</v>
      </c>
      <c r="E25" s="92">
        <v>129.39999399999999</v>
      </c>
      <c r="F25" s="92">
        <v>106.179153</v>
      </c>
      <c r="G25" s="92">
        <v>133565300</v>
      </c>
      <c r="H25" s="99">
        <v>42675</v>
      </c>
      <c r="I25" s="92">
        <v>66.440002000000007</v>
      </c>
      <c r="J25" s="92">
        <v>72.370002999999997</v>
      </c>
      <c r="K25" s="92">
        <v>64.870002999999997</v>
      </c>
      <c r="L25" s="92">
        <v>70.550003000000004</v>
      </c>
      <c r="M25" s="92">
        <v>60.611075999999997</v>
      </c>
      <c r="N25" s="92">
        <v>156947200</v>
      </c>
      <c r="O25" s="100">
        <v>42675</v>
      </c>
      <c r="P25" s="95">
        <v>23.326668000000002</v>
      </c>
      <c r="Q25" s="95">
        <v>24.030000999999999</v>
      </c>
      <c r="R25" s="95">
        <v>22.706666999999999</v>
      </c>
      <c r="S25" s="95">
        <v>23.476666999999999</v>
      </c>
      <c r="T25" s="95">
        <v>20.183439</v>
      </c>
      <c r="U25" s="96">
        <v>631111800</v>
      </c>
      <c r="V25" s="93"/>
      <c r="AB25" s="97"/>
    </row>
    <row r="26" spans="1:28" x14ac:dyDescent="0.2">
      <c r="A26" s="98">
        <v>42705</v>
      </c>
      <c r="B26" s="92">
        <v>129.33999600000001</v>
      </c>
      <c r="C26" s="92">
        <v>137.320007</v>
      </c>
      <c r="D26" s="92">
        <v>128.679993</v>
      </c>
      <c r="E26" s="92">
        <v>134.08000200000001</v>
      </c>
      <c r="F26" s="92">
        <v>110.603531</v>
      </c>
      <c r="G26" s="92">
        <v>99553700</v>
      </c>
      <c r="H26" s="99">
        <v>42705</v>
      </c>
      <c r="I26" s="92">
        <v>70.339995999999999</v>
      </c>
      <c r="J26" s="92">
        <v>76.470000999999996</v>
      </c>
      <c r="K26" s="92">
        <v>69.919998000000007</v>
      </c>
      <c r="L26" s="92">
        <v>71.120002999999997</v>
      </c>
      <c r="M26" s="92">
        <v>61.100772999999997</v>
      </c>
      <c r="N26" s="92">
        <v>121374800</v>
      </c>
      <c r="O26" s="100">
        <v>42705</v>
      </c>
      <c r="P26" s="95">
        <v>23.416668000000001</v>
      </c>
      <c r="Q26" s="95">
        <v>24.16</v>
      </c>
      <c r="R26" s="95">
        <v>22.943332999999999</v>
      </c>
      <c r="S26" s="95">
        <v>23.040001</v>
      </c>
      <c r="T26" s="95">
        <v>19.808019999999999</v>
      </c>
      <c r="U26" s="96">
        <v>487582500</v>
      </c>
      <c r="V26" s="93"/>
      <c r="AB26" s="97"/>
    </row>
    <row r="27" spans="1:28" x14ac:dyDescent="0.2">
      <c r="A27" s="98">
        <v>42736</v>
      </c>
      <c r="B27" s="92">
        <v>135.10000600000001</v>
      </c>
      <c r="C27" s="92">
        <v>139.36999499999999</v>
      </c>
      <c r="D27" s="92">
        <v>133.050003</v>
      </c>
      <c r="E27" s="92">
        <v>137.58000200000001</v>
      </c>
      <c r="F27" s="92">
        <v>113.490723</v>
      </c>
      <c r="G27" s="92">
        <v>83138300</v>
      </c>
      <c r="H27" s="99">
        <v>42736</v>
      </c>
      <c r="I27" s="92">
        <v>71.709998999999996</v>
      </c>
      <c r="J27" s="92">
        <v>74.75</v>
      </c>
      <c r="K27" s="92">
        <v>70.489998</v>
      </c>
      <c r="L27" s="92">
        <v>73.080001999999993</v>
      </c>
      <c r="M27" s="92">
        <v>62.784657000000003</v>
      </c>
      <c r="N27" s="92">
        <v>104191300</v>
      </c>
      <c r="O27" s="100">
        <v>42736</v>
      </c>
      <c r="P27" s="95">
        <v>23.08</v>
      </c>
      <c r="Q27" s="95">
        <v>23.209999</v>
      </c>
      <c r="R27" s="95">
        <v>21.76</v>
      </c>
      <c r="S27" s="95">
        <v>22.246668</v>
      </c>
      <c r="T27" s="95">
        <v>19.262865000000001</v>
      </c>
      <c r="U27" s="96">
        <v>545484000</v>
      </c>
      <c r="V27" s="93"/>
      <c r="AB27" s="97"/>
    </row>
    <row r="28" spans="1:28" x14ac:dyDescent="0.2">
      <c r="A28" s="98">
        <v>42767</v>
      </c>
      <c r="B28" s="92">
        <v>137.66000399999999</v>
      </c>
      <c r="C28" s="92">
        <v>146.33000200000001</v>
      </c>
      <c r="D28" s="92">
        <v>136.33000200000001</v>
      </c>
      <c r="E28" s="92">
        <v>144.91000399999999</v>
      </c>
      <c r="F28" s="92">
        <v>119.537216</v>
      </c>
      <c r="G28" s="92">
        <v>75930200</v>
      </c>
      <c r="H28" s="99">
        <v>42767</v>
      </c>
      <c r="I28" s="92">
        <v>72.910004000000001</v>
      </c>
      <c r="J28" s="92">
        <v>77.519997000000004</v>
      </c>
      <c r="K28" s="92">
        <v>71.790001000000004</v>
      </c>
      <c r="L28" s="92">
        <v>74.370002999999997</v>
      </c>
      <c r="M28" s="92">
        <v>64.206069999999997</v>
      </c>
      <c r="N28" s="92">
        <v>106682500</v>
      </c>
      <c r="O28" s="100">
        <v>42767</v>
      </c>
      <c r="P28" s="95">
        <v>22.153334000000001</v>
      </c>
      <c r="Q28" s="95">
        <v>24.266666000000001</v>
      </c>
      <c r="R28" s="95">
        <v>22.013331999999998</v>
      </c>
      <c r="S28" s="95">
        <v>23.643332999999998</v>
      </c>
      <c r="T28" s="95">
        <v>20.472204000000001</v>
      </c>
      <c r="U28" s="96">
        <v>623902200</v>
      </c>
      <c r="V28" s="93"/>
      <c r="AB28" s="97"/>
    </row>
    <row r="29" spans="1:28" x14ac:dyDescent="0.2">
      <c r="A29" s="98">
        <v>42795</v>
      </c>
      <c r="B29" s="92">
        <v>146.720001</v>
      </c>
      <c r="C29" s="92">
        <v>150.14999399999999</v>
      </c>
      <c r="D29" s="92">
        <v>145.83000200000001</v>
      </c>
      <c r="E29" s="92">
        <v>146.83000200000001</v>
      </c>
      <c r="F29" s="92">
        <v>121.12106300000001</v>
      </c>
      <c r="G29" s="92">
        <v>92996000</v>
      </c>
      <c r="H29" s="99">
        <v>42795</v>
      </c>
      <c r="I29" s="92">
        <v>81.279999000000004</v>
      </c>
      <c r="J29" s="92">
        <v>84</v>
      </c>
      <c r="K29" s="92">
        <v>80.279999000000004</v>
      </c>
      <c r="L29" s="92">
        <v>82.209998999999996</v>
      </c>
      <c r="M29" s="92">
        <v>70.974609000000001</v>
      </c>
      <c r="N29" s="92">
        <v>128273700</v>
      </c>
      <c r="O29" s="100">
        <v>42795</v>
      </c>
      <c r="P29" s="95">
        <v>23.656668</v>
      </c>
      <c r="Q29" s="95">
        <v>24.186665999999999</v>
      </c>
      <c r="R29" s="95">
        <v>23.110001</v>
      </c>
      <c r="S29" s="95">
        <v>24.026667</v>
      </c>
      <c r="T29" s="95">
        <v>20.804120999999999</v>
      </c>
      <c r="U29" s="96">
        <v>573309300</v>
      </c>
      <c r="V29" s="93"/>
      <c r="AB29" s="97"/>
    </row>
    <row r="30" spans="1:28" x14ac:dyDescent="0.2">
      <c r="A30" s="98">
        <v>42826</v>
      </c>
      <c r="B30" s="92">
        <v>146.94000199999999</v>
      </c>
      <c r="C30" s="92">
        <v>156.270004</v>
      </c>
      <c r="D30" s="92">
        <v>145.759995</v>
      </c>
      <c r="E30" s="92">
        <v>156.10000600000001</v>
      </c>
      <c r="F30" s="92">
        <v>129.55162000000001</v>
      </c>
      <c r="G30" s="92">
        <v>75716700</v>
      </c>
      <c r="H30" s="99">
        <v>42826</v>
      </c>
      <c r="I30" s="92">
        <v>83.110000999999997</v>
      </c>
      <c r="J30" s="92">
        <v>85.760002</v>
      </c>
      <c r="K30" s="92">
        <v>81.050003000000004</v>
      </c>
      <c r="L30" s="92">
        <v>84.879997000000003</v>
      </c>
      <c r="M30" s="92">
        <v>73.279708999999997</v>
      </c>
      <c r="N30" s="92">
        <v>81098100</v>
      </c>
      <c r="O30" s="100">
        <v>42826</v>
      </c>
      <c r="P30" s="95">
        <v>24.026667</v>
      </c>
      <c r="Q30" s="95">
        <v>25.256665999999999</v>
      </c>
      <c r="R30" s="95">
        <v>23.793333000000001</v>
      </c>
      <c r="S30" s="95">
        <v>25.059999000000001</v>
      </c>
      <c r="T30" s="95">
        <v>21.858409999999999</v>
      </c>
      <c r="U30" s="96">
        <v>382581600</v>
      </c>
      <c r="V30" s="93"/>
      <c r="AB30" s="97"/>
    </row>
    <row r="31" spans="1:28" x14ac:dyDescent="0.2">
      <c r="A31" s="98">
        <v>42856</v>
      </c>
      <c r="B31" s="92">
        <v>156.220001</v>
      </c>
      <c r="C31" s="92">
        <v>160.86000100000001</v>
      </c>
      <c r="D31" s="92">
        <v>153.279999</v>
      </c>
      <c r="E31" s="92">
        <v>153.509995</v>
      </c>
      <c r="F31" s="92">
        <v>127.40212200000001</v>
      </c>
      <c r="G31" s="92">
        <v>93676400</v>
      </c>
      <c r="H31" s="99">
        <v>42856</v>
      </c>
      <c r="I31" s="92">
        <v>84.839995999999999</v>
      </c>
      <c r="J31" s="92">
        <v>86.25</v>
      </c>
      <c r="K31" s="92">
        <v>78.099997999999999</v>
      </c>
      <c r="L31" s="92">
        <v>78.769997000000004</v>
      </c>
      <c r="M31" s="92">
        <v>68.291092000000006</v>
      </c>
      <c r="N31" s="92">
        <v>136012800</v>
      </c>
      <c r="O31" s="100">
        <v>42856</v>
      </c>
      <c r="P31" s="95">
        <v>25.030000999999999</v>
      </c>
      <c r="Q31" s="95">
        <v>26.48</v>
      </c>
      <c r="R31" s="95">
        <v>24.986668000000002</v>
      </c>
      <c r="S31" s="95">
        <v>26.200001</v>
      </c>
      <c r="T31" s="95">
        <v>22.852768000000001</v>
      </c>
      <c r="U31" s="96">
        <v>547037400</v>
      </c>
      <c r="V31" s="99">
        <v>42856</v>
      </c>
      <c r="W31" s="92">
        <v>32.400002000000001</v>
      </c>
      <c r="X31" s="92">
        <v>43.099997999999999</v>
      </c>
      <c r="Y31" s="92">
        <v>32.400002000000001</v>
      </c>
      <c r="Z31" s="92">
        <v>38.709999000000003</v>
      </c>
      <c r="AA31" s="92">
        <v>38.709999000000003</v>
      </c>
      <c r="AB31" s="97">
        <v>7680300</v>
      </c>
    </row>
    <row r="32" spans="1:28" x14ac:dyDescent="0.2">
      <c r="A32" s="98">
        <v>42887</v>
      </c>
      <c r="B32" s="92">
        <v>153.520004</v>
      </c>
      <c r="C32" s="92">
        <v>159.220001</v>
      </c>
      <c r="D32" s="92">
        <v>150.75</v>
      </c>
      <c r="E32" s="92">
        <v>153.39999399999999</v>
      </c>
      <c r="F32" s="92">
        <v>128.046494</v>
      </c>
      <c r="G32" s="92">
        <v>100510600</v>
      </c>
      <c r="H32" s="99">
        <v>42887</v>
      </c>
      <c r="I32" s="92">
        <v>78.769997000000004</v>
      </c>
      <c r="J32" s="92">
        <v>81.449996999999996</v>
      </c>
      <c r="K32" s="92">
        <v>75.790001000000004</v>
      </c>
      <c r="L32" s="92">
        <v>77.529999000000004</v>
      </c>
      <c r="M32" s="92">
        <v>67.216071999999997</v>
      </c>
      <c r="N32" s="92">
        <v>131718300</v>
      </c>
      <c r="O32" s="100">
        <v>42887</v>
      </c>
      <c r="P32" s="95">
        <v>26.213332999999999</v>
      </c>
      <c r="Q32" s="95">
        <v>26.823333999999999</v>
      </c>
      <c r="R32" s="95">
        <v>24.43</v>
      </c>
      <c r="S32" s="95">
        <v>25.226666999999999</v>
      </c>
      <c r="T32" s="95">
        <v>22.151033000000002</v>
      </c>
      <c r="U32" s="96">
        <v>742562100</v>
      </c>
      <c r="V32" s="99">
        <v>42887</v>
      </c>
      <c r="W32" s="92">
        <v>38.560001</v>
      </c>
      <c r="X32" s="92">
        <v>46.950001</v>
      </c>
      <c r="Y32" s="92">
        <v>38.530997999999997</v>
      </c>
      <c r="Z32" s="92">
        <v>39.259998000000003</v>
      </c>
      <c r="AA32" s="92">
        <v>39.259998000000003</v>
      </c>
      <c r="AB32" s="97">
        <v>10197000</v>
      </c>
    </row>
    <row r="33" spans="1:28" x14ac:dyDescent="0.2">
      <c r="A33" s="98">
        <v>42917</v>
      </c>
      <c r="B33" s="92">
        <v>154.38999899999999</v>
      </c>
      <c r="C33" s="92">
        <v>154.78999300000001</v>
      </c>
      <c r="D33" s="92">
        <v>144.25</v>
      </c>
      <c r="E33" s="92">
        <v>149.60000600000001</v>
      </c>
      <c r="F33" s="92">
        <v>124.874611</v>
      </c>
      <c r="G33" s="92">
        <v>102500900</v>
      </c>
      <c r="H33" s="99">
        <v>42917</v>
      </c>
      <c r="I33" s="92">
        <v>78</v>
      </c>
      <c r="J33" s="92">
        <v>78.449996999999996</v>
      </c>
      <c r="K33" s="92">
        <v>71.580001999999993</v>
      </c>
      <c r="L33" s="92">
        <v>77.400002000000001</v>
      </c>
      <c r="M33" s="92">
        <v>67.103363000000002</v>
      </c>
      <c r="N33" s="92">
        <v>122500900</v>
      </c>
      <c r="O33" s="100">
        <v>42917</v>
      </c>
      <c r="P33" s="95">
        <v>25.280000999999999</v>
      </c>
      <c r="Q33" s="95">
        <v>26.780000999999999</v>
      </c>
      <c r="R33" s="95">
        <v>24.376667000000001</v>
      </c>
      <c r="S33" s="95">
        <v>26.663333999999999</v>
      </c>
      <c r="T33" s="95">
        <v>23.412541999999998</v>
      </c>
      <c r="U33" s="96">
        <v>430344300</v>
      </c>
      <c r="V33" s="99">
        <v>42917</v>
      </c>
      <c r="W33" s="92">
        <v>39.299999</v>
      </c>
      <c r="X33" s="92">
        <v>42.439999</v>
      </c>
      <c r="Y33" s="92">
        <v>33.630001</v>
      </c>
      <c r="Z33" s="92">
        <v>34.619999</v>
      </c>
      <c r="AA33" s="92">
        <v>34.619999</v>
      </c>
      <c r="AB33" s="97">
        <v>23063000</v>
      </c>
    </row>
    <row r="34" spans="1:28" x14ac:dyDescent="0.2">
      <c r="A34" s="98">
        <v>42948</v>
      </c>
      <c r="B34" s="92">
        <v>150.240005</v>
      </c>
      <c r="C34" s="92">
        <v>156.050003</v>
      </c>
      <c r="D34" s="92">
        <v>146.88999899999999</v>
      </c>
      <c r="E34" s="92">
        <v>149.86999499999999</v>
      </c>
      <c r="F34" s="92">
        <v>125.09996</v>
      </c>
      <c r="G34" s="92">
        <v>114385100</v>
      </c>
      <c r="H34" s="99">
        <v>42948</v>
      </c>
      <c r="I34" s="92">
        <v>77.269997000000004</v>
      </c>
      <c r="J34" s="92">
        <v>78.910004000000001</v>
      </c>
      <c r="K34" s="92">
        <v>70.760002</v>
      </c>
      <c r="L34" s="92">
        <v>73.889999000000003</v>
      </c>
      <c r="M34" s="92">
        <v>64.417998999999995</v>
      </c>
      <c r="N34" s="92">
        <v>149943300</v>
      </c>
      <c r="O34" s="100">
        <v>42948</v>
      </c>
      <c r="P34" s="95">
        <v>26.75</v>
      </c>
      <c r="Q34" s="95">
        <v>27.33</v>
      </c>
      <c r="R34" s="95">
        <v>25.833331999999999</v>
      </c>
      <c r="S34" s="95">
        <v>26.023333000000001</v>
      </c>
      <c r="T34" s="95">
        <v>22.850573000000001</v>
      </c>
      <c r="U34" s="96">
        <v>610958100</v>
      </c>
      <c r="V34" s="99">
        <v>42948</v>
      </c>
      <c r="W34" s="92">
        <v>35.159999999999997</v>
      </c>
      <c r="X34" s="92">
        <v>36.433998000000003</v>
      </c>
      <c r="Y34" s="92">
        <v>32.721001000000001</v>
      </c>
      <c r="Z34" s="92">
        <v>35.939999</v>
      </c>
      <c r="AA34" s="92">
        <v>35.939999</v>
      </c>
      <c r="AB34" s="97">
        <v>9566400</v>
      </c>
    </row>
    <row r="35" spans="1:28" x14ac:dyDescent="0.2">
      <c r="A35" s="98">
        <v>42979</v>
      </c>
      <c r="B35" s="92">
        <v>150.259995</v>
      </c>
      <c r="C35" s="92">
        <v>163.61000100000001</v>
      </c>
      <c r="D35" s="92">
        <v>149.759995</v>
      </c>
      <c r="E35" s="92">
        <v>163.55999800000001</v>
      </c>
      <c r="F35" s="92">
        <v>137.33470199999999</v>
      </c>
      <c r="G35" s="92">
        <v>110280500</v>
      </c>
      <c r="H35" s="99">
        <v>42979</v>
      </c>
      <c r="I35" s="92">
        <v>74.190002000000007</v>
      </c>
      <c r="J35" s="92">
        <v>80.150002000000001</v>
      </c>
      <c r="K35" s="92">
        <v>73.720000999999996</v>
      </c>
      <c r="L35" s="92">
        <v>79.940002000000007</v>
      </c>
      <c r="M35" s="92">
        <v>69.692429000000004</v>
      </c>
      <c r="N35" s="92">
        <v>145099700</v>
      </c>
      <c r="O35" s="100">
        <v>42979</v>
      </c>
      <c r="P35" s="95">
        <v>26.103332999999999</v>
      </c>
      <c r="Q35" s="95">
        <v>27.040001</v>
      </c>
      <c r="R35" s="95">
        <v>25.91</v>
      </c>
      <c r="S35" s="95">
        <v>26.046666999999999</v>
      </c>
      <c r="T35" s="95">
        <v>23.014917000000001</v>
      </c>
      <c r="U35" s="96">
        <v>483460800</v>
      </c>
      <c r="V35" s="99">
        <v>42979</v>
      </c>
      <c r="W35" s="92">
        <v>36.099997999999999</v>
      </c>
      <c r="X35" s="92">
        <v>40.639999000000003</v>
      </c>
      <c r="Y35" s="92">
        <v>35.490001999999997</v>
      </c>
      <c r="Z35" s="92">
        <v>38.93</v>
      </c>
      <c r="AA35" s="92">
        <v>38.93</v>
      </c>
      <c r="AB35" s="97">
        <v>8019400</v>
      </c>
    </row>
    <row r="36" spans="1:28" x14ac:dyDescent="0.2">
      <c r="A36" s="98">
        <v>43009</v>
      </c>
      <c r="B36" s="92">
        <v>164.199997</v>
      </c>
      <c r="C36" s="92">
        <v>167.94000199999999</v>
      </c>
      <c r="D36" s="92">
        <v>161.509995</v>
      </c>
      <c r="E36" s="92">
        <v>165.779999</v>
      </c>
      <c r="F36" s="92">
        <v>139.19871499999999</v>
      </c>
      <c r="G36" s="92">
        <v>71346000</v>
      </c>
      <c r="H36" s="99">
        <v>43009</v>
      </c>
      <c r="I36" s="92">
        <v>80.040001000000004</v>
      </c>
      <c r="J36" s="92">
        <v>82.739998</v>
      </c>
      <c r="K36" s="92">
        <v>79.400002000000001</v>
      </c>
      <c r="L36" s="92">
        <v>79.949996999999996</v>
      </c>
      <c r="M36" s="92">
        <v>69.701133999999996</v>
      </c>
      <c r="N36" s="92">
        <v>110493800</v>
      </c>
      <c r="O36" s="100">
        <v>43009</v>
      </c>
      <c r="P36" s="95">
        <v>25.966667000000001</v>
      </c>
      <c r="Q36" s="95">
        <v>29.703333000000001</v>
      </c>
      <c r="R36" s="95">
        <v>25.833331999999999</v>
      </c>
      <c r="S36" s="95">
        <v>29.103332999999999</v>
      </c>
      <c r="T36" s="95">
        <v>25.715800999999999</v>
      </c>
      <c r="U36" s="96">
        <v>596325300</v>
      </c>
      <c r="V36" s="99">
        <v>43009</v>
      </c>
      <c r="W36" s="92">
        <v>38.959999000000003</v>
      </c>
      <c r="X36" s="92">
        <v>39.549999</v>
      </c>
      <c r="Y36" s="92">
        <v>36.402999999999999</v>
      </c>
      <c r="Z36" s="92">
        <v>37.700001</v>
      </c>
      <c r="AA36" s="92">
        <v>37.700001</v>
      </c>
      <c r="AB36" s="97">
        <v>5515600</v>
      </c>
    </row>
    <row r="37" spans="1:28" x14ac:dyDescent="0.2">
      <c r="A37" s="98">
        <v>43040</v>
      </c>
      <c r="B37" s="92">
        <v>166.41999799999999</v>
      </c>
      <c r="C37" s="92">
        <v>180.66999799999999</v>
      </c>
      <c r="D37" s="92">
        <v>160.529999</v>
      </c>
      <c r="E37" s="92">
        <v>179.820007</v>
      </c>
      <c r="F37" s="92">
        <v>150.98756399999999</v>
      </c>
      <c r="G37" s="92">
        <v>103227500</v>
      </c>
      <c r="H37" s="99">
        <v>43040</v>
      </c>
      <c r="I37" s="92">
        <v>79.620002999999997</v>
      </c>
      <c r="J37" s="92">
        <v>84.68</v>
      </c>
      <c r="K37" s="92">
        <v>75.360000999999997</v>
      </c>
      <c r="L37" s="92">
        <v>83.370002999999997</v>
      </c>
      <c r="M37" s="92">
        <v>73.055228999999997</v>
      </c>
      <c r="N37" s="92">
        <v>142241900</v>
      </c>
      <c r="O37" s="100">
        <v>43040</v>
      </c>
      <c r="P37" s="95">
        <v>29.023333000000001</v>
      </c>
      <c r="Q37" s="95">
        <v>33.376666999999998</v>
      </c>
      <c r="R37" s="95">
        <v>29</v>
      </c>
      <c r="S37" s="95">
        <v>32.409999999999997</v>
      </c>
      <c r="T37" s="95">
        <v>28.637581000000001</v>
      </c>
      <c r="U37" s="96">
        <v>668109300</v>
      </c>
      <c r="V37" s="99">
        <v>43040</v>
      </c>
      <c r="W37" s="92">
        <v>37.830002</v>
      </c>
      <c r="X37" s="92">
        <v>42.43</v>
      </c>
      <c r="Y37" s="92">
        <v>36.25</v>
      </c>
      <c r="Z37" s="92">
        <v>40.590000000000003</v>
      </c>
      <c r="AA37" s="92">
        <v>40.590000000000003</v>
      </c>
      <c r="AB37" s="97">
        <v>18262400</v>
      </c>
    </row>
    <row r="38" spans="1:28" x14ac:dyDescent="0.2">
      <c r="A38" s="98">
        <v>43070</v>
      </c>
      <c r="B38" s="92">
        <v>180.320007</v>
      </c>
      <c r="C38" s="92">
        <v>191.490005</v>
      </c>
      <c r="D38" s="92">
        <v>176.699997</v>
      </c>
      <c r="E38" s="92">
        <v>189.529999</v>
      </c>
      <c r="F38" s="92">
        <v>159.946854</v>
      </c>
      <c r="G38" s="92">
        <v>103713100</v>
      </c>
      <c r="H38" s="99">
        <v>43070</v>
      </c>
      <c r="I38" s="92">
        <v>83.239998</v>
      </c>
      <c r="J38" s="92">
        <v>93.550003000000004</v>
      </c>
      <c r="K38" s="92">
        <v>82.120002999999997</v>
      </c>
      <c r="L38" s="92">
        <v>92.940002000000007</v>
      </c>
      <c r="M38" s="92">
        <v>81.441199999999995</v>
      </c>
      <c r="N38" s="92">
        <v>131002100</v>
      </c>
      <c r="O38" s="100">
        <v>43070</v>
      </c>
      <c r="P38" s="95">
        <v>32.536667000000001</v>
      </c>
      <c r="Q38" s="95">
        <v>33.303333000000002</v>
      </c>
      <c r="R38" s="95">
        <v>32.046664999999997</v>
      </c>
      <c r="S38" s="95">
        <v>32.916668000000001</v>
      </c>
      <c r="T38" s="95">
        <v>29.085276</v>
      </c>
      <c r="U38" s="96">
        <v>500322300</v>
      </c>
      <c r="V38" s="99">
        <v>43070</v>
      </c>
      <c r="W38" s="92">
        <v>40.369999</v>
      </c>
      <c r="X38" s="92">
        <v>49.860000999999997</v>
      </c>
      <c r="Y38" s="92">
        <v>39.409999999999997</v>
      </c>
      <c r="Z38" s="92">
        <v>48.68</v>
      </c>
      <c r="AA38" s="92">
        <v>48.68</v>
      </c>
      <c r="AB38" s="97">
        <v>16031800</v>
      </c>
    </row>
    <row r="39" spans="1:28" x14ac:dyDescent="0.2">
      <c r="A39" s="98">
        <v>43101</v>
      </c>
      <c r="B39" s="92">
        <v>190.21000699999999</v>
      </c>
      <c r="C39" s="92">
        <v>207.61000100000001</v>
      </c>
      <c r="D39" s="92">
        <v>187.820007</v>
      </c>
      <c r="E39" s="92">
        <v>200.89999399999999</v>
      </c>
      <c r="F39" s="92">
        <v>169.54216</v>
      </c>
      <c r="G39" s="92">
        <v>92074000</v>
      </c>
      <c r="H39" s="99">
        <v>43101</v>
      </c>
      <c r="I39" s="92">
        <v>93.019997000000004</v>
      </c>
      <c r="J39" s="92">
        <v>108.980003</v>
      </c>
      <c r="K39" s="92">
        <v>91.169998000000007</v>
      </c>
      <c r="L39" s="92">
        <v>104.730003</v>
      </c>
      <c r="M39" s="92">
        <v>91.772514000000001</v>
      </c>
      <c r="N39" s="92">
        <v>128537300</v>
      </c>
      <c r="O39" s="100">
        <v>43101</v>
      </c>
      <c r="P39" s="95">
        <v>33.099997999999999</v>
      </c>
      <c r="Q39" s="95">
        <v>36.659999999999997</v>
      </c>
      <c r="R39" s="95">
        <v>32.840000000000003</v>
      </c>
      <c r="S39" s="95">
        <v>35.533332999999999</v>
      </c>
      <c r="T39" s="95">
        <v>31.562840999999999</v>
      </c>
      <c r="U39" s="96">
        <v>509083800</v>
      </c>
      <c r="V39" s="99">
        <v>43101</v>
      </c>
      <c r="W39" s="92">
        <v>48.790000999999997</v>
      </c>
      <c r="X39" s="92">
        <v>51.48</v>
      </c>
      <c r="Y39" s="92">
        <v>44.099997999999999</v>
      </c>
      <c r="Z39" s="92">
        <v>46.900002000000001</v>
      </c>
      <c r="AA39" s="92">
        <v>46.900002000000001</v>
      </c>
      <c r="AB39" s="97">
        <v>16838500</v>
      </c>
    </row>
    <row r="40" spans="1:28" x14ac:dyDescent="0.2">
      <c r="A40" s="98">
        <v>43132</v>
      </c>
      <c r="B40" s="92">
        <v>199.33999600000001</v>
      </c>
      <c r="C40" s="92">
        <v>202.25</v>
      </c>
      <c r="D40" s="92">
        <v>175.41999799999999</v>
      </c>
      <c r="E40" s="92">
        <v>182.270004</v>
      </c>
      <c r="F40" s="92">
        <v>153.820053</v>
      </c>
      <c r="G40" s="92">
        <v>127014100</v>
      </c>
      <c r="H40" s="99">
        <v>43132</v>
      </c>
      <c r="I40" s="92">
        <v>103.839996</v>
      </c>
      <c r="J40" s="92">
        <v>105.08000199999999</v>
      </c>
      <c r="K40" s="92">
        <v>86.75</v>
      </c>
      <c r="L40" s="92">
        <v>89.589995999999999</v>
      </c>
      <c r="M40" s="92">
        <v>78.807334999999995</v>
      </c>
      <c r="N40" s="92">
        <v>151269400</v>
      </c>
      <c r="O40" s="100">
        <v>43132</v>
      </c>
      <c r="P40" s="95">
        <v>35.32</v>
      </c>
      <c r="Q40" s="95">
        <v>35.520000000000003</v>
      </c>
      <c r="R40" s="95">
        <v>30</v>
      </c>
      <c r="S40" s="95">
        <v>30.003332</v>
      </c>
      <c r="T40" s="95">
        <v>26.650760999999999</v>
      </c>
      <c r="U40" s="96">
        <v>922598100</v>
      </c>
      <c r="V40" s="99">
        <v>43132</v>
      </c>
      <c r="W40" s="92">
        <v>46.470001000000003</v>
      </c>
      <c r="X40" s="92">
        <v>47.700001</v>
      </c>
      <c r="Y40" s="92">
        <v>42.009998000000003</v>
      </c>
      <c r="Z40" s="92">
        <v>45.07</v>
      </c>
      <c r="AA40" s="92">
        <v>45.07</v>
      </c>
      <c r="AB40" s="97">
        <v>10137200</v>
      </c>
    </row>
    <row r="41" spans="1:28" x14ac:dyDescent="0.2">
      <c r="A41" s="98">
        <v>43160</v>
      </c>
      <c r="B41" s="92">
        <v>182.75</v>
      </c>
      <c r="C41" s="92">
        <v>184.39999399999999</v>
      </c>
      <c r="D41" s="92">
        <v>171.55999800000001</v>
      </c>
      <c r="E41" s="92">
        <v>178.240005</v>
      </c>
      <c r="F41" s="92">
        <v>150.419083</v>
      </c>
      <c r="G41" s="92">
        <v>109321100</v>
      </c>
      <c r="H41" s="99">
        <v>43160</v>
      </c>
      <c r="I41" s="92">
        <v>89.57</v>
      </c>
      <c r="J41" s="92">
        <v>90.330001999999993</v>
      </c>
      <c r="K41" s="92">
        <v>83.739998</v>
      </c>
      <c r="L41" s="92">
        <v>87.75</v>
      </c>
      <c r="M41" s="92">
        <v>77.188796999999994</v>
      </c>
      <c r="N41" s="92">
        <v>170855700</v>
      </c>
      <c r="O41" s="100">
        <v>43160</v>
      </c>
      <c r="P41" s="95">
        <v>30.056667000000001</v>
      </c>
      <c r="Q41" s="95">
        <v>30.166668000000001</v>
      </c>
      <c r="R41" s="95">
        <v>28.426666000000001</v>
      </c>
      <c r="S41" s="95">
        <v>29.656668</v>
      </c>
      <c r="T41" s="95">
        <v>26.342834</v>
      </c>
      <c r="U41" s="96">
        <v>768009000</v>
      </c>
      <c r="V41" s="99">
        <v>43160</v>
      </c>
      <c r="W41" s="92">
        <v>43.25</v>
      </c>
      <c r="X41" s="92">
        <v>52.779998999999997</v>
      </c>
      <c r="Y41" s="92">
        <v>42</v>
      </c>
      <c r="Z41" s="92">
        <v>52.119999</v>
      </c>
      <c r="AA41" s="92">
        <v>52.119999</v>
      </c>
      <c r="AB41" s="97">
        <v>16947900</v>
      </c>
    </row>
    <row r="42" spans="1:28" x14ac:dyDescent="0.2">
      <c r="A42" s="98">
        <v>43191</v>
      </c>
      <c r="B42" s="92">
        <v>177.14999399999999</v>
      </c>
      <c r="C42" s="92">
        <v>187.800003</v>
      </c>
      <c r="D42" s="92">
        <v>170.41999799999999</v>
      </c>
      <c r="E42" s="92">
        <v>184.800003</v>
      </c>
      <c r="F42" s="92">
        <v>156.84454299999999</v>
      </c>
      <c r="G42" s="92">
        <v>101369800</v>
      </c>
      <c r="H42" s="99">
        <v>43191</v>
      </c>
      <c r="I42" s="92">
        <v>87.349997999999999</v>
      </c>
      <c r="J42" s="92">
        <v>89.150002000000001</v>
      </c>
      <c r="K42" s="92">
        <v>81.309997999999993</v>
      </c>
      <c r="L42" s="92">
        <v>82.43</v>
      </c>
      <c r="M42" s="92">
        <v>72.509094000000005</v>
      </c>
      <c r="N42" s="92">
        <v>132443800</v>
      </c>
      <c r="O42" s="100">
        <v>43191</v>
      </c>
      <c r="P42" s="95">
        <v>29.333331999999999</v>
      </c>
      <c r="Q42" s="95">
        <v>29.886666999999999</v>
      </c>
      <c r="R42" s="95">
        <v>28.280000999999999</v>
      </c>
      <c r="S42" s="95">
        <v>29.486668000000002</v>
      </c>
      <c r="T42" s="95">
        <v>26.347981999999998</v>
      </c>
      <c r="U42" s="96">
        <v>490745400</v>
      </c>
      <c r="V42" s="99">
        <v>43191</v>
      </c>
      <c r="W42" s="92">
        <v>52.080002</v>
      </c>
      <c r="X42" s="92">
        <v>58.279998999999997</v>
      </c>
      <c r="Y42" s="92">
        <v>50</v>
      </c>
      <c r="Z42" s="92">
        <v>55.59</v>
      </c>
      <c r="AA42" s="92">
        <v>55.59</v>
      </c>
      <c r="AB42" s="97">
        <v>14955600</v>
      </c>
    </row>
    <row r="43" spans="1:28" x14ac:dyDescent="0.2">
      <c r="A43" s="98">
        <v>43221</v>
      </c>
      <c r="B43" s="92">
        <v>184.729996</v>
      </c>
      <c r="C43" s="92">
        <v>191.64999399999999</v>
      </c>
      <c r="D43" s="92">
        <v>181.199997</v>
      </c>
      <c r="E43" s="92">
        <v>186.550003</v>
      </c>
      <c r="F43" s="92">
        <v>158.32983400000001</v>
      </c>
      <c r="G43" s="92">
        <v>103145700</v>
      </c>
      <c r="H43" s="99">
        <v>43221</v>
      </c>
      <c r="I43" s="92">
        <v>81.75</v>
      </c>
      <c r="J43" s="92">
        <v>97.980002999999996</v>
      </c>
      <c r="K43" s="92">
        <v>81.160004000000001</v>
      </c>
      <c r="L43" s="92">
        <v>95.010002</v>
      </c>
      <c r="M43" s="92">
        <v>83.983222999999995</v>
      </c>
      <c r="N43" s="92">
        <v>143773800</v>
      </c>
      <c r="O43" s="100">
        <v>43221</v>
      </c>
      <c r="P43" s="95">
        <v>29.223333</v>
      </c>
      <c r="Q43" s="95">
        <v>29.366667</v>
      </c>
      <c r="R43" s="95">
        <v>27.26</v>
      </c>
      <c r="S43" s="95">
        <v>27.513331999999998</v>
      </c>
      <c r="T43" s="95">
        <v>24.584697999999999</v>
      </c>
      <c r="U43" s="96">
        <v>745449900</v>
      </c>
      <c r="V43" s="99">
        <v>43221</v>
      </c>
      <c r="W43" s="92">
        <v>55.299999</v>
      </c>
      <c r="X43" s="92">
        <v>55.560001</v>
      </c>
      <c r="Y43" s="92">
        <v>43.860000999999997</v>
      </c>
      <c r="Z43" s="92">
        <v>47</v>
      </c>
      <c r="AA43" s="92">
        <v>47</v>
      </c>
      <c r="AB43" s="97">
        <v>28249300</v>
      </c>
    </row>
    <row r="44" spans="1:28" x14ac:dyDescent="0.2">
      <c r="A44" s="98">
        <v>43252</v>
      </c>
      <c r="B44" s="92">
        <v>187.21000699999999</v>
      </c>
      <c r="C44" s="92">
        <v>201.60000600000001</v>
      </c>
      <c r="D44" s="92">
        <v>186.520004</v>
      </c>
      <c r="E44" s="92">
        <v>195.10000600000001</v>
      </c>
      <c r="F44" s="92">
        <v>166.513443</v>
      </c>
      <c r="G44" s="92">
        <v>93713000</v>
      </c>
      <c r="H44" s="99">
        <v>43252</v>
      </c>
      <c r="I44" s="92">
        <v>95.440002000000007</v>
      </c>
      <c r="J44" s="92">
        <v>101.33000199999999</v>
      </c>
      <c r="K44" s="92">
        <v>95.160004000000001</v>
      </c>
      <c r="L44" s="92">
        <v>95.57</v>
      </c>
      <c r="M44" s="92">
        <v>84.478233000000003</v>
      </c>
      <c r="N44" s="92">
        <v>91697700</v>
      </c>
      <c r="O44" s="100">
        <v>43252</v>
      </c>
      <c r="P44" s="95">
        <v>27.68</v>
      </c>
      <c r="Q44" s="95">
        <v>29.163333999999999</v>
      </c>
      <c r="R44" s="95">
        <v>27.456666999999999</v>
      </c>
      <c r="S44" s="95">
        <v>28.549999</v>
      </c>
      <c r="T44" s="95">
        <v>25.67174</v>
      </c>
      <c r="U44" s="96">
        <v>556858200</v>
      </c>
      <c r="V44" s="99">
        <v>43252</v>
      </c>
      <c r="W44" s="92">
        <v>47.049999</v>
      </c>
      <c r="X44" s="92">
        <v>55.860000999999997</v>
      </c>
      <c r="Y44" s="92">
        <v>47.049999</v>
      </c>
      <c r="Z44" s="92">
        <v>49.330002</v>
      </c>
      <c r="AA44" s="92">
        <v>49.330002</v>
      </c>
      <c r="AB44" s="97">
        <v>17688800</v>
      </c>
    </row>
    <row r="45" spans="1:28" x14ac:dyDescent="0.2">
      <c r="A45" s="98">
        <v>43282</v>
      </c>
      <c r="B45" s="92">
        <v>193.820007</v>
      </c>
      <c r="C45" s="92">
        <v>204.25</v>
      </c>
      <c r="D45" s="92">
        <v>192.11999499999999</v>
      </c>
      <c r="E45" s="92">
        <v>197.520004</v>
      </c>
      <c r="F45" s="92">
        <v>168.57888800000001</v>
      </c>
      <c r="G45" s="92">
        <v>67987900</v>
      </c>
      <c r="H45" s="99">
        <v>43282</v>
      </c>
      <c r="I45" s="92">
        <v>95.360000999999997</v>
      </c>
      <c r="J45" s="92">
        <v>101.980003</v>
      </c>
      <c r="K45" s="92">
        <v>93.959998999999996</v>
      </c>
      <c r="L45" s="92">
        <v>99.339995999999999</v>
      </c>
      <c r="M45" s="92">
        <v>87.810676999999998</v>
      </c>
      <c r="N45" s="92">
        <v>76344400</v>
      </c>
      <c r="O45" s="100">
        <v>43282</v>
      </c>
      <c r="P45" s="95">
        <v>28.549999</v>
      </c>
      <c r="Q45" s="95">
        <v>29.886666999999999</v>
      </c>
      <c r="R45" s="95">
        <v>27.799999</v>
      </c>
      <c r="S45" s="95">
        <v>29.743334000000001</v>
      </c>
      <c r="T45" s="95">
        <v>26.744764</v>
      </c>
      <c r="U45" s="96">
        <v>352790700</v>
      </c>
      <c r="V45" s="99">
        <v>43282</v>
      </c>
      <c r="W45" s="92">
        <v>49.259998000000003</v>
      </c>
      <c r="X45" s="92">
        <v>52.380001</v>
      </c>
      <c r="Y45" s="92">
        <v>46.66</v>
      </c>
      <c r="Z45" s="92">
        <v>47.75</v>
      </c>
      <c r="AA45" s="92">
        <v>47.75</v>
      </c>
      <c r="AB45" s="97">
        <v>12962200</v>
      </c>
    </row>
    <row r="46" spans="1:28" x14ac:dyDescent="0.2">
      <c r="A46" s="98">
        <v>43313</v>
      </c>
      <c r="B46" s="92">
        <v>196.86000100000001</v>
      </c>
      <c r="C46" s="92">
        <v>203.550003</v>
      </c>
      <c r="D46" s="92">
        <v>191.08999600000001</v>
      </c>
      <c r="E46" s="92">
        <v>200.770004</v>
      </c>
      <c r="F46" s="92">
        <v>171.352722</v>
      </c>
      <c r="G46" s="92">
        <v>88542700</v>
      </c>
      <c r="H46" s="99">
        <v>43313</v>
      </c>
      <c r="I46" s="92">
        <v>98.989998</v>
      </c>
      <c r="J46" s="92">
        <v>109.800003</v>
      </c>
      <c r="K46" s="92">
        <v>96.239998</v>
      </c>
      <c r="L46" s="92">
        <v>108.75</v>
      </c>
      <c r="M46" s="92">
        <v>96.586853000000005</v>
      </c>
      <c r="N46" s="92">
        <v>107517700</v>
      </c>
      <c r="O46" s="100">
        <v>43313</v>
      </c>
      <c r="P46" s="95">
        <v>29.620000999999998</v>
      </c>
      <c r="Q46" s="95">
        <v>33.403331999999999</v>
      </c>
      <c r="R46" s="95">
        <v>29.206666999999999</v>
      </c>
      <c r="S46" s="95">
        <v>31.953333000000001</v>
      </c>
      <c r="T46" s="95">
        <v>28.731964000000001</v>
      </c>
      <c r="U46" s="96">
        <v>616978500</v>
      </c>
      <c r="V46" s="99">
        <v>43313</v>
      </c>
      <c r="W46" s="92">
        <v>47.349997999999999</v>
      </c>
      <c r="X46" s="92">
        <v>48.860000999999997</v>
      </c>
      <c r="Y46" s="92">
        <v>36.259998000000003</v>
      </c>
      <c r="Z46" s="92">
        <v>36.759998000000003</v>
      </c>
      <c r="AA46" s="92">
        <v>36.759998000000003</v>
      </c>
      <c r="AB46" s="97">
        <v>35265000</v>
      </c>
    </row>
    <row r="47" spans="1:28" x14ac:dyDescent="0.2">
      <c r="A47" s="98">
        <v>43344</v>
      </c>
      <c r="B47" s="92">
        <v>200.69000199999999</v>
      </c>
      <c r="C47" s="92">
        <v>215.429993</v>
      </c>
      <c r="D47" s="92">
        <v>200.5</v>
      </c>
      <c r="E47" s="92">
        <v>207.14999399999999</v>
      </c>
      <c r="F47" s="92">
        <v>177.70416299999999</v>
      </c>
      <c r="G47" s="92">
        <v>83962700</v>
      </c>
      <c r="H47" s="99">
        <v>43344</v>
      </c>
      <c r="I47" s="92">
        <v>108.389999</v>
      </c>
      <c r="J47" s="92">
        <v>117.699997</v>
      </c>
      <c r="K47" s="92">
        <v>108.029999</v>
      </c>
      <c r="L47" s="92">
        <v>114.82</v>
      </c>
      <c r="M47" s="92">
        <v>101.977982</v>
      </c>
      <c r="N47" s="92">
        <v>94437200</v>
      </c>
      <c r="O47" s="100">
        <v>43344</v>
      </c>
      <c r="P47" s="95">
        <v>31.933332</v>
      </c>
      <c r="Q47" s="95">
        <v>32.553333000000002</v>
      </c>
      <c r="R47" s="95">
        <v>31.23</v>
      </c>
      <c r="S47" s="95">
        <v>31.303332999999999</v>
      </c>
      <c r="T47" s="95">
        <v>28.310981999999999</v>
      </c>
      <c r="U47" s="96">
        <v>381637500</v>
      </c>
      <c r="V47" s="99">
        <v>43344</v>
      </c>
      <c r="W47" s="92">
        <v>36.659999999999997</v>
      </c>
      <c r="X47" s="92">
        <v>37.919998</v>
      </c>
      <c r="Y47" s="92">
        <v>29.690000999999999</v>
      </c>
      <c r="Z47" s="92">
        <v>30.17</v>
      </c>
      <c r="AA47" s="92">
        <v>30.17</v>
      </c>
      <c r="AB47" s="97">
        <v>38752200</v>
      </c>
    </row>
    <row r="48" spans="1:28" x14ac:dyDescent="0.2">
      <c r="A48" s="98">
        <v>43374</v>
      </c>
      <c r="B48" s="92">
        <v>208.520004</v>
      </c>
      <c r="C48" s="92">
        <v>209.78999300000001</v>
      </c>
      <c r="D48" s="92">
        <v>170.91000399999999</v>
      </c>
      <c r="E48" s="92">
        <v>175.88000500000001</v>
      </c>
      <c r="F48" s="92">
        <v>150.87908899999999</v>
      </c>
      <c r="G48" s="92">
        <v>133142600</v>
      </c>
      <c r="H48" s="99">
        <v>43374</v>
      </c>
      <c r="I48" s="92">
        <v>115.58000199999999</v>
      </c>
      <c r="J48" s="92">
        <v>115.629997</v>
      </c>
      <c r="K48" s="92">
        <v>91.610000999999997</v>
      </c>
      <c r="L48" s="92">
        <v>95.220000999999996</v>
      </c>
      <c r="M48" s="92">
        <v>84.570137000000003</v>
      </c>
      <c r="N48" s="92">
        <v>117775300</v>
      </c>
      <c r="O48" s="100">
        <v>43374</v>
      </c>
      <c r="P48" s="95">
        <v>31.43</v>
      </c>
      <c r="Q48" s="95">
        <v>34.200001</v>
      </c>
      <c r="R48" s="95">
        <v>30.963332999999999</v>
      </c>
      <c r="S48" s="95">
        <v>33.426665999999997</v>
      </c>
      <c r="T48" s="95">
        <v>30.231335000000001</v>
      </c>
      <c r="U48" s="96">
        <v>649263000</v>
      </c>
      <c r="V48" s="99">
        <v>43374</v>
      </c>
      <c r="W48" s="92">
        <v>30.4</v>
      </c>
      <c r="X48" s="92">
        <v>31.07</v>
      </c>
      <c r="Y48" s="92">
        <v>24.01</v>
      </c>
      <c r="Z48" s="92">
        <v>25.58</v>
      </c>
      <c r="AA48" s="92">
        <v>25.58</v>
      </c>
      <c r="AB48" s="97">
        <v>45693400</v>
      </c>
    </row>
    <row r="49" spans="1:28" x14ac:dyDescent="0.2">
      <c r="A49" s="98">
        <v>43405</v>
      </c>
      <c r="B49" s="92">
        <v>176.83999600000001</v>
      </c>
      <c r="C49" s="92">
        <v>188.69000199999999</v>
      </c>
      <c r="D49" s="92">
        <v>167</v>
      </c>
      <c r="E49" s="92">
        <v>180.320007</v>
      </c>
      <c r="F49" s="92">
        <v>154.68800400000001</v>
      </c>
      <c r="G49" s="92">
        <v>132549500</v>
      </c>
      <c r="H49" s="99">
        <v>43405</v>
      </c>
      <c r="I49" s="92">
        <v>95.290001000000004</v>
      </c>
      <c r="J49" s="92">
        <v>100.69000200000001</v>
      </c>
      <c r="K49" s="92">
        <v>84.75</v>
      </c>
      <c r="L49" s="92">
        <v>94.370002999999997</v>
      </c>
      <c r="M49" s="92">
        <v>84.226096999999996</v>
      </c>
      <c r="N49" s="92">
        <v>114556600</v>
      </c>
      <c r="O49" s="100">
        <v>43405</v>
      </c>
      <c r="P49" s="95">
        <v>33.32</v>
      </c>
      <c r="Q49" s="95">
        <v>35.403331999999999</v>
      </c>
      <c r="R49" s="95">
        <v>31.103332999999999</v>
      </c>
      <c r="S49" s="95">
        <v>32.549999</v>
      </c>
      <c r="T49" s="95">
        <v>29.438475</v>
      </c>
      <c r="U49" s="96">
        <v>575809800</v>
      </c>
      <c r="V49" s="99">
        <v>43405</v>
      </c>
      <c r="W49" s="92">
        <v>29.98</v>
      </c>
      <c r="X49" s="92">
        <v>34.039000999999999</v>
      </c>
      <c r="Y49" s="92">
        <v>26.290001</v>
      </c>
      <c r="Z49" s="92">
        <v>33.130001</v>
      </c>
      <c r="AA49" s="92">
        <v>33.130001</v>
      </c>
      <c r="AB49" s="97">
        <v>40883100</v>
      </c>
    </row>
    <row r="50" spans="1:28" x14ac:dyDescent="0.2">
      <c r="A50" s="98">
        <v>43435</v>
      </c>
      <c r="B50" s="92">
        <v>183.28999300000001</v>
      </c>
      <c r="C50" s="92">
        <v>183.5</v>
      </c>
      <c r="D50" s="92">
        <v>158.08999600000001</v>
      </c>
      <c r="E50" s="92">
        <v>171.820007</v>
      </c>
      <c r="F50" s="92">
        <v>148.27792400000001</v>
      </c>
      <c r="G50" s="92">
        <v>117667300</v>
      </c>
      <c r="H50" s="99">
        <v>43435</v>
      </c>
      <c r="I50" s="92">
        <v>95.489998</v>
      </c>
      <c r="J50" s="92">
        <v>96.059997999999993</v>
      </c>
      <c r="K50" s="92">
        <v>85.900002000000001</v>
      </c>
      <c r="L50" s="92">
        <v>92.360000999999997</v>
      </c>
      <c r="M50" s="92">
        <v>82.432152000000002</v>
      </c>
      <c r="N50" s="92">
        <v>106725000</v>
      </c>
      <c r="O50" s="100">
        <v>43435</v>
      </c>
      <c r="P50" s="95">
        <v>32.673332000000002</v>
      </c>
      <c r="Q50" s="95">
        <v>33.196666999999998</v>
      </c>
      <c r="R50" s="95">
        <v>28.593332</v>
      </c>
      <c r="S50" s="95">
        <v>31.049999</v>
      </c>
      <c r="T50" s="95">
        <v>28.081858</v>
      </c>
      <c r="U50" s="96">
        <v>558935400</v>
      </c>
      <c r="V50" s="99">
        <v>43435</v>
      </c>
      <c r="W50" s="92">
        <v>34.220001000000003</v>
      </c>
      <c r="X50" s="92">
        <v>34.939999</v>
      </c>
      <c r="Y50" s="92">
        <v>23.295000000000002</v>
      </c>
      <c r="Z50" s="92">
        <v>25.9</v>
      </c>
      <c r="AA50" s="92">
        <v>25.9</v>
      </c>
      <c r="AB50" s="97">
        <v>27738300</v>
      </c>
    </row>
    <row r="51" spans="1:28" x14ac:dyDescent="0.2">
      <c r="A51" s="98">
        <v>43466</v>
      </c>
      <c r="B51" s="92">
        <v>169.71000699999999</v>
      </c>
      <c r="C51" s="92">
        <v>184.66999799999999</v>
      </c>
      <c r="D51" s="92">
        <v>168.21000699999999</v>
      </c>
      <c r="E51" s="92">
        <v>183.529999</v>
      </c>
      <c r="F51" s="92">
        <v>158.38342299999999</v>
      </c>
      <c r="G51" s="92">
        <v>98771800</v>
      </c>
      <c r="H51" s="99">
        <v>43466</v>
      </c>
      <c r="I51" s="92">
        <v>91.220000999999996</v>
      </c>
      <c r="J51" s="92">
        <v>98.220000999999996</v>
      </c>
      <c r="K51" s="92">
        <v>90.230002999999996</v>
      </c>
      <c r="L51" s="92">
        <v>96.160004000000001</v>
      </c>
      <c r="M51" s="92">
        <v>85.823677000000004</v>
      </c>
      <c r="N51" s="92">
        <v>98822400</v>
      </c>
      <c r="O51" s="100">
        <v>43466</v>
      </c>
      <c r="P51" s="95">
        <v>30.546666999999999</v>
      </c>
      <c r="Q51" s="95">
        <v>33.116669000000002</v>
      </c>
      <c r="R51" s="95">
        <v>30.546666999999999</v>
      </c>
      <c r="S51" s="95">
        <v>31.943332999999999</v>
      </c>
      <c r="T51" s="95">
        <v>29.047453000000001</v>
      </c>
      <c r="U51" s="96">
        <v>482219100</v>
      </c>
      <c r="V51" s="99">
        <v>43466</v>
      </c>
      <c r="W51" s="92">
        <v>25.65</v>
      </c>
      <c r="X51" s="92">
        <v>34.5</v>
      </c>
      <c r="Y51" s="92">
        <v>25.200001</v>
      </c>
      <c r="Z51" s="92">
        <v>34.290000999999997</v>
      </c>
      <c r="AA51" s="92">
        <v>34.290000999999997</v>
      </c>
      <c r="AB51" s="97">
        <v>28676200</v>
      </c>
    </row>
    <row r="52" spans="1:28" x14ac:dyDescent="0.2">
      <c r="A52" s="98">
        <v>43497</v>
      </c>
      <c r="B52" s="92">
        <v>184.029999</v>
      </c>
      <c r="C52" s="92">
        <v>193.41999799999999</v>
      </c>
      <c r="D52" s="92">
        <v>182.449997</v>
      </c>
      <c r="E52" s="92">
        <v>185.13999899999999</v>
      </c>
      <c r="F52" s="92">
        <v>159.772873</v>
      </c>
      <c r="G52" s="92">
        <v>90471400</v>
      </c>
      <c r="H52" s="99">
        <v>43497</v>
      </c>
      <c r="I52" s="92">
        <v>96.209998999999996</v>
      </c>
      <c r="J52" s="92">
        <v>109.91999800000001</v>
      </c>
      <c r="K52" s="92">
        <v>95.839995999999999</v>
      </c>
      <c r="L52" s="92">
        <v>105.089996</v>
      </c>
      <c r="M52" s="92">
        <v>94.270202999999995</v>
      </c>
      <c r="N52" s="92">
        <v>88244000</v>
      </c>
      <c r="O52" s="100">
        <v>43497</v>
      </c>
      <c r="P52" s="95">
        <v>31.973333</v>
      </c>
      <c r="Q52" s="95">
        <v>34.726664999999997</v>
      </c>
      <c r="R52" s="95">
        <v>31.036667000000001</v>
      </c>
      <c r="S52" s="95">
        <v>32.996665999999998</v>
      </c>
      <c r="T52" s="95">
        <v>30.005296999999999</v>
      </c>
      <c r="U52" s="96">
        <v>500398500</v>
      </c>
      <c r="V52" s="99">
        <v>43497</v>
      </c>
      <c r="W52" s="92">
        <v>32.830002</v>
      </c>
      <c r="X52" s="92">
        <v>39.610000999999997</v>
      </c>
      <c r="Y52" s="92">
        <v>31.1</v>
      </c>
      <c r="Z52" s="92">
        <v>37.18</v>
      </c>
      <c r="AA52" s="92">
        <v>37.18</v>
      </c>
      <c r="AB52" s="97">
        <v>28353800</v>
      </c>
    </row>
    <row r="53" spans="1:28" x14ac:dyDescent="0.2">
      <c r="A53" s="98">
        <v>43525</v>
      </c>
      <c r="B53" s="92">
        <v>185.820007</v>
      </c>
      <c r="C53" s="92">
        <v>192.19000199999999</v>
      </c>
      <c r="D53" s="92">
        <v>179.520004</v>
      </c>
      <c r="E53" s="92">
        <v>191.88999899999999</v>
      </c>
      <c r="F53" s="92">
        <v>165.598007</v>
      </c>
      <c r="G53" s="92">
        <v>95115500</v>
      </c>
      <c r="H53" s="99">
        <v>43525</v>
      </c>
      <c r="I53" s="92">
        <v>105.900002</v>
      </c>
      <c r="J53" s="92">
        <v>109.94000200000001</v>
      </c>
      <c r="K53" s="92">
        <v>97.550003000000004</v>
      </c>
      <c r="L53" s="92">
        <v>109.470001</v>
      </c>
      <c r="M53" s="92">
        <v>98.199271999999993</v>
      </c>
      <c r="N53" s="92">
        <v>99741000</v>
      </c>
      <c r="O53" s="100">
        <v>43525</v>
      </c>
      <c r="P53" s="95">
        <v>33.156666000000001</v>
      </c>
      <c r="Q53" s="95">
        <v>33.496665999999998</v>
      </c>
      <c r="R53" s="95">
        <v>31.666668000000001</v>
      </c>
      <c r="S53" s="95">
        <v>32.509998000000003</v>
      </c>
      <c r="T53" s="95">
        <v>29.562742</v>
      </c>
      <c r="U53" s="96">
        <v>423441300</v>
      </c>
      <c r="V53" s="99">
        <v>43525</v>
      </c>
      <c r="W53" s="92">
        <v>37.75</v>
      </c>
      <c r="X53" s="92">
        <v>42.18</v>
      </c>
      <c r="Y53" s="92">
        <v>37.020000000000003</v>
      </c>
      <c r="Z53" s="92">
        <v>41.220001000000003</v>
      </c>
      <c r="AA53" s="92">
        <v>41.220001000000003</v>
      </c>
      <c r="AB53" s="97">
        <v>25043400</v>
      </c>
    </row>
    <row r="54" spans="1:28" x14ac:dyDescent="0.2">
      <c r="A54" s="98">
        <v>43556</v>
      </c>
      <c r="B54" s="92">
        <v>192.990005</v>
      </c>
      <c r="C54" s="92">
        <v>208.300003</v>
      </c>
      <c r="D54" s="92">
        <v>192.85000600000001</v>
      </c>
      <c r="E54" s="92">
        <v>203.699997</v>
      </c>
      <c r="F54" s="92">
        <v>177.09884600000001</v>
      </c>
      <c r="G54" s="92">
        <v>71203800</v>
      </c>
      <c r="H54" s="99">
        <v>43556</v>
      </c>
      <c r="I54" s="92">
        <v>110.209999</v>
      </c>
      <c r="J54" s="92">
        <v>118.230003</v>
      </c>
      <c r="K54" s="92">
        <v>105.839996</v>
      </c>
      <c r="L54" s="92">
        <v>113.139999</v>
      </c>
      <c r="M54" s="92">
        <v>101.491417</v>
      </c>
      <c r="N54" s="92">
        <v>86340500</v>
      </c>
      <c r="O54" s="100">
        <v>43556</v>
      </c>
      <c r="P54" s="95">
        <v>32.656666000000001</v>
      </c>
      <c r="Q54" s="95">
        <v>34.716667000000001</v>
      </c>
      <c r="R54" s="95">
        <v>32.263331999999998</v>
      </c>
      <c r="S54" s="95">
        <v>34.279998999999997</v>
      </c>
      <c r="T54" s="95">
        <v>31.340008000000001</v>
      </c>
      <c r="U54" s="96">
        <v>331820700</v>
      </c>
      <c r="V54" s="99">
        <v>43556</v>
      </c>
      <c r="W54" s="92">
        <v>41.57</v>
      </c>
      <c r="X54" s="92">
        <v>48.720001000000003</v>
      </c>
      <c r="Y54" s="92">
        <v>41.220001000000003</v>
      </c>
      <c r="Z54" s="92">
        <v>48.02</v>
      </c>
      <c r="AA54" s="92">
        <v>48.02</v>
      </c>
      <c r="AB54" s="97">
        <v>16309500</v>
      </c>
    </row>
    <row r="55" spans="1:28" x14ac:dyDescent="0.2">
      <c r="A55" s="98">
        <v>43586</v>
      </c>
      <c r="B55" s="92">
        <v>203.199997</v>
      </c>
      <c r="C55" s="92">
        <v>203.520004</v>
      </c>
      <c r="D55" s="92">
        <v>186.270004</v>
      </c>
      <c r="E55" s="92">
        <v>189.85000600000001</v>
      </c>
      <c r="F55" s="92">
        <v>165.057526</v>
      </c>
      <c r="G55" s="92">
        <v>94651500</v>
      </c>
      <c r="H55" s="99">
        <v>43586</v>
      </c>
      <c r="I55" s="92">
        <v>113.040001</v>
      </c>
      <c r="J55" s="92">
        <v>113.129997</v>
      </c>
      <c r="K55" s="92">
        <v>91.599997999999999</v>
      </c>
      <c r="L55" s="92">
        <v>93.279999000000004</v>
      </c>
      <c r="M55" s="92">
        <v>84.031745999999998</v>
      </c>
      <c r="N55" s="92">
        <v>132427600</v>
      </c>
      <c r="O55" s="100">
        <v>43586</v>
      </c>
      <c r="P55" s="95">
        <v>34.256667999999998</v>
      </c>
      <c r="Q55" s="95">
        <v>34.653331999999999</v>
      </c>
      <c r="R55" s="95">
        <v>32.950001</v>
      </c>
      <c r="S55" s="95">
        <v>33.813332000000003</v>
      </c>
      <c r="T55" s="95">
        <v>30.913366</v>
      </c>
      <c r="U55" s="96">
        <v>467294700</v>
      </c>
      <c r="V55" s="99">
        <v>43586</v>
      </c>
      <c r="W55" s="92">
        <v>48.220001000000003</v>
      </c>
      <c r="X55" s="92">
        <v>48.529998999999997</v>
      </c>
      <c r="Y55" s="92">
        <v>35.169998</v>
      </c>
      <c r="Z55" s="92">
        <v>35.520000000000003</v>
      </c>
      <c r="AA55" s="92">
        <v>35.520000000000003</v>
      </c>
      <c r="AB55" s="97">
        <v>31961600</v>
      </c>
    </row>
    <row r="56" spans="1:28" x14ac:dyDescent="0.2">
      <c r="A56" s="98">
        <v>43617</v>
      </c>
      <c r="B56" s="92">
        <v>189.520004</v>
      </c>
      <c r="C56" s="92">
        <v>211.990005</v>
      </c>
      <c r="D56" s="92">
        <v>188.75</v>
      </c>
      <c r="E56" s="92">
        <v>207.970001</v>
      </c>
      <c r="F56" s="92">
        <v>180.81123400000001</v>
      </c>
      <c r="G56" s="92">
        <v>90786400</v>
      </c>
      <c r="H56" s="99">
        <v>43617</v>
      </c>
      <c r="I56" s="92">
        <v>93.029999000000004</v>
      </c>
      <c r="J56" s="92">
        <v>102.959999</v>
      </c>
      <c r="K56" s="92">
        <v>92.900002000000001</v>
      </c>
      <c r="L56" s="92">
        <v>100.910004</v>
      </c>
      <c r="M56" s="92">
        <v>90.905258000000003</v>
      </c>
      <c r="N56" s="92">
        <v>95671900</v>
      </c>
      <c r="O56" s="100">
        <v>43617</v>
      </c>
      <c r="P56" s="95">
        <v>33.876666999999998</v>
      </c>
      <c r="Q56" s="95">
        <v>37.406666000000001</v>
      </c>
      <c r="R56" s="95">
        <v>33.799999</v>
      </c>
      <c r="S56" s="95">
        <v>36.830002</v>
      </c>
      <c r="T56" s="95">
        <v>33.850181999999997</v>
      </c>
      <c r="U56" s="96">
        <v>364575000</v>
      </c>
      <c r="V56" s="99">
        <v>43617</v>
      </c>
      <c r="W56" s="92">
        <v>35.43</v>
      </c>
      <c r="X56" s="92">
        <v>42.529998999999997</v>
      </c>
      <c r="Y56" s="92">
        <v>35.409999999999997</v>
      </c>
      <c r="Z56" s="92">
        <v>41.900002000000001</v>
      </c>
      <c r="AA56" s="92">
        <v>41.900002000000001</v>
      </c>
      <c r="AB56" s="97">
        <v>22573600</v>
      </c>
    </row>
    <row r="57" spans="1:28" x14ac:dyDescent="0.2">
      <c r="A57" s="98">
        <v>43647</v>
      </c>
      <c r="B57" s="92">
        <v>209.699997</v>
      </c>
      <c r="C57" s="92">
        <v>219.300003</v>
      </c>
      <c r="D57" s="92">
        <v>208.16999799999999</v>
      </c>
      <c r="E57" s="92">
        <v>213.69000199999999</v>
      </c>
      <c r="F57" s="92">
        <v>187.08737199999999</v>
      </c>
      <c r="G57" s="92">
        <v>64167400</v>
      </c>
      <c r="H57" s="99">
        <v>43647</v>
      </c>
      <c r="I57" s="92">
        <v>102.099998</v>
      </c>
      <c r="J57" s="92">
        <v>108.30999799999999</v>
      </c>
      <c r="K57" s="92">
        <v>100.839996</v>
      </c>
      <c r="L57" s="92">
        <v>101.400002</v>
      </c>
      <c r="M57" s="92">
        <v>91.346680000000006</v>
      </c>
      <c r="N57" s="92">
        <v>92408500</v>
      </c>
      <c r="O57" s="100">
        <v>43647</v>
      </c>
      <c r="P57" s="95">
        <v>37.099997999999999</v>
      </c>
      <c r="Q57" s="95">
        <v>38.496665999999998</v>
      </c>
      <c r="R57" s="95">
        <v>36.543331000000002</v>
      </c>
      <c r="S57" s="95">
        <v>36.793331000000002</v>
      </c>
      <c r="T57" s="95">
        <v>33.816474999999997</v>
      </c>
      <c r="U57" s="96">
        <v>273860700</v>
      </c>
      <c r="V57" s="99">
        <v>43647</v>
      </c>
      <c r="W57" s="92">
        <v>42.860000999999997</v>
      </c>
      <c r="X57" s="92">
        <v>43.830002</v>
      </c>
      <c r="Y57" s="92">
        <v>38.159999999999997</v>
      </c>
      <c r="Z57" s="92">
        <v>39.150002000000001</v>
      </c>
      <c r="AA57" s="92">
        <v>39.150002000000001</v>
      </c>
      <c r="AB57" s="97">
        <v>17806600</v>
      </c>
    </row>
    <row r="58" spans="1:28" x14ac:dyDescent="0.2">
      <c r="A58" s="98">
        <v>43678</v>
      </c>
      <c r="B58" s="92">
        <v>214.13999899999999</v>
      </c>
      <c r="C58" s="92">
        <v>229.270004</v>
      </c>
      <c r="D58" s="92">
        <v>199.050003</v>
      </c>
      <c r="E58" s="92">
        <v>227.91000399999999</v>
      </c>
      <c r="F58" s="92">
        <v>199.53710899999999</v>
      </c>
      <c r="G58" s="92">
        <v>99184500</v>
      </c>
      <c r="H58" s="99">
        <v>43678</v>
      </c>
      <c r="I58" s="92">
        <v>101.739998</v>
      </c>
      <c r="J58" s="92">
        <v>113.239998</v>
      </c>
      <c r="K58" s="92">
        <v>91.82</v>
      </c>
      <c r="L58" s="92">
        <v>112.199997</v>
      </c>
      <c r="M58" s="92">
        <v>101.620918</v>
      </c>
      <c r="N58" s="92">
        <v>125947700</v>
      </c>
      <c r="O58" s="100">
        <v>43678</v>
      </c>
      <c r="P58" s="95">
        <v>36.773335000000003</v>
      </c>
      <c r="Q58" s="95">
        <v>38.459999000000003</v>
      </c>
      <c r="R58" s="95">
        <v>34.946666999999998</v>
      </c>
      <c r="S58" s="95">
        <v>38.086666000000001</v>
      </c>
      <c r="T58" s="95">
        <v>35.005172999999999</v>
      </c>
      <c r="U58" s="96">
        <v>473622600</v>
      </c>
      <c r="V58" s="99">
        <v>43678</v>
      </c>
      <c r="W58" s="92">
        <v>39.400002000000001</v>
      </c>
      <c r="X58" s="92">
        <v>49.900002000000001</v>
      </c>
      <c r="Y58" s="92">
        <v>35.909999999999997</v>
      </c>
      <c r="Z58" s="92">
        <v>49.220001000000003</v>
      </c>
      <c r="AA58" s="92">
        <v>49.220001000000003</v>
      </c>
      <c r="AB58" s="97">
        <v>31871200</v>
      </c>
    </row>
    <row r="59" spans="1:28" x14ac:dyDescent="0.2">
      <c r="A59" s="98">
        <v>43709</v>
      </c>
      <c r="B59" s="92">
        <v>226.449997</v>
      </c>
      <c r="C59" s="92">
        <v>235.490005</v>
      </c>
      <c r="D59" s="92">
        <v>220.66999799999999</v>
      </c>
      <c r="E59" s="92">
        <v>232.020004</v>
      </c>
      <c r="F59" s="92">
        <v>203.13545199999999</v>
      </c>
      <c r="G59" s="92">
        <v>75292900</v>
      </c>
      <c r="H59" s="99">
        <v>43709</v>
      </c>
      <c r="I59" s="92">
        <v>111.370003</v>
      </c>
      <c r="J59" s="92">
        <v>115.959999</v>
      </c>
      <c r="K59" s="92">
        <v>108.80999799999999</v>
      </c>
      <c r="L59" s="92">
        <v>109.959999</v>
      </c>
      <c r="M59" s="92">
        <v>99.592124999999996</v>
      </c>
      <c r="N59" s="92">
        <v>74933600</v>
      </c>
      <c r="O59" s="100">
        <v>43709</v>
      </c>
      <c r="P59" s="95">
        <v>37.893332999999998</v>
      </c>
      <c r="Q59" s="95">
        <v>39.953335000000003</v>
      </c>
      <c r="R59" s="95">
        <v>37.830002</v>
      </c>
      <c r="S59" s="95">
        <v>39.560001</v>
      </c>
      <c r="T59" s="95">
        <v>36.538283999999997</v>
      </c>
      <c r="U59" s="96">
        <v>316087500</v>
      </c>
      <c r="V59" s="99">
        <v>43709</v>
      </c>
      <c r="W59" s="92">
        <v>48.59</v>
      </c>
      <c r="X59" s="92">
        <v>53</v>
      </c>
      <c r="Y59" s="92">
        <v>46.91</v>
      </c>
      <c r="Z59" s="92">
        <v>51.150002000000001</v>
      </c>
      <c r="AA59" s="92">
        <v>51.150002000000001</v>
      </c>
      <c r="AB59" s="97">
        <v>24542700</v>
      </c>
    </row>
    <row r="60" spans="1:28" x14ac:dyDescent="0.2">
      <c r="A60" s="98">
        <v>43739</v>
      </c>
      <c r="B60" s="92">
        <v>233.009995</v>
      </c>
      <c r="C60" s="92">
        <v>238.990005</v>
      </c>
      <c r="D60" s="92">
        <v>222.11999499999999</v>
      </c>
      <c r="E60" s="92">
        <v>234.58000200000001</v>
      </c>
      <c r="F60" s="92">
        <v>206.63092</v>
      </c>
      <c r="G60" s="92">
        <v>62599000</v>
      </c>
      <c r="H60" s="99">
        <v>43739</v>
      </c>
      <c r="I60" s="92">
        <v>110.089996</v>
      </c>
      <c r="J60" s="92">
        <v>113.80999799999999</v>
      </c>
      <c r="K60" s="92">
        <v>104.589996</v>
      </c>
      <c r="L60" s="92">
        <v>111.610001</v>
      </c>
      <c r="M60" s="92">
        <v>101.086555</v>
      </c>
      <c r="N60" s="92">
        <v>75839900</v>
      </c>
      <c r="O60" s="100">
        <v>43739</v>
      </c>
      <c r="P60" s="95">
        <v>39.616669000000002</v>
      </c>
      <c r="Q60" s="95">
        <v>40.236668000000002</v>
      </c>
      <c r="R60" s="95">
        <v>38.193333000000003</v>
      </c>
      <c r="S60" s="95">
        <v>39.086666000000001</v>
      </c>
      <c r="T60" s="95">
        <v>36.101097000000003</v>
      </c>
      <c r="U60" s="96">
        <v>289222800</v>
      </c>
      <c r="V60" s="99">
        <v>43739</v>
      </c>
      <c r="W60" s="92">
        <v>51.290000999999997</v>
      </c>
      <c r="X60" s="92">
        <v>51.990001999999997</v>
      </c>
      <c r="Y60" s="92">
        <v>43.75</v>
      </c>
      <c r="Z60" s="92">
        <v>45.830002</v>
      </c>
      <c r="AA60" s="92">
        <v>45.830002</v>
      </c>
      <c r="AB60" s="97">
        <v>26395700</v>
      </c>
    </row>
    <row r="61" spans="1:28" x14ac:dyDescent="0.2">
      <c r="A61" s="98">
        <v>43770</v>
      </c>
      <c r="B61" s="92">
        <v>236.070007</v>
      </c>
      <c r="C61" s="92">
        <v>239.30999800000001</v>
      </c>
      <c r="D61" s="92">
        <v>216.88000500000001</v>
      </c>
      <c r="E61" s="92">
        <v>220.509995</v>
      </c>
      <c r="F61" s="92">
        <v>194.23725899999999</v>
      </c>
      <c r="G61" s="92">
        <v>102466800</v>
      </c>
      <c r="H61" s="99">
        <v>43770</v>
      </c>
      <c r="I61" s="92">
        <v>111.91999800000001</v>
      </c>
      <c r="J61" s="92">
        <v>121.220001</v>
      </c>
      <c r="K61" s="92">
        <v>110.150002</v>
      </c>
      <c r="L61" s="92">
        <v>117.30999799999999</v>
      </c>
      <c r="M61" s="92">
        <v>106.77368199999999</v>
      </c>
      <c r="N61" s="92">
        <v>86957200</v>
      </c>
      <c r="O61" s="100">
        <v>43770</v>
      </c>
      <c r="P61" s="95">
        <v>39.306666999999997</v>
      </c>
      <c r="Q61" s="95">
        <v>41.793331000000002</v>
      </c>
      <c r="R61" s="95">
        <v>39.026668999999998</v>
      </c>
      <c r="S61" s="95">
        <v>39.696666999999998</v>
      </c>
      <c r="T61" s="95">
        <v>36.664512999999999</v>
      </c>
      <c r="U61" s="96">
        <v>349861800</v>
      </c>
      <c r="V61" s="99">
        <v>43770</v>
      </c>
      <c r="W61" s="92">
        <v>40.009998000000003</v>
      </c>
      <c r="X61" s="92">
        <v>48.639999000000003</v>
      </c>
      <c r="Y61" s="92">
        <v>39.5</v>
      </c>
      <c r="Z61" s="92">
        <v>48.009998000000003</v>
      </c>
      <c r="AA61" s="92">
        <v>48.009998000000003</v>
      </c>
      <c r="AB61" s="97">
        <v>28079400</v>
      </c>
    </row>
    <row r="62" spans="1:28" x14ac:dyDescent="0.2">
      <c r="A62" s="98">
        <v>43800</v>
      </c>
      <c r="B62" s="92">
        <v>220.89999399999999</v>
      </c>
      <c r="C62" s="92">
        <v>222</v>
      </c>
      <c r="D62" s="92">
        <v>210.61000100000001</v>
      </c>
      <c r="E62" s="92">
        <v>218.38000500000001</v>
      </c>
      <c r="F62" s="92">
        <v>192.361099</v>
      </c>
      <c r="G62" s="92">
        <v>111759300</v>
      </c>
      <c r="H62" s="99">
        <v>43800</v>
      </c>
      <c r="I62" s="92">
        <v>117.599998</v>
      </c>
      <c r="J62" s="92">
        <v>121.459999</v>
      </c>
      <c r="K62" s="92">
        <v>113.610001</v>
      </c>
      <c r="L62" s="92">
        <v>119.760002</v>
      </c>
      <c r="M62" s="92">
        <v>109.003632</v>
      </c>
      <c r="N62" s="92">
        <v>66612000</v>
      </c>
      <c r="O62" s="100">
        <v>43800</v>
      </c>
      <c r="P62" s="95">
        <v>39.716667000000001</v>
      </c>
      <c r="Q62" s="95">
        <v>40.706668999999998</v>
      </c>
      <c r="R62" s="95">
        <v>39.139999000000003</v>
      </c>
      <c r="S62" s="95">
        <v>39.613334999999999</v>
      </c>
      <c r="T62" s="95">
        <v>36.587542999999997</v>
      </c>
      <c r="U62" s="96">
        <v>295268100</v>
      </c>
      <c r="V62" s="99">
        <v>43800</v>
      </c>
      <c r="W62" s="92">
        <v>48.029998999999997</v>
      </c>
      <c r="X62" s="92">
        <v>51.330002</v>
      </c>
      <c r="Y62" s="92">
        <v>44.830002</v>
      </c>
      <c r="Z62" s="92">
        <v>50.810001</v>
      </c>
      <c r="AA62" s="92">
        <v>50.810001</v>
      </c>
      <c r="AB62" s="97">
        <v>20284000</v>
      </c>
    </row>
    <row r="63" spans="1:28" x14ac:dyDescent="0.2">
      <c r="A63" s="98">
        <v>43831</v>
      </c>
      <c r="B63" s="92">
        <v>219.08000200000001</v>
      </c>
      <c r="C63" s="92">
        <v>236.529999</v>
      </c>
      <c r="D63" s="92">
        <v>216.39999399999999</v>
      </c>
      <c r="E63" s="92">
        <v>228.10000600000001</v>
      </c>
      <c r="F63" s="92">
        <v>202.208054</v>
      </c>
      <c r="G63" s="92">
        <v>97265400</v>
      </c>
      <c r="H63" s="99">
        <v>43831</v>
      </c>
      <c r="I63" s="92">
        <v>120.050003</v>
      </c>
      <c r="J63" s="92">
        <v>123.139999</v>
      </c>
      <c r="K63" s="92">
        <v>116.089996</v>
      </c>
      <c r="L63" s="92">
        <v>116.239998</v>
      </c>
      <c r="M63" s="92">
        <v>105.799774</v>
      </c>
      <c r="N63" s="92">
        <v>76244300</v>
      </c>
      <c r="O63" s="100">
        <v>43831</v>
      </c>
      <c r="P63" s="95">
        <v>39.619999</v>
      </c>
      <c r="Q63" s="95">
        <v>39.963332999999999</v>
      </c>
      <c r="R63" s="95">
        <v>37.560001</v>
      </c>
      <c r="S63" s="95">
        <v>38.163333999999999</v>
      </c>
      <c r="T63" s="95">
        <v>35.406399</v>
      </c>
      <c r="U63" s="96">
        <v>383722500</v>
      </c>
      <c r="V63" s="99">
        <v>43831</v>
      </c>
      <c r="W63" s="92">
        <v>51</v>
      </c>
      <c r="X63" s="92">
        <v>51.709999000000003</v>
      </c>
      <c r="Y63" s="92">
        <v>46.049999</v>
      </c>
      <c r="Z63" s="92">
        <v>49.310001</v>
      </c>
      <c r="AA63" s="92">
        <v>49.310001</v>
      </c>
      <c r="AB63" s="97">
        <v>16434500</v>
      </c>
    </row>
    <row r="64" spans="1:28" x14ac:dyDescent="0.2">
      <c r="A64" s="98">
        <v>43862</v>
      </c>
      <c r="B64" s="92">
        <v>230.300003</v>
      </c>
      <c r="C64" s="92">
        <v>247.36000100000001</v>
      </c>
      <c r="D64" s="92">
        <v>212.33000200000001</v>
      </c>
      <c r="E64" s="92">
        <v>217.83999600000001</v>
      </c>
      <c r="F64" s="92">
        <v>193.11265599999999</v>
      </c>
      <c r="G64" s="92">
        <v>86009000</v>
      </c>
      <c r="H64" s="99">
        <v>43862</v>
      </c>
      <c r="I64" s="92">
        <v>117</v>
      </c>
      <c r="J64" s="92">
        <v>126.730003</v>
      </c>
      <c r="K64" s="92">
        <v>102.93</v>
      </c>
      <c r="L64" s="92">
        <v>106.57</v>
      </c>
      <c r="M64" s="92">
        <v>97.436286999999993</v>
      </c>
      <c r="N64" s="92">
        <v>87816100</v>
      </c>
      <c r="O64" s="100">
        <v>43862</v>
      </c>
      <c r="P64" s="95">
        <v>38.299999</v>
      </c>
      <c r="Q64" s="95">
        <v>39.983333999999999</v>
      </c>
      <c r="R64" s="95">
        <v>34.790000999999997</v>
      </c>
      <c r="S64" s="95">
        <v>35.893332999999998</v>
      </c>
      <c r="T64" s="95">
        <v>33.300387999999998</v>
      </c>
      <c r="U64" s="96">
        <v>397242300</v>
      </c>
      <c r="V64" s="99">
        <v>43862</v>
      </c>
      <c r="W64" s="92">
        <v>49.66</v>
      </c>
      <c r="X64" s="92">
        <v>62.619999</v>
      </c>
      <c r="Y64" s="92">
        <v>48.830002</v>
      </c>
      <c r="Z64" s="92">
        <v>51.049999</v>
      </c>
      <c r="AA64" s="92">
        <v>51.049999</v>
      </c>
      <c r="AB64" s="97">
        <v>24727400</v>
      </c>
    </row>
    <row r="65" spans="1:28" x14ac:dyDescent="0.2">
      <c r="A65" s="98">
        <v>43891</v>
      </c>
      <c r="B65" s="92">
        <v>219.979996</v>
      </c>
      <c r="C65" s="92">
        <v>241.320007</v>
      </c>
      <c r="D65" s="92">
        <v>140.63000500000001</v>
      </c>
      <c r="E65" s="92">
        <v>186.71000699999999</v>
      </c>
      <c r="F65" s="92">
        <v>165.51629600000001</v>
      </c>
      <c r="G65" s="92">
        <v>221563200</v>
      </c>
      <c r="H65" s="99">
        <v>43891</v>
      </c>
      <c r="I65" s="92">
        <v>107.199997</v>
      </c>
      <c r="J65" s="92">
        <v>113.550003</v>
      </c>
      <c r="K65" s="92">
        <v>60</v>
      </c>
      <c r="L65" s="92">
        <v>86.050003000000004</v>
      </c>
      <c r="M65" s="92">
        <v>78.674949999999995</v>
      </c>
      <c r="N65" s="92">
        <v>202085300</v>
      </c>
      <c r="O65" s="100">
        <v>43891</v>
      </c>
      <c r="P65" s="95">
        <v>35.866669000000002</v>
      </c>
      <c r="Q65" s="95">
        <v>42.693333000000003</v>
      </c>
      <c r="R65" s="95">
        <v>34</v>
      </c>
      <c r="S65" s="95">
        <v>37.873333000000002</v>
      </c>
      <c r="T65" s="95">
        <v>35.137340999999999</v>
      </c>
      <c r="U65" s="96">
        <v>956864400</v>
      </c>
      <c r="V65" s="99">
        <v>43891</v>
      </c>
      <c r="W65" s="92">
        <v>51.580002</v>
      </c>
      <c r="X65" s="92">
        <v>55.470001000000003</v>
      </c>
      <c r="Y65" s="92">
        <v>24.360001</v>
      </c>
      <c r="Z65" s="92">
        <v>32.090000000000003</v>
      </c>
      <c r="AA65" s="92">
        <v>32.090000000000003</v>
      </c>
      <c r="AB65" s="97">
        <v>47188400</v>
      </c>
    </row>
    <row r="66" spans="1:28" x14ac:dyDescent="0.2">
      <c r="A66" s="98">
        <v>43922</v>
      </c>
      <c r="B66" s="92">
        <v>175.91000399999999</v>
      </c>
      <c r="C66" s="92">
        <v>224.220001</v>
      </c>
      <c r="D66" s="92">
        <v>174</v>
      </c>
      <c r="E66" s="92">
        <v>219.83000200000001</v>
      </c>
      <c r="F66" s="92">
        <v>196.180588</v>
      </c>
      <c r="G66" s="92">
        <v>120713600</v>
      </c>
      <c r="H66" s="99">
        <v>43922</v>
      </c>
      <c r="I66" s="92">
        <v>80.739998</v>
      </c>
      <c r="J66" s="92">
        <v>107.800003</v>
      </c>
      <c r="K66" s="92">
        <v>79.080001999999993</v>
      </c>
      <c r="L66" s="92">
        <v>104.75</v>
      </c>
      <c r="M66" s="92">
        <v>95.772246999999993</v>
      </c>
      <c r="N66" s="92">
        <v>132098400</v>
      </c>
      <c r="O66" s="100">
        <v>43922</v>
      </c>
      <c r="P66" s="95">
        <v>37.383330999999998</v>
      </c>
      <c r="Q66" s="95">
        <v>44.459999000000003</v>
      </c>
      <c r="R66" s="95">
        <v>37.266666000000001</v>
      </c>
      <c r="S66" s="95">
        <v>40.516666000000001</v>
      </c>
      <c r="T66" s="95">
        <v>37.756053999999999</v>
      </c>
      <c r="U66" s="96">
        <v>621479400</v>
      </c>
      <c r="V66" s="99">
        <v>43922</v>
      </c>
      <c r="W66" s="92">
        <v>30.049999</v>
      </c>
      <c r="X66" s="92">
        <v>43.564999</v>
      </c>
      <c r="Y66" s="92">
        <v>26.08</v>
      </c>
      <c r="Z66" s="92">
        <v>42.400002000000001</v>
      </c>
      <c r="AA66" s="92">
        <v>42.400002000000001</v>
      </c>
      <c r="AB66" s="97">
        <v>36932700</v>
      </c>
    </row>
    <row r="67" spans="1:28" x14ac:dyDescent="0.2">
      <c r="A67" s="98">
        <v>43952</v>
      </c>
      <c r="B67" s="92">
        <v>216.770004</v>
      </c>
      <c r="C67" s="92">
        <v>252.229996</v>
      </c>
      <c r="D67" s="92">
        <v>215.21000699999999</v>
      </c>
      <c r="E67" s="92">
        <v>248.479996</v>
      </c>
      <c r="F67" s="92">
        <v>221.74842799999999</v>
      </c>
      <c r="G67" s="92">
        <v>115230300</v>
      </c>
      <c r="H67" s="99">
        <v>43952</v>
      </c>
      <c r="I67" s="92">
        <v>102.5</v>
      </c>
      <c r="J67" s="92">
        <v>131.39999399999999</v>
      </c>
      <c r="K67" s="92">
        <v>102.30999799999999</v>
      </c>
      <c r="L67" s="92">
        <v>130.35000600000001</v>
      </c>
      <c r="M67" s="92">
        <v>119.87123099999999</v>
      </c>
      <c r="N67" s="92">
        <v>134518500</v>
      </c>
      <c r="O67" s="100">
        <v>43952</v>
      </c>
      <c r="P67" s="95">
        <v>40.493332000000002</v>
      </c>
      <c r="Q67" s="95">
        <v>43.996665999999998</v>
      </c>
      <c r="R67" s="95">
        <v>40.259998000000003</v>
      </c>
      <c r="S67" s="95">
        <v>41.353332999999999</v>
      </c>
      <c r="T67" s="95">
        <v>38.535705999999998</v>
      </c>
      <c r="U67" s="96">
        <v>560369100</v>
      </c>
      <c r="V67" s="99">
        <v>43952</v>
      </c>
      <c r="W67" s="92">
        <v>41.68</v>
      </c>
      <c r="X67" s="92">
        <v>54.299999</v>
      </c>
      <c r="Y67" s="92">
        <v>38.340000000000003</v>
      </c>
      <c r="Z67" s="92">
        <v>52</v>
      </c>
      <c r="AA67" s="92">
        <v>52</v>
      </c>
      <c r="AB67" s="97">
        <v>38377600</v>
      </c>
    </row>
    <row r="68" spans="1:28" x14ac:dyDescent="0.2">
      <c r="A68" s="98">
        <v>43983</v>
      </c>
      <c r="B68" s="92">
        <v>249.41000399999999</v>
      </c>
      <c r="C68" s="92">
        <v>259.290009</v>
      </c>
      <c r="D68" s="92">
        <v>234.30999800000001</v>
      </c>
      <c r="E68" s="92">
        <v>250.509995</v>
      </c>
      <c r="F68" s="92">
        <v>223.560013</v>
      </c>
      <c r="G68" s="92">
        <v>103047000</v>
      </c>
      <c r="H68" s="99">
        <v>43983</v>
      </c>
      <c r="I68" s="92">
        <v>129.88999899999999</v>
      </c>
      <c r="J68" s="92">
        <v>137.28999300000001</v>
      </c>
      <c r="K68" s="92">
        <v>123.089996</v>
      </c>
      <c r="L68" s="92">
        <v>135.11999499999999</v>
      </c>
      <c r="M68" s="92">
        <v>124.257767</v>
      </c>
      <c r="N68" s="92">
        <v>108753500</v>
      </c>
      <c r="O68" s="100">
        <v>43983</v>
      </c>
      <c r="P68" s="95">
        <v>41.146667000000001</v>
      </c>
      <c r="Q68" s="95">
        <v>41.470001000000003</v>
      </c>
      <c r="R68" s="95">
        <v>39.003334000000002</v>
      </c>
      <c r="S68" s="95">
        <v>39.926665999999997</v>
      </c>
      <c r="T68" s="95">
        <v>37.369914999999999</v>
      </c>
      <c r="U68" s="96">
        <v>557556600</v>
      </c>
      <c r="V68" s="99">
        <v>43983</v>
      </c>
      <c r="W68" s="92">
        <v>52.799999</v>
      </c>
      <c r="X68" s="92">
        <v>58.849997999999999</v>
      </c>
      <c r="Y68" s="92">
        <v>49.849997999999999</v>
      </c>
      <c r="Z68" s="92">
        <v>57.650002000000001</v>
      </c>
      <c r="AA68" s="92">
        <v>57.650002000000001</v>
      </c>
      <c r="AB68" s="97">
        <v>31917300</v>
      </c>
    </row>
    <row r="69" spans="1:28" x14ac:dyDescent="0.2">
      <c r="A69" s="98">
        <v>44013</v>
      </c>
      <c r="B69" s="92">
        <v>249.64999399999999</v>
      </c>
      <c r="C69" s="92">
        <v>269.07000699999998</v>
      </c>
      <c r="D69" s="92">
        <v>246.220001</v>
      </c>
      <c r="E69" s="92">
        <v>265.48998999999998</v>
      </c>
      <c r="F69" s="92">
        <v>238.34316999999999</v>
      </c>
      <c r="G69" s="92">
        <v>66948200</v>
      </c>
      <c r="H69" s="99">
        <v>44013</v>
      </c>
      <c r="I69" s="92">
        <v>135.39999399999999</v>
      </c>
      <c r="J69" s="92">
        <v>149.91999799999999</v>
      </c>
      <c r="K69" s="92">
        <v>134.050003</v>
      </c>
      <c r="L69" s="92">
        <v>148.91000399999999</v>
      </c>
      <c r="M69" s="92">
        <v>136.939178</v>
      </c>
      <c r="N69" s="92">
        <v>77540100</v>
      </c>
      <c r="O69" s="100">
        <v>44013</v>
      </c>
      <c r="P69" s="95">
        <v>39.816665999999998</v>
      </c>
      <c r="Q69" s="95">
        <v>44.709999000000003</v>
      </c>
      <c r="R69" s="95">
        <v>39.406666000000001</v>
      </c>
      <c r="S69" s="95">
        <v>43.133330999999998</v>
      </c>
      <c r="T69" s="95">
        <v>40.371234999999999</v>
      </c>
      <c r="U69" s="96">
        <v>592356300</v>
      </c>
      <c r="V69" s="99">
        <v>44013</v>
      </c>
      <c r="W69" s="92">
        <v>58.049999</v>
      </c>
      <c r="X69" s="92">
        <v>71.720000999999996</v>
      </c>
      <c r="Y69" s="92">
        <v>57.169998</v>
      </c>
      <c r="Z69" s="92">
        <v>65.900002000000001</v>
      </c>
      <c r="AA69" s="92">
        <v>65.900002000000001</v>
      </c>
      <c r="AB69" s="97">
        <v>22968500</v>
      </c>
    </row>
    <row r="70" spans="1:28" x14ac:dyDescent="0.2">
      <c r="A70" s="98">
        <v>44044</v>
      </c>
      <c r="B70" s="92">
        <v>266.73001099999999</v>
      </c>
      <c r="C70" s="92">
        <v>292.95001200000002</v>
      </c>
      <c r="D70" s="92">
        <v>263.83999599999999</v>
      </c>
      <c r="E70" s="92">
        <v>285.040009</v>
      </c>
      <c r="F70" s="92">
        <v>255.89418000000001</v>
      </c>
      <c r="G70" s="92">
        <v>74350500</v>
      </c>
      <c r="H70" s="99">
        <v>44044</v>
      </c>
      <c r="I70" s="92">
        <v>149.89999399999999</v>
      </c>
      <c r="J70" s="92">
        <v>171.320007</v>
      </c>
      <c r="K70" s="92">
        <v>148.71000699999999</v>
      </c>
      <c r="L70" s="92">
        <v>164.69000199999999</v>
      </c>
      <c r="M70" s="92">
        <v>152.03089900000001</v>
      </c>
      <c r="N70" s="92">
        <v>84474800</v>
      </c>
      <c r="O70" s="100">
        <v>44044</v>
      </c>
      <c r="P70" s="95">
        <v>43.303333000000002</v>
      </c>
      <c r="Q70" s="95">
        <v>47.023335000000003</v>
      </c>
      <c r="R70" s="95">
        <v>42.756667999999998</v>
      </c>
      <c r="S70" s="95">
        <v>46.283332999999999</v>
      </c>
      <c r="T70" s="95">
        <v>43.31953</v>
      </c>
      <c r="U70" s="96">
        <v>690025200</v>
      </c>
      <c r="V70" s="99">
        <v>44044</v>
      </c>
      <c r="W70" s="92">
        <v>66.5</v>
      </c>
      <c r="X70" s="92">
        <v>74.230002999999996</v>
      </c>
      <c r="Y70" s="92">
        <v>65.730002999999996</v>
      </c>
      <c r="Z70" s="92">
        <v>73.239998</v>
      </c>
      <c r="AA70" s="92">
        <v>73.239998</v>
      </c>
      <c r="AB70" s="97">
        <v>27717200</v>
      </c>
    </row>
    <row r="71" spans="1:28" x14ac:dyDescent="0.2">
      <c r="A71" s="98">
        <v>44075</v>
      </c>
      <c r="B71" s="92">
        <v>284.02999899999998</v>
      </c>
      <c r="C71" s="92">
        <v>288.040009</v>
      </c>
      <c r="D71" s="92">
        <v>262.80999800000001</v>
      </c>
      <c r="E71" s="92">
        <v>277.709991</v>
      </c>
      <c r="F71" s="92">
        <v>249.31364400000001</v>
      </c>
      <c r="G71" s="92">
        <v>80493700</v>
      </c>
      <c r="H71" s="99">
        <v>44075</v>
      </c>
      <c r="I71" s="92">
        <v>164.41000399999999</v>
      </c>
      <c r="J71" s="92">
        <v>171.720001</v>
      </c>
      <c r="K71" s="92">
        <v>151.88999899999999</v>
      </c>
      <c r="L71" s="92">
        <v>165.86000100000001</v>
      </c>
      <c r="M71" s="92">
        <v>153.110962</v>
      </c>
      <c r="N71" s="92">
        <v>86104100</v>
      </c>
      <c r="O71" s="100">
        <v>44075</v>
      </c>
      <c r="P71" s="95">
        <v>47.066665999999998</v>
      </c>
      <c r="Q71" s="95">
        <v>50.443333000000003</v>
      </c>
      <c r="R71" s="95">
        <v>44.916668000000001</v>
      </c>
      <c r="S71" s="95">
        <v>46.636665000000001</v>
      </c>
      <c r="T71" s="95">
        <v>43.829684999999998</v>
      </c>
      <c r="U71" s="96">
        <v>805971600</v>
      </c>
      <c r="V71" s="99">
        <v>44075</v>
      </c>
      <c r="W71" s="92">
        <v>73.209998999999996</v>
      </c>
      <c r="X71" s="92">
        <v>77.120002999999997</v>
      </c>
      <c r="Y71" s="92">
        <v>67.379997000000003</v>
      </c>
      <c r="Z71" s="92">
        <v>74.800003000000004</v>
      </c>
      <c r="AA71" s="92">
        <v>74.800003000000004</v>
      </c>
      <c r="AB71" s="97">
        <v>22155000</v>
      </c>
    </row>
    <row r="72" spans="1:28" x14ac:dyDescent="0.2">
      <c r="A72" s="98">
        <v>44105</v>
      </c>
      <c r="B72" s="92">
        <v>279.44000199999999</v>
      </c>
      <c r="C72" s="92">
        <v>292.64999399999999</v>
      </c>
      <c r="D72" s="92">
        <v>262.02999899999998</v>
      </c>
      <c r="E72" s="92">
        <v>266.709991</v>
      </c>
      <c r="F72" s="92">
        <v>240.70114100000001</v>
      </c>
      <c r="G72" s="92">
        <v>59503400</v>
      </c>
      <c r="H72" s="99">
        <v>44105</v>
      </c>
      <c r="I72" s="92">
        <v>167.33999600000001</v>
      </c>
      <c r="J72" s="92">
        <v>180.66999799999999</v>
      </c>
      <c r="K72" s="92">
        <v>155.770004</v>
      </c>
      <c r="L72" s="92">
        <v>158.10000600000001</v>
      </c>
      <c r="M72" s="92">
        <v>145.947495</v>
      </c>
      <c r="N72" s="92">
        <v>76284400</v>
      </c>
      <c r="O72" s="100">
        <v>44105</v>
      </c>
      <c r="P72" s="95">
        <v>46.933334000000002</v>
      </c>
      <c r="Q72" s="95">
        <v>48.866669000000002</v>
      </c>
      <c r="R72" s="95">
        <v>45.790000999999997</v>
      </c>
      <c r="S72" s="95">
        <v>46.25</v>
      </c>
      <c r="T72" s="95">
        <v>43.466301000000001</v>
      </c>
      <c r="U72" s="96">
        <v>386985000</v>
      </c>
      <c r="V72" s="99">
        <v>44105</v>
      </c>
      <c r="W72" s="92">
        <v>75.769997000000004</v>
      </c>
      <c r="X72" s="92">
        <v>86.370002999999997</v>
      </c>
      <c r="Y72" s="92">
        <v>71.949996999999996</v>
      </c>
      <c r="Z72" s="92">
        <v>73</v>
      </c>
      <c r="AA72" s="92">
        <v>73</v>
      </c>
      <c r="AB72" s="97">
        <v>18975000</v>
      </c>
    </row>
    <row r="73" spans="1:28" x14ac:dyDescent="0.2">
      <c r="A73" s="98">
        <v>44136</v>
      </c>
      <c r="B73" s="92">
        <v>270.14999399999999</v>
      </c>
      <c r="C73" s="92">
        <v>289</v>
      </c>
      <c r="D73" s="92">
        <v>268.51998900000001</v>
      </c>
      <c r="E73" s="92">
        <v>277.41000400000001</v>
      </c>
      <c r="F73" s="92">
        <v>250.35771199999999</v>
      </c>
      <c r="G73" s="92">
        <v>82679200</v>
      </c>
      <c r="H73" s="99">
        <v>44136</v>
      </c>
      <c r="I73" s="92">
        <v>159.88999899999999</v>
      </c>
      <c r="J73" s="92">
        <v>173.55999800000001</v>
      </c>
      <c r="K73" s="92">
        <v>146.720001</v>
      </c>
      <c r="L73" s="92">
        <v>155.820007</v>
      </c>
      <c r="M73" s="92">
        <v>144.337219</v>
      </c>
      <c r="N73" s="92">
        <v>119732000</v>
      </c>
      <c r="O73" s="100">
        <v>44136</v>
      </c>
      <c r="P73" s="95">
        <v>46.863334999999999</v>
      </c>
      <c r="Q73" s="95">
        <v>51.133330999999998</v>
      </c>
      <c r="R73" s="95">
        <v>46.343333999999999</v>
      </c>
      <c r="S73" s="95">
        <v>50.93</v>
      </c>
      <c r="T73" s="95">
        <v>47.864609000000002</v>
      </c>
      <c r="U73" s="96">
        <v>413800500</v>
      </c>
      <c r="V73" s="99">
        <v>44136</v>
      </c>
      <c r="W73" s="92">
        <v>74.419998000000007</v>
      </c>
      <c r="X73" s="92">
        <v>85.956001000000001</v>
      </c>
      <c r="Y73" s="92">
        <v>69.389999000000003</v>
      </c>
      <c r="Z73" s="92">
        <v>80.089995999999999</v>
      </c>
      <c r="AA73" s="92">
        <v>80.089995999999999</v>
      </c>
      <c r="AB73" s="97">
        <v>16830700</v>
      </c>
    </row>
    <row r="74" spans="1:28" x14ac:dyDescent="0.2">
      <c r="A74" s="98">
        <v>44166</v>
      </c>
      <c r="B74" s="92">
        <v>278.73001099999999</v>
      </c>
      <c r="C74" s="92">
        <v>278.95001200000002</v>
      </c>
      <c r="D74" s="92">
        <v>258.73001099999999</v>
      </c>
      <c r="E74" s="92">
        <v>265.61999500000002</v>
      </c>
      <c r="F74" s="92">
        <v>239.717468</v>
      </c>
      <c r="G74" s="92">
        <v>92268500</v>
      </c>
      <c r="H74" s="99">
        <v>44166</v>
      </c>
      <c r="I74" s="92">
        <v>155.820007</v>
      </c>
      <c r="J74" s="92">
        <v>166.19000199999999</v>
      </c>
      <c r="K74" s="92">
        <v>149.30999800000001</v>
      </c>
      <c r="L74" s="92">
        <v>160.509995</v>
      </c>
      <c r="M74" s="92">
        <v>148.681625</v>
      </c>
      <c r="N74" s="92">
        <v>112753000</v>
      </c>
      <c r="O74" s="100">
        <v>44166</v>
      </c>
      <c r="P74" s="95">
        <v>51.200001</v>
      </c>
      <c r="Q74" s="95">
        <v>51.220001000000003</v>
      </c>
      <c r="R74" s="95">
        <v>47.433334000000002</v>
      </c>
      <c r="S74" s="95">
        <v>48.049999</v>
      </c>
      <c r="T74" s="95">
        <v>45.157955000000001</v>
      </c>
      <c r="U74" s="96">
        <v>511105500</v>
      </c>
      <c r="V74" s="99">
        <v>44166</v>
      </c>
      <c r="W74" s="92">
        <v>80.489998</v>
      </c>
      <c r="X74" s="92">
        <v>101.629997</v>
      </c>
      <c r="Y74" s="92">
        <v>77.959998999999996</v>
      </c>
      <c r="Z74" s="92">
        <v>92.849997999999999</v>
      </c>
      <c r="AA74" s="92">
        <v>92.849997999999999</v>
      </c>
      <c r="AB74" s="97">
        <v>18242600</v>
      </c>
    </row>
    <row r="75" spans="1:28" x14ac:dyDescent="0.2">
      <c r="A75" s="98">
        <v>44197</v>
      </c>
      <c r="B75" s="92">
        <v>266.01001000000002</v>
      </c>
      <c r="C75" s="92">
        <v>285.76998900000001</v>
      </c>
      <c r="D75" s="92">
        <v>261.05999800000001</v>
      </c>
      <c r="E75" s="92">
        <v>270.82000699999998</v>
      </c>
      <c r="F75" s="92">
        <v>245.743042</v>
      </c>
      <c r="G75" s="92">
        <v>76246100</v>
      </c>
      <c r="H75" s="99">
        <v>44197</v>
      </c>
      <c r="I75" s="92">
        <v>160.770004</v>
      </c>
      <c r="J75" s="92">
        <v>175.14999399999999</v>
      </c>
      <c r="K75" s="92">
        <v>157.13000500000001</v>
      </c>
      <c r="L75" s="92">
        <v>166.85000600000001</v>
      </c>
      <c r="M75" s="92">
        <v>154.55441300000001</v>
      </c>
      <c r="N75" s="92">
        <v>81117500</v>
      </c>
      <c r="O75" s="100">
        <v>44197</v>
      </c>
      <c r="P75" s="95">
        <v>48.099997999999999</v>
      </c>
      <c r="Q75" s="95">
        <v>49.976664999999997</v>
      </c>
      <c r="R75" s="95">
        <v>46.783332999999999</v>
      </c>
      <c r="S75" s="95">
        <v>46.830002</v>
      </c>
      <c r="T75" s="95">
        <v>44.172260000000001</v>
      </c>
      <c r="U75" s="96">
        <v>450488700</v>
      </c>
      <c r="V75" s="99">
        <v>44197</v>
      </c>
      <c r="W75" s="92">
        <v>93.050003000000004</v>
      </c>
      <c r="X75" s="92">
        <v>108.540001</v>
      </c>
      <c r="Y75" s="92">
        <v>90</v>
      </c>
      <c r="Z75" s="92">
        <v>92.07</v>
      </c>
      <c r="AA75" s="92">
        <v>92.07</v>
      </c>
      <c r="AB75" s="97">
        <v>15011800</v>
      </c>
    </row>
    <row r="76" spans="1:28" x14ac:dyDescent="0.2">
      <c r="A76" s="98">
        <v>44228</v>
      </c>
      <c r="B76" s="92">
        <v>271.23001099999999</v>
      </c>
      <c r="C76" s="92">
        <v>284.67999300000002</v>
      </c>
      <c r="D76" s="92">
        <v>254.029999</v>
      </c>
      <c r="E76" s="92">
        <v>258.33999599999999</v>
      </c>
      <c r="F76" s="92">
        <v>234.41861</v>
      </c>
      <c r="G76" s="92">
        <v>88427300</v>
      </c>
      <c r="H76" s="99">
        <v>44228</v>
      </c>
      <c r="I76" s="92">
        <v>167.11999499999999</v>
      </c>
      <c r="J76" s="92">
        <v>179.46000699999999</v>
      </c>
      <c r="K76" s="92">
        <v>157.949997</v>
      </c>
      <c r="L76" s="92">
        <v>159.75</v>
      </c>
      <c r="M76" s="92">
        <v>148.49764999999999</v>
      </c>
      <c r="N76" s="92">
        <v>71474000</v>
      </c>
      <c r="O76" s="100">
        <v>44228</v>
      </c>
      <c r="P76" s="95">
        <v>46.970001000000003</v>
      </c>
      <c r="Q76" s="95">
        <v>49.166668000000001</v>
      </c>
      <c r="R76" s="95">
        <v>43.286667000000001</v>
      </c>
      <c r="S76" s="95">
        <v>43.306666999999997</v>
      </c>
      <c r="T76" s="95">
        <v>40.848891999999999</v>
      </c>
      <c r="U76" s="96">
        <v>554999400</v>
      </c>
      <c r="V76" s="99">
        <v>44228</v>
      </c>
      <c r="W76" s="92">
        <v>92.650002000000001</v>
      </c>
      <c r="X76" s="92">
        <v>108.040001</v>
      </c>
      <c r="Y76" s="92">
        <v>91.150002000000001</v>
      </c>
      <c r="Z76" s="92">
        <v>95.089995999999999</v>
      </c>
      <c r="AA76" s="92">
        <v>95.089995999999999</v>
      </c>
      <c r="AB76" s="97">
        <v>12339400</v>
      </c>
    </row>
    <row r="77" spans="1:28" x14ac:dyDescent="0.2">
      <c r="A77" s="98">
        <v>44256</v>
      </c>
      <c r="B77" s="92">
        <v>258.80999800000001</v>
      </c>
      <c r="C77" s="92">
        <v>308.01998900000001</v>
      </c>
      <c r="D77" s="92">
        <v>246.58999600000001</v>
      </c>
      <c r="E77" s="92">
        <v>305.25</v>
      </c>
      <c r="F77" s="92">
        <v>276.98492399999998</v>
      </c>
      <c r="G77" s="92">
        <v>124195800</v>
      </c>
      <c r="H77" s="99">
        <v>44256</v>
      </c>
      <c r="I77" s="92">
        <v>160.759995</v>
      </c>
      <c r="J77" s="92">
        <v>192.91000399999999</v>
      </c>
      <c r="K77" s="92">
        <v>150.83999600000001</v>
      </c>
      <c r="L77" s="92">
        <v>190.179993</v>
      </c>
      <c r="M77" s="92">
        <v>176.78421</v>
      </c>
      <c r="N77" s="92">
        <v>102104800</v>
      </c>
      <c r="O77" s="100">
        <v>44256</v>
      </c>
      <c r="P77" s="95">
        <v>43.860000999999997</v>
      </c>
      <c r="Q77" s="95">
        <v>45.863334999999999</v>
      </c>
      <c r="R77" s="95">
        <v>42.093333999999999</v>
      </c>
      <c r="S77" s="95">
        <v>45.276668999999998</v>
      </c>
      <c r="T77" s="95">
        <v>42.707084999999999</v>
      </c>
      <c r="U77" s="96">
        <v>739644300</v>
      </c>
      <c r="V77" s="99">
        <v>44256</v>
      </c>
      <c r="W77" s="92">
        <v>95.93</v>
      </c>
      <c r="X77" s="92">
        <v>101.739998</v>
      </c>
      <c r="Y77" s="92">
        <v>81.205001999999993</v>
      </c>
      <c r="Z77" s="92">
        <v>95.480002999999996</v>
      </c>
      <c r="AA77" s="92">
        <v>95.480002999999996</v>
      </c>
      <c r="AB77" s="97">
        <v>17563800</v>
      </c>
    </row>
    <row r="78" spans="1:28" x14ac:dyDescent="0.2">
      <c r="A78" s="98">
        <v>44287</v>
      </c>
      <c r="B78" s="92">
        <v>306.88000499999998</v>
      </c>
      <c r="C78" s="92">
        <v>328.82998700000002</v>
      </c>
      <c r="D78" s="92">
        <v>303.89001500000001</v>
      </c>
      <c r="E78" s="92">
        <v>323.67001299999998</v>
      </c>
      <c r="F78" s="92">
        <v>295.53979500000003</v>
      </c>
      <c r="G78" s="92">
        <v>81662500</v>
      </c>
      <c r="H78" s="99">
        <v>44287</v>
      </c>
      <c r="I78" s="92">
        <v>191.199997</v>
      </c>
      <c r="J78" s="92">
        <v>208.979996</v>
      </c>
      <c r="K78" s="92">
        <v>189.69000199999999</v>
      </c>
      <c r="L78" s="92">
        <v>196.25</v>
      </c>
      <c r="M78" s="92">
        <v>182.426636</v>
      </c>
      <c r="N78" s="92">
        <v>75171000</v>
      </c>
      <c r="O78" s="100">
        <v>44287</v>
      </c>
      <c r="P78" s="95">
        <v>45.313332000000003</v>
      </c>
      <c r="Q78" s="95">
        <v>47.256667999999998</v>
      </c>
      <c r="R78" s="95">
        <v>45.110000999999997</v>
      </c>
      <c r="S78" s="95">
        <v>46.636665000000001</v>
      </c>
      <c r="T78" s="95">
        <v>44.173560999999999</v>
      </c>
      <c r="U78" s="96">
        <v>459365700</v>
      </c>
      <c r="V78" s="99">
        <v>44287</v>
      </c>
      <c r="W78" s="92">
        <v>97.120002999999997</v>
      </c>
      <c r="X78" s="92">
        <v>116.58000199999999</v>
      </c>
      <c r="Y78" s="92">
        <v>96.849997999999999</v>
      </c>
      <c r="Z78" s="92">
        <v>110.91999800000001</v>
      </c>
      <c r="AA78" s="92">
        <v>110.91999800000001</v>
      </c>
      <c r="AB78" s="97">
        <v>17534300</v>
      </c>
    </row>
    <row r="79" spans="1:28" x14ac:dyDescent="0.2">
      <c r="A79" s="98">
        <v>44317</v>
      </c>
      <c r="B79" s="92">
        <v>326.27999899999998</v>
      </c>
      <c r="C79" s="92">
        <v>345.69000199999999</v>
      </c>
      <c r="D79" s="92">
        <v>309.07000699999998</v>
      </c>
      <c r="E79" s="92">
        <v>318.91000400000001</v>
      </c>
      <c r="F79" s="92">
        <v>291.19339000000002</v>
      </c>
      <c r="G79" s="92">
        <v>83404300</v>
      </c>
      <c r="H79" s="99">
        <v>44317</v>
      </c>
      <c r="I79" s="92">
        <v>198.75</v>
      </c>
      <c r="J79" s="92">
        <v>215.220001</v>
      </c>
      <c r="K79" s="92">
        <v>186.38000500000001</v>
      </c>
      <c r="L79" s="92">
        <v>194.83000200000001</v>
      </c>
      <c r="M79" s="92">
        <v>181.64086900000001</v>
      </c>
      <c r="N79" s="92">
        <v>89800200</v>
      </c>
      <c r="O79" s="100">
        <v>44317</v>
      </c>
      <c r="P79" s="95">
        <v>46.560001</v>
      </c>
      <c r="Q79" s="95">
        <v>48.193333000000003</v>
      </c>
      <c r="R79" s="95">
        <v>45.253334000000002</v>
      </c>
      <c r="S79" s="95">
        <v>47.343333999999999</v>
      </c>
      <c r="T79" s="95">
        <v>44.842917999999997</v>
      </c>
      <c r="U79" s="96">
        <v>524333400</v>
      </c>
      <c r="V79" s="99">
        <v>44317</v>
      </c>
      <c r="W79" s="92">
        <v>112.099998</v>
      </c>
      <c r="X79" s="92">
        <v>115.400002</v>
      </c>
      <c r="Y79" s="92">
        <v>96.339995999999999</v>
      </c>
      <c r="Z79" s="92">
        <v>98.309997999999993</v>
      </c>
      <c r="AA79" s="92">
        <v>98.309997999999993</v>
      </c>
      <c r="AB79" s="97">
        <v>16139200</v>
      </c>
    </row>
    <row r="80" spans="1:28" x14ac:dyDescent="0.2">
      <c r="A80" s="98">
        <v>44348</v>
      </c>
      <c r="B80" s="92">
        <v>320.66000400000001</v>
      </c>
      <c r="C80" s="92">
        <v>321.26001000000002</v>
      </c>
      <c r="D80" s="92">
        <v>298.39999399999999</v>
      </c>
      <c r="E80" s="92">
        <v>318.89001500000001</v>
      </c>
      <c r="F80" s="92">
        <v>291.17514</v>
      </c>
      <c r="G80" s="92">
        <v>89201700</v>
      </c>
      <c r="H80" s="99">
        <v>44348</v>
      </c>
      <c r="I80" s="92">
        <v>195</v>
      </c>
      <c r="J80" s="92">
        <v>196.10000600000001</v>
      </c>
      <c r="K80" s="92">
        <v>184.46000699999999</v>
      </c>
      <c r="L80" s="92">
        <v>193.970001</v>
      </c>
      <c r="M80" s="92">
        <v>180.83912699999999</v>
      </c>
      <c r="N80" s="92">
        <v>84601100</v>
      </c>
      <c r="O80" s="100">
        <v>44348</v>
      </c>
      <c r="P80" s="95">
        <v>47.403331999999999</v>
      </c>
      <c r="Q80" s="95">
        <v>47.599997999999999</v>
      </c>
      <c r="R80" s="95">
        <v>44.799999</v>
      </c>
      <c r="S80" s="95">
        <v>47.006667999999998</v>
      </c>
      <c r="T80" s="95">
        <v>44.698875000000001</v>
      </c>
      <c r="U80" s="96">
        <v>507321000</v>
      </c>
      <c r="V80" s="99">
        <v>44348</v>
      </c>
      <c r="W80" s="92">
        <v>99</v>
      </c>
      <c r="X80" s="92">
        <v>108.099998</v>
      </c>
      <c r="Y80" s="92">
        <v>93.330001999999993</v>
      </c>
      <c r="Z80" s="92">
        <v>105.699997</v>
      </c>
      <c r="AA80" s="92">
        <v>105.699997</v>
      </c>
      <c r="AB80" s="97">
        <v>17783200</v>
      </c>
    </row>
    <row r="81" spans="1:28" x14ac:dyDescent="0.2">
      <c r="A81" s="98">
        <v>44378</v>
      </c>
      <c r="B81" s="92">
        <v>319.91000400000001</v>
      </c>
      <c r="C81" s="92">
        <v>333.45001200000002</v>
      </c>
      <c r="D81" s="92">
        <v>314.79998799999998</v>
      </c>
      <c r="E81" s="92">
        <v>328.19000199999999</v>
      </c>
      <c r="F81" s="92">
        <v>301.23828099999997</v>
      </c>
      <c r="G81" s="92">
        <v>60847700</v>
      </c>
      <c r="H81" s="99">
        <v>44378</v>
      </c>
      <c r="I81" s="92">
        <v>194.5</v>
      </c>
      <c r="J81" s="92">
        <v>201.41999799999999</v>
      </c>
      <c r="K81" s="92">
        <v>190.03999300000001</v>
      </c>
      <c r="L81" s="92">
        <v>192.69000199999999</v>
      </c>
      <c r="M81" s="92">
        <v>179.64570599999999</v>
      </c>
      <c r="N81" s="92">
        <v>66190800</v>
      </c>
      <c r="O81" s="100">
        <v>44378</v>
      </c>
      <c r="P81" s="95">
        <v>46.803333000000002</v>
      </c>
      <c r="Q81" s="95">
        <v>47.953335000000003</v>
      </c>
      <c r="R81" s="95">
        <v>46.073334000000003</v>
      </c>
      <c r="S81" s="95">
        <v>47.516666000000001</v>
      </c>
      <c r="T81" s="95">
        <v>45.183838000000002</v>
      </c>
      <c r="U81" s="96">
        <v>395649300</v>
      </c>
      <c r="V81" s="99">
        <v>44378</v>
      </c>
      <c r="W81" s="92">
        <v>105.290001</v>
      </c>
      <c r="X81" s="92">
        <v>123.889999</v>
      </c>
      <c r="Y81" s="92">
        <v>101.66999800000001</v>
      </c>
      <c r="Z81" s="92">
        <v>122.010002</v>
      </c>
      <c r="AA81" s="92">
        <v>122.010002</v>
      </c>
      <c r="AB81" s="97">
        <v>15882800</v>
      </c>
    </row>
    <row r="82" spans="1:28" x14ac:dyDescent="0.2">
      <c r="A82" s="98">
        <v>44409</v>
      </c>
      <c r="B82" s="92">
        <v>330</v>
      </c>
      <c r="C82" s="92">
        <v>338.54998799999998</v>
      </c>
      <c r="D82" s="92">
        <v>316.60998499999999</v>
      </c>
      <c r="E82" s="92">
        <v>326.17999300000002</v>
      </c>
      <c r="F82" s="92">
        <v>299.39328</v>
      </c>
      <c r="G82" s="92">
        <v>67430900</v>
      </c>
      <c r="H82" s="99">
        <v>44409</v>
      </c>
      <c r="I82" s="92">
        <v>193.80999800000001</v>
      </c>
      <c r="J82" s="92">
        <v>209.490005</v>
      </c>
      <c r="K82" s="92">
        <v>182.08000200000001</v>
      </c>
      <c r="L82" s="92">
        <v>203.88999899999999</v>
      </c>
      <c r="M82" s="92">
        <v>190.87922699999999</v>
      </c>
      <c r="N82" s="92">
        <v>92311500</v>
      </c>
      <c r="O82" s="100">
        <v>44409</v>
      </c>
      <c r="P82" s="95">
        <v>47.610000999999997</v>
      </c>
      <c r="Q82" s="95">
        <v>50.856667000000002</v>
      </c>
      <c r="R82" s="95">
        <v>47.223331000000002</v>
      </c>
      <c r="S82" s="95">
        <v>49.366669000000002</v>
      </c>
      <c r="T82" s="95">
        <v>46.943016</v>
      </c>
      <c r="U82" s="96">
        <v>544199400</v>
      </c>
      <c r="V82" s="99">
        <v>44409</v>
      </c>
      <c r="W82" s="92">
        <v>122.83000199999999</v>
      </c>
      <c r="X82" s="92">
        <v>128.5</v>
      </c>
      <c r="Y82" s="92">
        <v>110.709999</v>
      </c>
      <c r="Z82" s="92">
        <v>123.300003</v>
      </c>
      <c r="AA82" s="92">
        <v>123.300003</v>
      </c>
      <c r="AB82" s="97">
        <v>15756900</v>
      </c>
    </row>
    <row r="83" spans="1:28" x14ac:dyDescent="0.2">
      <c r="A83" s="98">
        <v>44440</v>
      </c>
      <c r="B83" s="92">
        <v>325.55999800000001</v>
      </c>
      <c r="C83" s="92">
        <v>343.73998999999998</v>
      </c>
      <c r="D83" s="92">
        <v>320.27999899999998</v>
      </c>
      <c r="E83" s="92">
        <v>328.26001000000002</v>
      </c>
      <c r="F83" s="92">
        <v>301.30252100000001</v>
      </c>
      <c r="G83" s="92">
        <v>67432900</v>
      </c>
      <c r="H83" s="99">
        <v>44440</v>
      </c>
      <c r="I83" s="92">
        <v>204.550003</v>
      </c>
      <c r="J83" s="92">
        <v>212.25</v>
      </c>
      <c r="K83" s="92">
        <v>201.479996</v>
      </c>
      <c r="L83" s="92">
        <v>202.86000100000001</v>
      </c>
      <c r="M83" s="92">
        <v>189.914917</v>
      </c>
      <c r="N83" s="92">
        <v>64883400</v>
      </c>
      <c r="O83" s="100">
        <v>44440</v>
      </c>
      <c r="P83" s="95">
        <v>49.186667999999997</v>
      </c>
      <c r="Q83" s="95">
        <v>49.883330999999998</v>
      </c>
      <c r="R83" s="95">
        <v>46.416668000000001</v>
      </c>
      <c r="S83" s="95">
        <v>46.459999000000003</v>
      </c>
      <c r="T83" s="95">
        <v>44.341625000000001</v>
      </c>
      <c r="U83" s="96">
        <v>453765600</v>
      </c>
      <c r="V83" s="99">
        <v>44440</v>
      </c>
      <c r="W83" s="92">
        <v>124.25</v>
      </c>
      <c r="X83" s="92">
        <v>132.070007</v>
      </c>
      <c r="Y83" s="92">
        <v>120.68</v>
      </c>
      <c r="Z83" s="92">
        <v>120.790001</v>
      </c>
      <c r="AA83" s="92">
        <v>120.790001</v>
      </c>
      <c r="AB83" s="97">
        <v>12438800</v>
      </c>
    </row>
    <row r="84" spans="1:28" x14ac:dyDescent="0.2">
      <c r="A84" s="98">
        <v>44470</v>
      </c>
      <c r="B84" s="92">
        <v>328.14999399999999</v>
      </c>
      <c r="C84" s="92">
        <v>375.14999399999999</v>
      </c>
      <c r="D84" s="92">
        <v>324.16000400000001</v>
      </c>
      <c r="E84" s="92">
        <v>371.73998999999998</v>
      </c>
      <c r="F84" s="92">
        <v>342.946594</v>
      </c>
      <c r="G84" s="92">
        <v>59686400</v>
      </c>
      <c r="H84" s="99">
        <v>44470</v>
      </c>
      <c r="I84" s="92">
        <v>203.729996</v>
      </c>
      <c r="J84" s="92">
        <v>234.96000699999999</v>
      </c>
      <c r="K84" s="92">
        <v>201.58000200000001</v>
      </c>
      <c r="L84" s="92">
        <v>233.820007</v>
      </c>
      <c r="M84" s="92">
        <v>218.89924600000001</v>
      </c>
      <c r="N84" s="92">
        <v>63768000</v>
      </c>
      <c r="O84" s="100">
        <v>44470</v>
      </c>
      <c r="P84" s="95">
        <v>46.419998</v>
      </c>
      <c r="Q84" s="95">
        <v>50.183334000000002</v>
      </c>
      <c r="R84" s="95">
        <v>44.903331999999999</v>
      </c>
      <c r="S84" s="95">
        <v>49.806666999999997</v>
      </c>
      <c r="T84" s="95">
        <v>47.535702000000001</v>
      </c>
      <c r="U84" s="96">
        <v>413998800</v>
      </c>
      <c r="V84" s="99">
        <v>44470</v>
      </c>
      <c r="W84" s="92">
        <v>121.650002</v>
      </c>
      <c r="X84" s="92">
        <v>138.88999899999999</v>
      </c>
      <c r="Y84" s="92">
        <v>113.91999800000001</v>
      </c>
      <c r="Z84" s="92">
        <v>135.91999799999999</v>
      </c>
      <c r="AA84" s="92">
        <v>135.91999799999999</v>
      </c>
      <c r="AB84" s="97">
        <v>11394700</v>
      </c>
    </row>
    <row r="85" spans="1:28" x14ac:dyDescent="0.2">
      <c r="A85" s="98">
        <v>44501</v>
      </c>
      <c r="B85" s="92">
        <v>373</v>
      </c>
      <c r="C85" s="92">
        <v>416.55999800000001</v>
      </c>
      <c r="D85" s="92">
        <v>364.70001200000002</v>
      </c>
      <c r="E85" s="92">
        <v>400.60998499999999</v>
      </c>
      <c r="F85" s="92">
        <v>369.58041400000002</v>
      </c>
      <c r="G85" s="92">
        <v>76047100</v>
      </c>
      <c r="H85" s="99">
        <v>44501</v>
      </c>
      <c r="I85" s="92">
        <v>235</v>
      </c>
      <c r="J85" s="92">
        <v>256.39001500000001</v>
      </c>
      <c r="K85" s="92">
        <v>230.21000699999999</v>
      </c>
      <c r="L85" s="92">
        <v>244.58999600000001</v>
      </c>
      <c r="M85" s="92">
        <v>229.81111100000001</v>
      </c>
      <c r="N85" s="92">
        <v>67135200</v>
      </c>
      <c r="O85" s="100">
        <v>44501</v>
      </c>
      <c r="P85" s="95">
        <v>49.993332000000002</v>
      </c>
      <c r="Q85" s="95">
        <v>50.666668000000001</v>
      </c>
      <c r="R85" s="95">
        <v>46.669998</v>
      </c>
      <c r="S85" s="95">
        <v>46.876666999999998</v>
      </c>
      <c r="T85" s="95">
        <v>44.739291999999999</v>
      </c>
      <c r="U85" s="96">
        <v>534258600</v>
      </c>
      <c r="V85" s="99">
        <v>44501</v>
      </c>
      <c r="W85" s="92">
        <v>136.89999399999999</v>
      </c>
      <c r="X85" s="92">
        <v>145.88999899999999</v>
      </c>
      <c r="Y85" s="92">
        <v>126</v>
      </c>
      <c r="Z85" s="92">
        <v>128.91000399999999</v>
      </c>
      <c r="AA85" s="92">
        <v>128.91000399999999</v>
      </c>
      <c r="AB85" s="97">
        <v>14206100</v>
      </c>
    </row>
    <row r="86" spans="1:28" x14ac:dyDescent="0.2">
      <c r="A86" s="98">
        <v>44531</v>
      </c>
      <c r="B86" s="92">
        <v>402.07998700000002</v>
      </c>
      <c r="C86" s="92">
        <v>420.60998499999999</v>
      </c>
      <c r="D86" s="92">
        <v>380.89999399999999</v>
      </c>
      <c r="E86" s="92">
        <v>415.01001000000002</v>
      </c>
      <c r="F86" s="92">
        <v>382.86517300000003</v>
      </c>
      <c r="G86" s="92">
        <v>84890300</v>
      </c>
      <c r="H86" s="99">
        <v>44531</v>
      </c>
      <c r="I86" s="92">
        <v>248.300003</v>
      </c>
      <c r="J86" s="92">
        <v>263.30999800000001</v>
      </c>
      <c r="K86" s="92">
        <v>242.300003</v>
      </c>
      <c r="L86" s="92">
        <v>258.48001099999999</v>
      </c>
      <c r="M86" s="92">
        <v>242.861862</v>
      </c>
      <c r="N86" s="92">
        <v>75576200</v>
      </c>
      <c r="O86" s="100">
        <v>44531</v>
      </c>
      <c r="P86" s="95">
        <v>46.836666000000001</v>
      </c>
      <c r="Q86" s="95">
        <v>48.843333999999999</v>
      </c>
      <c r="R86" s="95">
        <v>45.080002</v>
      </c>
      <c r="S86" s="95">
        <v>48.23</v>
      </c>
      <c r="T86" s="95">
        <v>46.030918</v>
      </c>
      <c r="U86" s="96">
        <v>716247600</v>
      </c>
      <c r="V86" s="99">
        <v>44531</v>
      </c>
      <c r="W86" s="92">
        <v>130.38999899999999</v>
      </c>
      <c r="X86" s="92">
        <v>133.30999800000001</v>
      </c>
      <c r="Y86" s="92">
        <v>117.19499999999999</v>
      </c>
      <c r="Z86" s="92">
        <v>130.009995</v>
      </c>
      <c r="AA86" s="92">
        <v>130.009995</v>
      </c>
      <c r="AB86" s="97">
        <v>12294500</v>
      </c>
    </row>
    <row r="87" spans="1:28" x14ac:dyDescent="0.2">
      <c r="A87" s="98">
        <v>44562</v>
      </c>
      <c r="B87" s="92">
        <v>416.57000699999998</v>
      </c>
      <c r="C87" s="92">
        <v>417.83999599999999</v>
      </c>
      <c r="D87" s="92">
        <v>343.60998499999999</v>
      </c>
      <c r="E87" s="92">
        <v>366.98001099999999</v>
      </c>
      <c r="F87" s="92">
        <v>339.955536</v>
      </c>
      <c r="G87" s="92">
        <v>101082900</v>
      </c>
      <c r="H87" s="99">
        <v>44562</v>
      </c>
      <c r="I87" s="92">
        <v>259.20001200000002</v>
      </c>
      <c r="J87" s="92">
        <v>260.82998700000002</v>
      </c>
      <c r="K87" s="92">
        <v>220.199997</v>
      </c>
      <c r="L87" s="92">
        <v>237.35000600000001</v>
      </c>
      <c r="M87" s="92">
        <v>223.00857500000001</v>
      </c>
      <c r="N87" s="92">
        <v>84263000</v>
      </c>
      <c r="O87" s="100">
        <v>44562</v>
      </c>
      <c r="P87" s="95">
        <v>48</v>
      </c>
      <c r="Q87" s="95">
        <v>48.876666999999998</v>
      </c>
      <c r="R87" s="95">
        <v>44.650002000000001</v>
      </c>
      <c r="S87" s="95">
        <v>46.603332999999999</v>
      </c>
      <c r="T87" s="95">
        <v>44.657508999999997</v>
      </c>
      <c r="U87" s="96">
        <v>497216100</v>
      </c>
      <c r="V87" s="99">
        <v>44562</v>
      </c>
      <c r="W87" s="92">
        <v>130.070007</v>
      </c>
      <c r="X87" s="92">
        <v>131.88000500000001</v>
      </c>
      <c r="Y87" s="92">
        <v>93.82</v>
      </c>
      <c r="Z87" s="92">
        <v>108.720001</v>
      </c>
      <c r="AA87" s="92">
        <v>108.720001</v>
      </c>
      <c r="AB87" s="97">
        <v>20653700</v>
      </c>
    </row>
    <row r="88" spans="1:28" x14ac:dyDescent="0.2">
      <c r="A88" s="98">
        <v>44593</v>
      </c>
      <c r="B88" s="92">
        <v>369.47000100000002</v>
      </c>
      <c r="C88" s="92">
        <v>374.67001299999998</v>
      </c>
      <c r="D88" s="92">
        <v>299.290009</v>
      </c>
      <c r="E88" s="92">
        <v>315.82998700000002</v>
      </c>
      <c r="F88" s="92">
        <v>292.57223499999998</v>
      </c>
      <c r="G88" s="92">
        <v>103092300</v>
      </c>
      <c r="H88" s="99">
        <v>44593</v>
      </c>
      <c r="I88" s="92">
        <v>238.449997</v>
      </c>
      <c r="J88" s="92">
        <v>240.71000699999999</v>
      </c>
      <c r="K88" s="92">
        <v>206.240005</v>
      </c>
      <c r="L88" s="92">
        <v>221.05999800000001</v>
      </c>
      <c r="M88" s="92">
        <v>208.387756</v>
      </c>
      <c r="N88" s="92">
        <v>69494900</v>
      </c>
      <c r="O88" s="100">
        <v>44593</v>
      </c>
      <c r="P88" s="95">
        <v>46.403331999999999</v>
      </c>
      <c r="Q88" s="95">
        <v>47.330002</v>
      </c>
      <c r="R88" s="95">
        <v>44.003334000000002</v>
      </c>
      <c r="S88" s="95">
        <v>45.053333000000002</v>
      </c>
      <c r="T88" s="95">
        <v>43.172221999999998</v>
      </c>
      <c r="U88" s="96">
        <v>487764300</v>
      </c>
      <c r="V88" s="99">
        <v>44593</v>
      </c>
      <c r="W88" s="92">
        <v>109.540001</v>
      </c>
      <c r="X88" s="92">
        <v>112.790001</v>
      </c>
      <c r="Y88" s="92">
        <v>85.25</v>
      </c>
      <c r="Z88" s="92">
        <v>95.620002999999997</v>
      </c>
      <c r="AA88" s="92">
        <v>95.620002999999997</v>
      </c>
      <c r="AB88" s="97">
        <v>23360100</v>
      </c>
    </row>
    <row r="89" spans="1:28" x14ac:dyDescent="0.2">
      <c r="A89" s="98">
        <v>44621</v>
      </c>
      <c r="B89" s="92">
        <v>314.58999599999999</v>
      </c>
      <c r="C89" s="92">
        <v>340.73998999999998</v>
      </c>
      <c r="D89" s="92">
        <v>298.89001500000001</v>
      </c>
      <c r="E89" s="92">
        <v>299.32998700000002</v>
      </c>
      <c r="F89" s="92">
        <v>277.28723100000002</v>
      </c>
      <c r="G89" s="92">
        <v>115574300</v>
      </c>
      <c r="H89" s="99">
        <v>44621</v>
      </c>
      <c r="I89" s="92">
        <v>221.38000500000001</v>
      </c>
      <c r="J89" s="92">
        <v>238.36999499999999</v>
      </c>
      <c r="K89" s="92">
        <v>201.990005</v>
      </c>
      <c r="L89" s="92">
        <v>202.19000199999999</v>
      </c>
      <c r="M89" s="92">
        <v>190.59953300000001</v>
      </c>
      <c r="N89" s="92">
        <v>102436100</v>
      </c>
      <c r="O89" s="100">
        <v>44621</v>
      </c>
      <c r="P89" s="95">
        <v>45.290000999999997</v>
      </c>
      <c r="Q89" s="95">
        <v>50.18</v>
      </c>
      <c r="R89" s="95">
        <v>45.006667999999998</v>
      </c>
      <c r="S89" s="95">
        <v>49.639999000000003</v>
      </c>
      <c r="T89" s="95">
        <v>47.567383</v>
      </c>
      <c r="U89" s="96">
        <v>557647500</v>
      </c>
      <c r="V89" s="99">
        <v>44621</v>
      </c>
      <c r="W89" s="92">
        <v>95.32</v>
      </c>
      <c r="X89" s="92">
        <v>104.83000199999999</v>
      </c>
      <c r="Y89" s="92">
        <v>80.529999000000004</v>
      </c>
      <c r="Z89" s="92">
        <v>81</v>
      </c>
      <c r="AA89" s="92">
        <v>81</v>
      </c>
      <c r="AB89" s="97">
        <v>25631100</v>
      </c>
    </row>
    <row r="90" spans="1:28" x14ac:dyDescent="0.2">
      <c r="A90" s="98">
        <v>44652</v>
      </c>
      <c r="B90" s="92">
        <v>300.5</v>
      </c>
      <c r="C90" s="92">
        <v>318.39999399999999</v>
      </c>
      <c r="D90" s="92">
        <v>293.58999599999999</v>
      </c>
      <c r="E90" s="92">
        <v>300.39999399999999</v>
      </c>
      <c r="F90" s="92">
        <v>279.957855</v>
      </c>
      <c r="G90" s="92">
        <v>86697000</v>
      </c>
      <c r="H90" s="99">
        <v>44652</v>
      </c>
      <c r="I90" s="92">
        <v>204.10000600000001</v>
      </c>
      <c r="J90" s="92">
        <v>210.85000600000001</v>
      </c>
      <c r="K90" s="92">
        <v>194.66999799999999</v>
      </c>
      <c r="L90" s="92">
        <v>197.729996</v>
      </c>
      <c r="M90" s="92">
        <v>186.395172</v>
      </c>
      <c r="N90" s="92">
        <v>82993700</v>
      </c>
      <c r="O90" s="100">
        <v>44652</v>
      </c>
      <c r="P90" s="95">
        <v>49.886665000000001</v>
      </c>
      <c r="Q90" s="95">
        <v>53.59</v>
      </c>
      <c r="R90" s="95">
        <v>49.613334999999999</v>
      </c>
      <c r="S90" s="95">
        <v>50.996665999999998</v>
      </c>
      <c r="T90" s="95">
        <v>49.056407999999998</v>
      </c>
      <c r="U90" s="96">
        <v>427213500</v>
      </c>
      <c r="V90" s="99">
        <v>44652</v>
      </c>
      <c r="W90" s="92">
        <v>81.639999000000003</v>
      </c>
      <c r="X90" s="92">
        <v>89.230002999999996</v>
      </c>
      <c r="Y90" s="92">
        <v>77.846001000000001</v>
      </c>
      <c r="Z90" s="92">
        <v>79.720000999999996</v>
      </c>
      <c r="AA90" s="92">
        <v>79.720000999999996</v>
      </c>
      <c r="AB90" s="97">
        <v>28587900</v>
      </c>
    </row>
    <row r="91" spans="1:28" x14ac:dyDescent="0.2">
      <c r="A91" s="98">
        <v>44682</v>
      </c>
      <c r="B91" s="92">
        <v>301.98998999999998</v>
      </c>
      <c r="C91" s="92">
        <v>315.75</v>
      </c>
      <c r="D91" s="92">
        <v>279.58999599999999</v>
      </c>
      <c r="E91" s="92">
        <v>302.75</v>
      </c>
      <c r="F91" s="92">
        <v>282.14794899999998</v>
      </c>
      <c r="G91" s="92">
        <v>105314200</v>
      </c>
      <c r="H91" s="99">
        <v>44682</v>
      </c>
      <c r="I91" s="92">
        <v>198.11999499999999</v>
      </c>
      <c r="J91" s="92">
        <v>207.96000699999999</v>
      </c>
      <c r="K91" s="92">
        <v>179.220001</v>
      </c>
      <c r="L91" s="92">
        <v>195.300003</v>
      </c>
      <c r="M91" s="92">
        <v>184.84939600000001</v>
      </c>
      <c r="N91" s="92">
        <v>92954300</v>
      </c>
      <c r="O91" s="100">
        <v>44682</v>
      </c>
      <c r="P91" s="95">
        <v>51.653331999999999</v>
      </c>
      <c r="Q91" s="95">
        <v>51.663333999999999</v>
      </c>
      <c r="R91" s="95">
        <v>39.090000000000003</v>
      </c>
      <c r="S91" s="95">
        <v>42.876666999999998</v>
      </c>
      <c r="T91" s="95">
        <v>41.245350000000002</v>
      </c>
      <c r="U91" s="96">
        <v>816439800</v>
      </c>
      <c r="V91" s="99">
        <v>44682</v>
      </c>
      <c r="W91" s="92">
        <v>78.839995999999999</v>
      </c>
      <c r="X91" s="92">
        <v>87.830001999999993</v>
      </c>
      <c r="Y91" s="92">
        <v>65.120002999999997</v>
      </c>
      <c r="Z91" s="92">
        <v>75.440002000000007</v>
      </c>
      <c r="AA91" s="92">
        <v>75.440002000000007</v>
      </c>
      <c r="AB91" s="97">
        <v>32131600</v>
      </c>
    </row>
    <row r="92" spans="1:28" x14ac:dyDescent="0.2">
      <c r="A92" s="98">
        <v>44713</v>
      </c>
      <c r="B92" s="92">
        <v>301.73998999999998</v>
      </c>
      <c r="C92" s="92">
        <v>308.459991</v>
      </c>
      <c r="D92" s="92">
        <v>264.51001000000002</v>
      </c>
      <c r="E92" s="92">
        <v>274.26998900000001</v>
      </c>
      <c r="F92" s="92">
        <v>255.60595699999999</v>
      </c>
      <c r="G92" s="92">
        <v>95071800</v>
      </c>
      <c r="H92" s="99">
        <v>44713</v>
      </c>
      <c r="I92" s="92">
        <v>196.38999899999999</v>
      </c>
      <c r="J92" s="92">
        <v>198.779999</v>
      </c>
      <c r="K92" s="92">
        <v>170.11999499999999</v>
      </c>
      <c r="L92" s="92">
        <v>174.66999799999999</v>
      </c>
      <c r="M92" s="92">
        <v>165.323318</v>
      </c>
      <c r="N92" s="92">
        <v>83521700</v>
      </c>
      <c r="O92" s="100">
        <v>44713</v>
      </c>
      <c r="P92" s="95">
        <v>42.833331999999999</v>
      </c>
      <c r="Q92" s="95">
        <v>42.973331000000002</v>
      </c>
      <c r="R92" s="95">
        <v>39.299999</v>
      </c>
      <c r="S92" s="95">
        <v>40.526668999999998</v>
      </c>
      <c r="T92" s="95">
        <v>39.126472</v>
      </c>
      <c r="U92" s="96">
        <v>512761800</v>
      </c>
      <c r="V92" s="99">
        <v>44713</v>
      </c>
      <c r="W92" s="92">
        <v>75.610000999999997</v>
      </c>
      <c r="X92" s="92">
        <v>78.919998000000007</v>
      </c>
      <c r="Y92" s="92">
        <v>59.912998000000002</v>
      </c>
      <c r="Z92" s="92">
        <v>62.959999000000003</v>
      </c>
      <c r="AA92" s="92">
        <v>62.959999000000003</v>
      </c>
      <c r="AB92" s="97">
        <v>31353700</v>
      </c>
    </row>
    <row r="93" spans="1:28" x14ac:dyDescent="0.2">
      <c r="A93" s="98">
        <v>44743</v>
      </c>
      <c r="B93" s="92">
        <v>275.73001099999999</v>
      </c>
      <c r="C93" s="92">
        <v>310.67001299999998</v>
      </c>
      <c r="D93" s="92">
        <v>274.54998799999998</v>
      </c>
      <c r="E93" s="92">
        <v>300.94000199999999</v>
      </c>
      <c r="F93" s="92">
        <v>282.23236100000003</v>
      </c>
      <c r="G93" s="92">
        <v>54082200</v>
      </c>
      <c r="H93" s="99">
        <v>44743</v>
      </c>
      <c r="I93" s="92">
        <v>175.83000200000001</v>
      </c>
      <c r="J93" s="92">
        <v>199.11999499999999</v>
      </c>
      <c r="K93" s="92">
        <v>174.479996</v>
      </c>
      <c r="L93" s="92">
        <v>191.529999</v>
      </c>
      <c r="M93" s="92">
        <v>181.281113</v>
      </c>
      <c r="N93" s="92">
        <v>63095800</v>
      </c>
      <c r="O93" s="100">
        <v>44743</v>
      </c>
      <c r="P93" s="95">
        <v>40.646667000000001</v>
      </c>
      <c r="Q93" s="95">
        <v>44.463332999999999</v>
      </c>
      <c r="R93" s="95">
        <v>40.020000000000003</v>
      </c>
      <c r="S93" s="95">
        <v>44.016666000000001</v>
      </c>
      <c r="T93" s="95">
        <v>42.495891999999998</v>
      </c>
      <c r="U93" s="96">
        <v>472936800</v>
      </c>
      <c r="V93" s="99">
        <v>44743</v>
      </c>
      <c r="W93" s="92">
        <v>63.150002000000001</v>
      </c>
      <c r="X93" s="92">
        <v>80.779999000000004</v>
      </c>
      <c r="Y93" s="92">
        <v>62.650002000000001</v>
      </c>
      <c r="Z93" s="92">
        <v>80.569999999999993</v>
      </c>
      <c r="AA93" s="92">
        <v>80.569999999999993</v>
      </c>
      <c r="AB93" s="97">
        <v>27325500</v>
      </c>
    </row>
    <row r="94" spans="1:28" x14ac:dyDescent="0.2">
      <c r="A94" s="98">
        <v>44774</v>
      </c>
      <c r="B94" s="92">
        <v>300.64001500000001</v>
      </c>
      <c r="C94" s="92">
        <v>332.98001099999999</v>
      </c>
      <c r="D94" s="92">
        <v>288.27999899999998</v>
      </c>
      <c r="E94" s="92">
        <v>288.42001299999998</v>
      </c>
      <c r="F94" s="92">
        <v>270.49063100000001</v>
      </c>
      <c r="G94" s="92">
        <v>76506500</v>
      </c>
      <c r="H94" s="99">
        <v>44774</v>
      </c>
      <c r="I94" s="92">
        <v>191.550003</v>
      </c>
      <c r="J94" s="92">
        <v>221.19000199999999</v>
      </c>
      <c r="K94" s="92">
        <v>187.86999499999999</v>
      </c>
      <c r="L94" s="92">
        <v>194.13999899999999</v>
      </c>
      <c r="M94" s="92">
        <v>184.79583700000001</v>
      </c>
      <c r="N94" s="92">
        <v>85783500</v>
      </c>
      <c r="O94" s="100">
        <v>44774</v>
      </c>
      <c r="P94" s="95">
        <v>43.686667999999997</v>
      </c>
      <c r="Q94" s="95">
        <v>47.573334000000003</v>
      </c>
      <c r="R94" s="95">
        <v>41.706668999999998</v>
      </c>
      <c r="S94" s="95">
        <v>44.183334000000002</v>
      </c>
      <c r="T94" s="95">
        <v>42.656807000000001</v>
      </c>
      <c r="U94" s="96">
        <v>623681700</v>
      </c>
      <c r="V94" s="99">
        <v>44774</v>
      </c>
      <c r="W94" s="92">
        <v>80.269997000000004</v>
      </c>
      <c r="X94" s="92">
        <v>102.150002</v>
      </c>
      <c r="Y94" s="92">
        <v>78.779999000000004</v>
      </c>
      <c r="Z94" s="92">
        <v>81.360000999999997</v>
      </c>
      <c r="AA94" s="92">
        <v>81.360000999999997</v>
      </c>
      <c r="AB94" s="97">
        <v>33217400</v>
      </c>
    </row>
    <row r="95" spans="1:28" x14ac:dyDescent="0.2">
      <c r="A95" s="98">
        <v>44805</v>
      </c>
      <c r="B95" s="92">
        <v>288.39999399999999</v>
      </c>
      <c r="C95" s="92">
        <v>302.82998700000002</v>
      </c>
      <c r="D95" s="92">
        <v>265.60998499999999</v>
      </c>
      <c r="E95" s="92">
        <v>275.94000199999999</v>
      </c>
      <c r="F95" s="92">
        <v>260.47497600000003</v>
      </c>
      <c r="G95" s="92">
        <v>84362400</v>
      </c>
      <c r="H95" s="99">
        <v>44805</v>
      </c>
      <c r="I95" s="92">
        <v>193.78999300000001</v>
      </c>
      <c r="J95" s="92">
        <v>209.41999799999999</v>
      </c>
      <c r="K95" s="92">
        <v>185.55999800000001</v>
      </c>
      <c r="L95" s="92">
        <v>187.80999800000001</v>
      </c>
      <c r="M95" s="92">
        <v>178.770523</v>
      </c>
      <c r="N95" s="92">
        <v>83742000</v>
      </c>
      <c r="O95" s="100">
        <v>44805</v>
      </c>
      <c r="P95" s="95">
        <v>44.18</v>
      </c>
      <c r="Q95" s="95">
        <v>46.083331999999999</v>
      </c>
      <c r="R95" s="95">
        <v>42.756667999999998</v>
      </c>
      <c r="S95" s="95">
        <v>43.233333999999999</v>
      </c>
      <c r="T95" s="95">
        <v>41.921410000000002</v>
      </c>
      <c r="U95" s="96">
        <v>416526900</v>
      </c>
      <c r="V95" s="99">
        <v>44805</v>
      </c>
      <c r="W95" s="92">
        <v>80.650002000000001</v>
      </c>
      <c r="X95" s="92">
        <v>87.669998000000007</v>
      </c>
      <c r="Y95" s="92">
        <v>67.739998</v>
      </c>
      <c r="Z95" s="92">
        <v>70.260002</v>
      </c>
      <c r="AA95" s="92">
        <v>70.260002</v>
      </c>
      <c r="AB95" s="97">
        <v>29981500</v>
      </c>
    </row>
    <row r="96" spans="1:28" x14ac:dyDescent="0.2">
      <c r="A96" s="98">
        <v>44835</v>
      </c>
      <c r="B96" s="92">
        <v>281</v>
      </c>
      <c r="C96" s="92">
        <v>299.27999899999998</v>
      </c>
      <c r="D96" s="92">
        <v>267.86999500000002</v>
      </c>
      <c r="E96" s="92">
        <v>296.13000499999998</v>
      </c>
      <c r="F96" s="92">
        <v>279.53341699999999</v>
      </c>
      <c r="G96" s="92">
        <v>65951000</v>
      </c>
      <c r="H96" s="99">
        <v>44835</v>
      </c>
      <c r="I96" s="92">
        <v>191.61000100000001</v>
      </c>
      <c r="J96" s="92">
        <v>202.28999300000001</v>
      </c>
      <c r="K96" s="92">
        <v>176.5</v>
      </c>
      <c r="L96" s="92">
        <v>194.949997</v>
      </c>
      <c r="M96" s="92">
        <v>185.56686400000001</v>
      </c>
      <c r="N96" s="92">
        <v>74185300</v>
      </c>
      <c r="O96" s="100">
        <v>44835</v>
      </c>
      <c r="P96" s="95">
        <v>43.413333999999999</v>
      </c>
      <c r="Q96" s="95">
        <v>47.689999</v>
      </c>
      <c r="R96" s="95">
        <v>42.689999</v>
      </c>
      <c r="S96" s="95">
        <v>47.443333000000003</v>
      </c>
      <c r="T96" s="95">
        <v>46.003647000000001</v>
      </c>
      <c r="U96" s="96">
        <v>350685000</v>
      </c>
      <c r="V96" s="99">
        <v>44835</v>
      </c>
      <c r="W96" s="92">
        <v>70.849997999999999</v>
      </c>
      <c r="X96" s="92">
        <v>77.300003000000004</v>
      </c>
      <c r="Y96" s="92">
        <v>63.77</v>
      </c>
      <c r="Z96" s="92">
        <v>73.370002999999997</v>
      </c>
      <c r="AA96" s="92">
        <v>73.370002999999997</v>
      </c>
      <c r="AB96" s="97">
        <v>33165200</v>
      </c>
    </row>
    <row r="97" spans="1:28" x14ac:dyDescent="0.2">
      <c r="A97" s="98">
        <v>44866</v>
      </c>
      <c r="B97" s="92">
        <v>300.36999500000002</v>
      </c>
      <c r="C97" s="92">
        <v>329.07998700000002</v>
      </c>
      <c r="D97" s="92">
        <v>277.5</v>
      </c>
      <c r="E97" s="92">
        <v>323.98998999999998</v>
      </c>
      <c r="F97" s="92">
        <v>305.83197000000001</v>
      </c>
      <c r="G97" s="92">
        <v>108646300</v>
      </c>
      <c r="H97" s="99">
        <v>44866</v>
      </c>
      <c r="I97" s="92">
        <v>198</v>
      </c>
      <c r="J97" s="92">
        <v>221.41999799999999</v>
      </c>
      <c r="K97" s="92">
        <v>178.300003</v>
      </c>
      <c r="L97" s="92">
        <v>212.550003</v>
      </c>
      <c r="M97" s="92">
        <v>203.42022700000001</v>
      </c>
      <c r="N97" s="92">
        <v>75836000</v>
      </c>
      <c r="O97" s="100">
        <v>44866</v>
      </c>
      <c r="P97" s="95">
        <v>47.656666000000001</v>
      </c>
      <c r="Q97" s="95">
        <v>51.546664999999997</v>
      </c>
      <c r="R97" s="95">
        <v>46.09</v>
      </c>
      <c r="S97" s="95">
        <v>50.806666999999997</v>
      </c>
      <c r="T97" s="95">
        <v>49.264923000000003</v>
      </c>
      <c r="U97" s="96">
        <v>454982100</v>
      </c>
      <c r="V97" s="99">
        <v>44866</v>
      </c>
      <c r="W97" s="92">
        <v>75.470000999999996</v>
      </c>
      <c r="X97" s="92">
        <v>84.260002</v>
      </c>
      <c r="Y97" s="92">
        <v>63.509998000000003</v>
      </c>
      <c r="Z97" s="92">
        <v>74.629997000000003</v>
      </c>
      <c r="AA97" s="92">
        <v>74.629997000000003</v>
      </c>
      <c r="AB97" s="97">
        <v>36429000</v>
      </c>
    </row>
    <row r="98" spans="1:28" x14ac:dyDescent="0.2">
      <c r="A98" s="98">
        <v>44896</v>
      </c>
      <c r="B98" s="92">
        <v>326.30999800000001</v>
      </c>
      <c r="C98" s="92">
        <v>347.25</v>
      </c>
      <c r="D98" s="92">
        <v>310.73001099999999</v>
      </c>
      <c r="E98" s="92">
        <v>315.85998499999999</v>
      </c>
      <c r="F98" s="92">
        <v>299.96139499999998</v>
      </c>
      <c r="G98" s="92">
        <v>77731000</v>
      </c>
      <c r="H98" s="99">
        <v>44896</v>
      </c>
      <c r="I98" s="92">
        <v>214.78999300000001</v>
      </c>
      <c r="J98" s="92">
        <v>217.83000200000001</v>
      </c>
      <c r="K98" s="92">
        <v>195.270004</v>
      </c>
      <c r="L98" s="92">
        <v>199.240005</v>
      </c>
      <c r="M98" s="92">
        <v>190.68194600000001</v>
      </c>
      <c r="N98" s="92">
        <v>64789200</v>
      </c>
      <c r="O98" s="100">
        <v>44896</v>
      </c>
      <c r="P98" s="95">
        <v>50.683334000000002</v>
      </c>
      <c r="Q98" s="95">
        <v>51.203335000000003</v>
      </c>
      <c r="R98" s="95">
        <v>46.936667999999997</v>
      </c>
      <c r="S98" s="95">
        <v>47.263331999999998</v>
      </c>
      <c r="T98" s="95">
        <v>45.829113</v>
      </c>
      <c r="U98" s="96">
        <v>382125300</v>
      </c>
      <c r="V98" s="99">
        <v>44896</v>
      </c>
      <c r="W98" s="92">
        <v>75.849997999999999</v>
      </c>
      <c r="X98" s="92">
        <v>82.190002000000007</v>
      </c>
      <c r="Y98" s="92">
        <v>68.290001000000004</v>
      </c>
      <c r="Z98" s="92">
        <v>69.629997000000003</v>
      </c>
      <c r="AA98" s="92">
        <v>69.629997000000003</v>
      </c>
      <c r="AB98" s="97">
        <v>31051100</v>
      </c>
    </row>
    <row r="99" spans="1:28" x14ac:dyDescent="0.2">
      <c r="A99" s="98">
        <v>44927</v>
      </c>
      <c r="B99" s="92">
        <v>317.42001299999998</v>
      </c>
      <c r="C99" s="92">
        <v>335.16000400000001</v>
      </c>
      <c r="D99" s="92">
        <v>307.39001500000001</v>
      </c>
      <c r="E99" s="92">
        <v>324.17001299999998</v>
      </c>
      <c r="F99" s="92">
        <v>307.85311899999999</v>
      </c>
      <c r="G99" s="92">
        <v>63001800</v>
      </c>
      <c r="H99" s="99">
        <v>44927</v>
      </c>
      <c r="I99" s="92">
        <v>201.490005</v>
      </c>
      <c r="J99" s="92">
        <v>214.979996</v>
      </c>
      <c r="K99" s="92">
        <v>194.449997</v>
      </c>
      <c r="L99" s="92">
        <v>208.25</v>
      </c>
      <c r="M99" s="92">
        <v>199.30493200000001</v>
      </c>
      <c r="N99" s="92">
        <v>59170200</v>
      </c>
      <c r="O99" s="100">
        <v>44927</v>
      </c>
      <c r="P99" s="95">
        <v>47.516666000000001</v>
      </c>
      <c r="Q99" s="95">
        <v>49.286667000000001</v>
      </c>
      <c r="R99" s="95">
        <v>46.056666999999997</v>
      </c>
      <c r="S99" s="95">
        <v>47.956668999999998</v>
      </c>
      <c r="T99" s="95">
        <v>46.676707999999998</v>
      </c>
      <c r="U99" s="96">
        <v>324054600</v>
      </c>
      <c r="V99" s="99">
        <v>44927</v>
      </c>
      <c r="W99" s="92">
        <v>71.360000999999997</v>
      </c>
      <c r="X99" s="92">
        <v>90.959998999999996</v>
      </c>
      <c r="Y99" s="92">
        <v>69.125</v>
      </c>
      <c r="Z99" s="92">
        <v>90.769997000000004</v>
      </c>
      <c r="AA99" s="92">
        <v>90.769997000000004</v>
      </c>
      <c r="AB99" s="97">
        <v>30673700</v>
      </c>
    </row>
    <row r="100" spans="1:28" x14ac:dyDescent="0.2">
      <c r="A100" s="98">
        <v>44958</v>
      </c>
      <c r="B100" s="92">
        <v>322.39001500000001</v>
      </c>
      <c r="C100" s="92">
        <v>341.47000100000002</v>
      </c>
      <c r="D100" s="92">
        <v>292</v>
      </c>
      <c r="E100" s="92">
        <v>296.540009</v>
      </c>
      <c r="F100" s="92">
        <v>281.61389200000002</v>
      </c>
      <c r="G100" s="92">
        <v>74570300</v>
      </c>
      <c r="H100" s="99">
        <v>44958</v>
      </c>
      <c r="I100" s="92">
        <v>207.46000699999999</v>
      </c>
      <c r="J100" s="92">
        <v>223.30999800000001</v>
      </c>
      <c r="K100" s="92">
        <v>198.46000699999999</v>
      </c>
      <c r="L100" s="92">
        <v>205.75</v>
      </c>
      <c r="M100" s="92">
        <v>197.925522</v>
      </c>
      <c r="N100" s="92">
        <v>52879300</v>
      </c>
      <c r="O100" s="100">
        <v>44958</v>
      </c>
      <c r="P100" s="95">
        <v>47.886665000000001</v>
      </c>
      <c r="Q100" s="95">
        <v>49.446666999999998</v>
      </c>
      <c r="R100" s="95">
        <v>46.23</v>
      </c>
      <c r="S100" s="95">
        <v>47.376666999999998</v>
      </c>
      <c r="T100" s="95">
        <v>46.112189999999998</v>
      </c>
      <c r="U100" s="96">
        <v>368553300</v>
      </c>
      <c r="V100" s="99">
        <v>44958</v>
      </c>
      <c r="W100" s="92">
        <v>90.800003000000004</v>
      </c>
      <c r="X100" s="92">
        <v>102.610001</v>
      </c>
      <c r="Y100" s="92">
        <v>87.339995999999999</v>
      </c>
      <c r="Z100" s="92">
        <v>91.809997999999993</v>
      </c>
      <c r="AA100" s="92">
        <v>91.809997999999993</v>
      </c>
      <c r="AB100" s="97">
        <v>34352600</v>
      </c>
    </row>
    <row r="101" spans="1:28" x14ac:dyDescent="0.2">
      <c r="A101" s="98">
        <v>44986</v>
      </c>
      <c r="B101" s="92">
        <v>291.92001299999998</v>
      </c>
      <c r="C101" s="92">
        <v>300.10998499999999</v>
      </c>
      <c r="D101" s="92">
        <v>279.92999300000002</v>
      </c>
      <c r="E101" s="92">
        <v>295.11999500000002</v>
      </c>
      <c r="F101" s="92">
        <v>280.26538099999999</v>
      </c>
      <c r="G101" s="92">
        <v>104356200</v>
      </c>
      <c r="H101" s="99">
        <v>44986</v>
      </c>
      <c r="I101" s="92">
        <v>205.44000199999999</v>
      </c>
      <c r="J101" s="92">
        <v>205.63999899999999</v>
      </c>
      <c r="K101" s="92">
        <v>187.44000199999999</v>
      </c>
      <c r="L101" s="92">
        <v>199.970001</v>
      </c>
      <c r="M101" s="92">
        <v>192.365341</v>
      </c>
      <c r="N101" s="92">
        <v>79983100</v>
      </c>
      <c r="O101" s="100">
        <v>44986</v>
      </c>
      <c r="P101" s="95">
        <v>47.02</v>
      </c>
      <c r="Q101" s="95">
        <v>49.48</v>
      </c>
      <c r="R101" s="95">
        <v>45.363334999999999</v>
      </c>
      <c r="S101" s="95">
        <v>49.150002000000001</v>
      </c>
      <c r="T101" s="95">
        <v>47.838196000000003</v>
      </c>
      <c r="U101" s="96">
        <v>524648700</v>
      </c>
      <c r="V101" s="99">
        <v>44986</v>
      </c>
      <c r="W101" s="92">
        <v>91.339995999999999</v>
      </c>
      <c r="X101" s="92">
        <v>98.43</v>
      </c>
      <c r="Y101" s="92">
        <v>83.989998</v>
      </c>
      <c r="Z101" s="92">
        <v>98.220000999999996</v>
      </c>
      <c r="AA101" s="92">
        <v>98.220000999999996</v>
      </c>
      <c r="AB101" s="97">
        <v>30026900</v>
      </c>
    </row>
    <row r="102" spans="1:28" x14ac:dyDescent="0.2">
      <c r="A102" s="98">
        <v>45017</v>
      </c>
      <c r="B102" s="92">
        <v>294.86999500000002</v>
      </c>
      <c r="C102" s="92">
        <v>303.20001200000002</v>
      </c>
      <c r="D102" s="92">
        <v>284.23998999999998</v>
      </c>
      <c r="E102" s="92">
        <v>300.540009</v>
      </c>
      <c r="F102" s="92">
        <v>287.47937000000002</v>
      </c>
      <c r="G102" s="92">
        <v>62482100</v>
      </c>
      <c r="H102" s="99">
        <v>45017</v>
      </c>
      <c r="I102" s="92">
        <v>201.070007</v>
      </c>
      <c r="J102" s="92">
        <v>212.5</v>
      </c>
      <c r="K102" s="92">
        <v>195.5</v>
      </c>
      <c r="L102" s="92">
        <v>207.83000200000001</v>
      </c>
      <c r="M102" s="92">
        <v>199.92643699999999</v>
      </c>
      <c r="N102" s="92">
        <v>50359600</v>
      </c>
      <c r="O102" s="100">
        <v>45017</v>
      </c>
      <c r="P102" s="95">
        <v>49.243332000000002</v>
      </c>
      <c r="Q102" s="95">
        <v>51.25</v>
      </c>
      <c r="R102" s="95">
        <v>49.006667999999998</v>
      </c>
      <c r="S102" s="95">
        <v>50.323334000000003</v>
      </c>
      <c r="T102" s="95">
        <v>49.180957999999997</v>
      </c>
      <c r="U102" s="96">
        <v>301894800</v>
      </c>
      <c r="V102" s="99">
        <v>45017</v>
      </c>
      <c r="W102" s="92">
        <v>97.620002999999997</v>
      </c>
      <c r="X102" s="92">
        <v>101.389999</v>
      </c>
      <c r="Y102" s="92">
        <v>90.440002000000007</v>
      </c>
      <c r="Z102" s="92">
        <v>99.339995999999999</v>
      </c>
      <c r="AA102" s="92">
        <v>99.339995999999999</v>
      </c>
      <c r="AB102" s="97">
        <v>25048700</v>
      </c>
    </row>
    <row r="103" spans="1:28" x14ac:dyDescent="0.2">
      <c r="A103" s="98">
        <v>45047</v>
      </c>
      <c r="B103" s="92">
        <v>298.98001099999999</v>
      </c>
      <c r="C103" s="92">
        <v>299.55999800000001</v>
      </c>
      <c r="D103" s="92">
        <v>277.08999599999999</v>
      </c>
      <c r="E103" s="92">
        <v>283.45001200000002</v>
      </c>
      <c r="F103" s="92">
        <v>271.13204999999999</v>
      </c>
      <c r="G103" s="92">
        <v>116748900</v>
      </c>
      <c r="H103" s="99">
        <v>45047</v>
      </c>
      <c r="I103" s="92">
        <v>207.83000200000001</v>
      </c>
      <c r="J103" s="92">
        <v>210.320007</v>
      </c>
      <c r="K103" s="92">
        <v>193.58999600000001</v>
      </c>
      <c r="L103" s="92">
        <v>201.13000500000001</v>
      </c>
      <c r="M103" s="92">
        <v>194.448669</v>
      </c>
      <c r="N103" s="92">
        <v>65431900</v>
      </c>
      <c r="O103" s="100">
        <v>45047</v>
      </c>
      <c r="P103" s="95">
        <v>50.346668000000001</v>
      </c>
      <c r="Q103" s="95">
        <v>51.450001</v>
      </c>
      <c r="R103" s="95">
        <v>48.336666000000001</v>
      </c>
      <c r="S103" s="95">
        <v>48.956668999999998</v>
      </c>
      <c r="T103" s="95">
        <v>47.845314000000002</v>
      </c>
      <c r="U103" s="96">
        <v>406453500</v>
      </c>
      <c r="V103" s="99">
        <v>45047</v>
      </c>
      <c r="W103" s="92">
        <v>98.839995999999999</v>
      </c>
      <c r="X103" s="92">
        <v>101.30999799999999</v>
      </c>
      <c r="Y103" s="92">
        <v>87.449996999999996</v>
      </c>
      <c r="Z103" s="92">
        <v>91.309997999999993</v>
      </c>
      <c r="AA103" s="92">
        <v>91.309997999999993</v>
      </c>
      <c r="AB103" s="97">
        <v>29436900</v>
      </c>
    </row>
    <row r="104" spans="1:28" x14ac:dyDescent="0.2">
      <c r="A104" s="98">
        <v>45078</v>
      </c>
      <c r="B104" s="92">
        <v>284.04998799999998</v>
      </c>
      <c r="C104" s="92">
        <v>315.459991</v>
      </c>
      <c r="D104" s="92">
        <v>279.98001099999999</v>
      </c>
      <c r="E104" s="92">
        <v>310.64001500000001</v>
      </c>
      <c r="F104" s="92">
        <v>299.27963299999999</v>
      </c>
      <c r="G104" s="92">
        <v>92363900</v>
      </c>
      <c r="H104" s="99">
        <v>45078</v>
      </c>
      <c r="I104" s="92">
        <v>200.96000699999999</v>
      </c>
      <c r="J104" s="92">
        <v>226.490005</v>
      </c>
      <c r="K104" s="92">
        <v>197.479996</v>
      </c>
      <c r="L104" s="92">
        <v>225.699997</v>
      </c>
      <c r="M104" s="92">
        <v>218.20245399999999</v>
      </c>
      <c r="N104" s="92">
        <v>67197200</v>
      </c>
      <c r="O104" s="100">
        <v>45078</v>
      </c>
      <c r="P104" s="95">
        <v>48.736668000000002</v>
      </c>
      <c r="Q104" s="95">
        <v>52.743332000000002</v>
      </c>
      <c r="R104" s="95">
        <v>48.646667000000001</v>
      </c>
      <c r="S104" s="95">
        <v>52.393332999999998</v>
      </c>
      <c r="T104" s="95">
        <v>51.398479000000002</v>
      </c>
      <c r="U104" s="96">
        <v>390332400</v>
      </c>
      <c r="V104" s="99">
        <v>45078</v>
      </c>
      <c r="W104" s="92">
        <v>90.959998999999996</v>
      </c>
      <c r="X104" s="92">
        <v>104.980003</v>
      </c>
      <c r="Y104" s="92">
        <v>89.290001000000004</v>
      </c>
      <c r="Z104" s="92">
        <v>103.959999</v>
      </c>
      <c r="AA104" s="92">
        <v>103.959999</v>
      </c>
      <c r="AB104" s="97">
        <v>24841700</v>
      </c>
    </row>
    <row r="105" spans="1:28" x14ac:dyDescent="0.2">
      <c r="A105" s="98">
        <v>45108</v>
      </c>
      <c r="B105" s="92">
        <v>309.77999899999998</v>
      </c>
      <c r="C105" s="92">
        <v>334.07000699999998</v>
      </c>
      <c r="D105" s="92">
        <v>300.89001500000001</v>
      </c>
      <c r="E105" s="92">
        <v>333.83999599999999</v>
      </c>
      <c r="F105" s="92">
        <v>321.63122600000003</v>
      </c>
      <c r="G105" s="92">
        <v>58379600</v>
      </c>
      <c r="H105" s="99">
        <v>45108</v>
      </c>
      <c r="I105" s="92">
        <v>224.61999499999999</v>
      </c>
      <c r="J105" s="92">
        <v>237.21000699999999</v>
      </c>
      <c r="K105" s="92">
        <v>220.729996</v>
      </c>
      <c r="L105" s="92">
        <v>234.270004</v>
      </c>
      <c r="M105" s="92">
        <v>226.48779300000001</v>
      </c>
      <c r="N105" s="92">
        <v>42570800</v>
      </c>
      <c r="O105" s="100">
        <v>45108</v>
      </c>
      <c r="P105" s="95">
        <v>52.27</v>
      </c>
      <c r="Q105" s="95">
        <v>53.646667000000001</v>
      </c>
      <c r="R105" s="95">
        <v>51.150002000000001</v>
      </c>
      <c r="S105" s="95">
        <v>53.286667000000001</v>
      </c>
      <c r="T105" s="95">
        <v>52.274849000000003</v>
      </c>
      <c r="U105" s="96">
        <v>272185500</v>
      </c>
      <c r="V105" s="99">
        <v>45108</v>
      </c>
      <c r="W105" s="92">
        <v>103.75</v>
      </c>
      <c r="X105" s="92">
        <v>116.029999</v>
      </c>
      <c r="Y105" s="92">
        <v>99.919998000000007</v>
      </c>
      <c r="Z105" s="92">
        <v>114.849998</v>
      </c>
      <c r="AA105" s="92">
        <v>114.849998</v>
      </c>
      <c r="AB105" s="97">
        <v>23463000</v>
      </c>
    </row>
    <row r="106" spans="1:28" x14ac:dyDescent="0.2">
      <c r="A106" s="98">
        <v>45139</v>
      </c>
      <c r="B106" s="92">
        <v>331.76001000000002</v>
      </c>
      <c r="C106" s="92">
        <v>338.17001299999998</v>
      </c>
      <c r="D106" s="92">
        <v>321.20001200000002</v>
      </c>
      <c r="E106" s="92">
        <v>330.29998799999998</v>
      </c>
      <c r="F106" s="92">
        <v>318.220642</v>
      </c>
      <c r="G106" s="92">
        <v>69775900</v>
      </c>
      <c r="H106" s="99">
        <v>45139</v>
      </c>
      <c r="I106" s="92">
        <v>232.94000199999999</v>
      </c>
      <c r="J106" s="92">
        <v>234.970001</v>
      </c>
      <c r="K106" s="92">
        <v>216.25</v>
      </c>
      <c r="L106" s="92">
        <v>230.479996</v>
      </c>
      <c r="M106" s="92">
        <v>223.87609900000001</v>
      </c>
      <c r="N106" s="92">
        <v>52931500</v>
      </c>
      <c r="O106" s="100">
        <v>45139</v>
      </c>
      <c r="P106" s="95">
        <v>53.316665999999998</v>
      </c>
      <c r="Q106" s="95">
        <v>54.330002</v>
      </c>
      <c r="R106" s="95">
        <v>51.673332000000002</v>
      </c>
      <c r="S106" s="95">
        <v>54.203335000000003</v>
      </c>
      <c r="T106" s="95">
        <v>53.174114000000003</v>
      </c>
      <c r="U106" s="96">
        <v>391674900</v>
      </c>
      <c r="V106" s="99">
        <v>45139</v>
      </c>
      <c r="W106" s="92">
        <v>113.19000200000001</v>
      </c>
      <c r="X106" s="92">
        <v>114.849998</v>
      </c>
      <c r="Y106" s="92">
        <v>94.239998</v>
      </c>
      <c r="Z106" s="92">
        <v>99.699996999999996</v>
      </c>
      <c r="AA106" s="92">
        <v>99.699996999999996</v>
      </c>
      <c r="AB106" s="97">
        <v>26941600</v>
      </c>
    </row>
    <row r="107" spans="1:28" x14ac:dyDescent="0.2">
      <c r="A107" s="98">
        <v>45170</v>
      </c>
      <c r="B107" s="92">
        <v>332</v>
      </c>
      <c r="C107" s="92">
        <v>333.45001200000002</v>
      </c>
      <c r="D107" s="92">
        <v>299.82000699999998</v>
      </c>
      <c r="E107" s="92">
        <v>302.16000400000001</v>
      </c>
      <c r="F107" s="92">
        <v>292.96871900000002</v>
      </c>
      <c r="G107" s="92">
        <v>55801800</v>
      </c>
      <c r="H107" s="99">
        <v>45170</v>
      </c>
      <c r="I107" s="92">
        <v>232.300003</v>
      </c>
      <c r="J107" s="92">
        <v>234.36999499999999</v>
      </c>
      <c r="K107" s="92">
        <v>206.270004</v>
      </c>
      <c r="L107" s="92">
        <v>207.83999600000001</v>
      </c>
      <c r="M107" s="92">
        <v>201.884781</v>
      </c>
      <c r="N107" s="92">
        <v>59999600</v>
      </c>
      <c r="O107" s="100">
        <v>45170</v>
      </c>
      <c r="P107" s="95">
        <v>54.290000999999997</v>
      </c>
      <c r="Q107" s="95">
        <v>55.283332999999999</v>
      </c>
      <c r="R107" s="95">
        <v>53.063332000000003</v>
      </c>
      <c r="S107" s="95">
        <v>53.310001</v>
      </c>
      <c r="T107" s="95">
        <v>52.483657999999998</v>
      </c>
      <c r="U107" s="96">
        <v>331229700</v>
      </c>
      <c r="V107" s="99">
        <v>45170</v>
      </c>
      <c r="W107" s="92">
        <v>101.16999800000001</v>
      </c>
      <c r="X107" s="92">
        <v>101.93</v>
      </c>
      <c r="Y107" s="92">
        <v>88.449996999999996</v>
      </c>
      <c r="Z107" s="92">
        <v>90.5</v>
      </c>
      <c r="AA107" s="92">
        <v>90.5</v>
      </c>
      <c r="AB107" s="97">
        <v>30715600</v>
      </c>
    </row>
    <row r="108" spans="1:28" x14ac:dyDescent="0.2">
      <c r="A108" s="98">
        <v>45200</v>
      </c>
      <c r="B108" s="92">
        <v>300.51998900000001</v>
      </c>
      <c r="C108" s="92">
        <v>303.45001200000002</v>
      </c>
      <c r="D108" s="92">
        <v>274.26001000000002</v>
      </c>
      <c r="E108" s="92">
        <v>284.69000199999999</v>
      </c>
      <c r="F108" s="92">
        <v>276.03015099999999</v>
      </c>
      <c r="G108" s="92">
        <v>60465900</v>
      </c>
      <c r="H108" s="99">
        <v>45200</v>
      </c>
      <c r="I108" s="92">
        <v>207.38000500000001</v>
      </c>
      <c r="J108" s="92">
        <v>208.479996</v>
      </c>
      <c r="K108" s="92">
        <v>181.85000600000001</v>
      </c>
      <c r="L108" s="92">
        <v>190.570007</v>
      </c>
      <c r="M108" s="92">
        <v>185.10964999999999</v>
      </c>
      <c r="N108" s="92">
        <v>53779200</v>
      </c>
      <c r="O108" s="100">
        <v>45200</v>
      </c>
      <c r="P108" s="95">
        <v>53.163333999999999</v>
      </c>
      <c r="Q108" s="95">
        <v>54.776668999999998</v>
      </c>
      <c r="R108" s="95">
        <v>50.549999</v>
      </c>
      <c r="S108" s="95">
        <v>54.470001000000003</v>
      </c>
      <c r="T108" s="95">
        <v>53.625675000000001</v>
      </c>
      <c r="U108" s="96">
        <v>344001900</v>
      </c>
      <c r="V108" s="99">
        <v>45200</v>
      </c>
      <c r="W108" s="92">
        <v>90.540001000000004</v>
      </c>
      <c r="X108" s="92">
        <v>91.75</v>
      </c>
      <c r="Y108" s="92">
        <v>76.690002000000007</v>
      </c>
      <c r="Z108" s="92">
        <v>82.400002000000001</v>
      </c>
      <c r="AA108" s="92">
        <v>82.400002000000001</v>
      </c>
      <c r="AB108" s="97">
        <v>58789000</v>
      </c>
    </row>
    <row r="109" spans="1:28" x14ac:dyDescent="0.2">
      <c r="A109" s="98">
        <v>45231</v>
      </c>
      <c r="B109" s="92">
        <v>285.58999599999999</v>
      </c>
      <c r="C109" s="92">
        <v>314.57998700000002</v>
      </c>
      <c r="D109" s="92">
        <v>282.01998900000001</v>
      </c>
      <c r="E109" s="92">
        <v>313.48998999999998</v>
      </c>
      <c r="F109" s="92">
        <v>303.954071</v>
      </c>
      <c r="G109" s="92">
        <v>71799500</v>
      </c>
      <c r="H109" s="99">
        <v>45231</v>
      </c>
      <c r="I109" s="92">
        <v>191.179993</v>
      </c>
      <c r="J109" s="92">
        <v>206.259995</v>
      </c>
      <c r="K109" s="92">
        <v>188.699997</v>
      </c>
      <c r="L109" s="92">
        <v>198.83000200000001</v>
      </c>
      <c r="M109" s="92">
        <v>194.26736500000001</v>
      </c>
      <c r="N109" s="92">
        <v>60532800</v>
      </c>
      <c r="O109" s="100">
        <v>45231</v>
      </c>
      <c r="P109" s="95">
        <v>54.736668000000002</v>
      </c>
      <c r="Q109" s="95">
        <v>56.646667000000001</v>
      </c>
      <c r="R109" s="95">
        <v>51.376666999999998</v>
      </c>
      <c r="S109" s="95">
        <v>51.896667000000001</v>
      </c>
      <c r="T109" s="95">
        <v>51.092232000000003</v>
      </c>
      <c r="U109" s="96">
        <v>536482200</v>
      </c>
      <c r="V109" s="99">
        <v>45231</v>
      </c>
      <c r="W109" s="92">
        <v>82.300003000000004</v>
      </c>
      <c r="X109" s="92">
        <v>94.779999000000004</v>
      </c>
      <c r="Y109" s="92">
        <v>76.300003000000004</v>
      </c>
      <c r="Z109" s="92">
        <v>91.709998999999996</v>
      </c>
      <c r="AA109" s="92">
        <v>91.709998999999996</v>
      </c>
      <c r="AB109" s="97">
        <v>43951900</v>
      </c>
    </row>
    <row r="110" spans="1:28" x14ac:dyDescent="0.2">
      <c r="A110" s="98">
        <v>45261</v>
      </c>
      <c r="B110" s="92">
        <v>313.82998700000002</v>
      </c>
      <c r="C110" s="92">
        <v>354.92001299999998</v>
      </c>
      <c r="D110" s="92">
        <v>313</v>
      </c>
      <c r="E110" s="92">
        <v>346.54998799999998</v>
      </c>
      <c r="F110" s="92">
        <v>338.26464800000002</v>
      </c>
      <c r="G110" s="92">
        <v>85111800</v>
      </c>
      <c r="H110" s="99">
        <v>45261</v>
      </c>
      <c r="I110" s="92">
        <v>199.199997</v>
      </c>
      <c r="J110" s="92">
        <v>227</v>
      </c>
      <c r="K110" s="92">
        <v>198.520004</v>
      </c>
      <c r="L110" s="92">
        <v>222.550003</v>
      </c>
      <c r="M110" s="92">
        <v>217.44302400000001</v>
      </c>
      <c r="N110" s="92">
        <v>68402600</v>
      </c>
      <c r="O110" s="100">
        <v>45261</v>
      </c>
      <c r="P110" s="95">
        <v>51.793331000000002</v>
      </c>
      <c r="Q110" s="95">
        <v>52.776668999999998</v>
      </c>
      <c r="R110" s="95">
        <v>49.846668000000001</v>
      </c>
      <c r="S110" s="95">
        <v>52.549999</v>
      </c>
      <c r="T110" s="95">
        <v>51.735435000000003</v>
      </c>
      <c r="U110" s="96">
        <v>543923100</v>
      </c>
      <c r="V110" s="99">
        <v>45261</v>
      </c>
      <c r="W110" s="92">
        <v>91.970000999999996</v>
      </c>
      <c r="X110" s="92">
        <v>116.697998</v>
      </c>
      <c r="Y110" s="92">
        <v>91.150002000000001</v>
      </c>
      <c r="Z110" s="92">
        <v>111.55999799999999</v>
      </c>
      <c r="AA110" s="92">
        <v>111.55999799999999</v>
      </c>
      <c r="AB110" s="97">
        <v>29936600</v>
      </c>
    </row>
    <row r="111" spans="1:28" x14ac:dyDescent="0.2">
      <c r="A111" s="98">
        <v>45292</v>
      </c>
      <c r="B111" s="92">
        <v>344.209991</v>
      </c>
      <c r="C111" s="92">
        <v>362.959991</v>
      </c>
      <c r="D111" s="92">
        <v>336.58999599999999</v>
      </c>
      <c r="E111" s="92">
        <v>352.959991</v>
      </c>
      <c r="F111" s="92">
        <v>344.52142300000003</v>
      </c>
      <c r="G111" s="92">
        <v>65234300</v>
      </c>
      <c r="H111" s="99">
        <v>45292</v>
      </c>
      <c r="I111" s="92">
        <v>220.25</v>
      </c>
      <c r="J111" s="92">
        <v>222.60000600000001</v>
      </c>
      <c r="K111" s="92">
        <v>209.550003</v>
      </c>
      <c r="L111" s="92">
        <v>212.83999600000001</v>
      </c>
      <c r="M111" s="92">
        <v>207.955872</v>
      </c>
      <c r="N111" s="92">
        <v>54890700</v>
      </c>
      <c r="O111" s="100">
        <v>45292</v>
      </c>
      <c r="P111" s="95">
        <v>52.416668000000001</v>
      </c>
      <c r="Q111" s="95">
        <v>55.933334000000002</v>
      </c>
      <c r="R111" s="95">
        <v>51.866669000000002</v>
      </c>
      <c r="S111" s="95">
        <v>55.083331999999999</v>
      </c>
      <c r="T111" s="95">
        <v>54.430911999999999</v>
      </c>
      <c r="U111" s="96">
        <v>385322100</v>
      </c>
      <c r="V111" s="99">
        <v>45292</v>
      </c>
      <c r="W111" s="92">
        <v>110.379997</v>
      </c>
      <c r="X111" s="92">
        <v>111.889999</v>
      </c>
      <c r="Y111" s="92">
        <v>100.44000200000001</v>
      </c>
      <c r="Z111" s="92">
        <v>100.55999799999999</v>
      </c>
      <c r="AA111" s="92">
        <v>100.55999799999999</v>
      </c>
      <c r="AB111" s="97">
        <v>27388700</v>
      </c>
    </row>
    <row r="112" spans="1:28" x14ac:dyDescent="0.2">
      <c r="A112" s="98">
        <v>45323</v>
      </c>
      <c r="B112" s="92">
        <v>353.39999399999999</v>
      </c>
      <c r="C112" s="92">
        <v>381.77999899999998</v>
      </c>
      <c r="D112" s="92">
        <v>350.01998900000001</v>
      </c>
      <c r="E112" s="92">
        <v>380.60998499999999</v>
      </c>
      <c r="F112" s="92">
        <v>371.51034499999997</v>
      </c>
      <c r="G112" s="92">
        <v>61630600</v>
      </c>
      <c r="H112" s="99">
        <v>45323</v>
      </c>
      <c r="I112" s="92">
        <v>213.020004</v>
      </c>
      <c r="J112" s="92">
        <v>241.44000199999999</v>
      </c>
      <c r="K112" s="92">
        <v>212.36999499999999</v>
      </c>
      <c r="L112" s="92">
        <v>240.66999799999999</v>
      </c>
      <c r="M112" s="92">
        <v>236.32962000000001</v>
      </c>
      <c r="N112" s="92">
        <v>53466000</v>
      </c>
      <c r="O112" s="100">
        <v>45323</v>
      </c>
      <c r="P112" s="95">
        <v>55.233333999999999</v>
      </c>
      <c r="Q112" s="95">
        <v>60.450001</v>
      </c>
      <c r="R112" s="95">
        <v>55.060001</v>
      </c>
      <c r="S112" s="95">
        <v>58.610000999999997</v>
      </c>
      <c r="T112" s="95">
        <v>57.91581</v>
      </c>
      <c r="U112" s="96">
        <v>523240800</v>
      </c>
      <c r="V112" s="99">
        <v>45323</v>
      </c>
      <c r="W112" s="92">
        <v>100.43</v>
      </c>
      <c r="X112" s="92">
        <v>124.105003</v>
      </c>
      <c r="Y112" s="92">
        <v>100.06500200000001</v>
      </c>
      <c r="Z112" s="92">
        <v>121.120003</v>
      </c>
      <c r="AA112" s="92">
        <v>121.120003</v>
      </c>
      <c r="AB112" s="97">
        <v>34346700</v>
      </c>
    </row>
    <row r="113" spans="1:28" x14ac:dyDescent="0.2">
      <c r="A113" s="98">
        <v>45352</v>
      </c>
      <c r="B113" s="92">
        <v>380.35998499999999</v>
      </c>
      <c r="C113" s="92">
        <v>396.86999500000002</v>
      </c>
      <c r="D113" s="92">
        <v>368.86999500000002</v>
      </c>
      <c r="E113" s="92">
        <v>383.60000600000001</v>
      </c>
      <c r="F113" s="92">
        <v>374.42892499999999</v>
      </c>
      <c r="G113" s="92">
        <v>66830600</v>
      </c>
      <c r="H113" s="99">
        <v>45352</v>
      </c>
      <c r="I113" s="92">
        <v>240.270004</v>
      </c>
      <c r="J113" s="92">
        <v>262.48998999999998</v>
      </c>
      <c r="K113" s="92">
        <v>238.91999799999999</v>
      </c>
      <c r="L113" s="92">
        <v>254.729996</v>
      </c>
      <c r="M113" s="92">
        <v>250.13604699999999</v>
      </c>
      <c r="N113" s="92">
        <v>50529700</v>
      </c>
      <c r="O113" s="100">
        <v>45352</v>
      </c>
      <c r="P113" s="95">
        <v>58.799999</v>
      </c>
      <c r="Q113" s="95">
        <v>61.66</v>
      </c>
      <c r="R113" s="95">
        <v>58.200001</v>
      </c>
      <c r="S113" s="95">
        <v>60.169998</v>
      </c>
      <c r="T113" s="95">
        <v>59.457335999999998</v>
      </c>
      <c r="U113" s="96">
        <v>339223100</v>
      </c>
      <c r="V113" s="99">
        <v>45352</v>
      </c>
      <c r="W113" s="92">
        <v>121</v>
      </c>
      <c r="X113" s="92">
        <v>135.66999799999999</v>
      </c>
      <c r="Y113" s="92">
        <v>117.790001</v>
      </c>
      <c r="Z113" s="92">
        <v>129.61999499999999</v>
      </c>
      <c r="AA113" s="92">
        <v>129.61999499999999</v>
      </c>
      <c r="AB113" s="97">
        <v>27517900</v>
      </c>
    </row>
    <row r="114" spans="1:28" x14ac:dyDescent="0.2">
      <c r="A114" s="98">
        <v>45383</v>
      </c>
      <c r="B114" s="92">
        <v>381.47000100000002</v>
      </c>
      <c r="C114" s="92">
        <v>383.14001500000001</v>
      </c>
      <c r="D114" s="92">
        <v>326.89999399999999</v>
      </c>
      <c r="E114" s="92">
        <v>334.22000100000002</v>
      </c>
      <c r="F114" s="92">
        <v>328.18060300000002</v>
      </c>
      <c r="G114" s="92">
        <v>83562400</v>
      </c>
      <c r="H114" s="99">
        <v>45383</v>
      </c>
      <c r="I114" s="92">
        <v>253.35000600000001</v>
      </c>
      <c r="J114" s="92">
        <v>255.320007</v>
      </c>
      <c r="K114" s="92">
        <v>224.679993</v>
      </c>
      <c r="L114" s="92">
        <v>227.990005</v>
      </c>
      <c r="M114" s="92">
        <v>223.87832599999999</v>
      </c>
      <c r="N114" s="92">
        <v>48164300</v>
      </c>
      <c r="O114" s="100">
        <v>45383</v>
      </c>
      <c r="P114" s="95">
        <v>60.310001</v>
      </c>
      <c r="Q114" s="95">
        <v>60.889999000000003</v>
      </c>
      <c r="R114" s="95">
        <v>58.560001</v>
      </c>
      <c r="S114" s="95">
        <v>59.349997999999999</v>
      </c>
      <c r="T114" s="95">
        <v>58.846789999999999</v>
      </c>
      <c r="U114" s="96">
        <v>304720900</v>
      </c>
      <c r="V114" s="99">
        <v>45383</v>
      </c>
      <c r="W114" s="92">
        <v>129.020004</v>
      </c>
      <c r="X114" s="92">
        <v>129.78999300000001</v>
      </c>
      <c r="Y114" s="92">
        <v>105.129997</v>
      </c>
      <c r="Z114" s="92">
        <v>110.33000199999999</v>
      </c>
      <c r="AA114" s="92">
        <v>110.33000199999999</v>
      </c>
      <c r="AB114" s="97">
        <v>25146500</v>
      </c>
    </row>
    <row r="115" spans="1:28" x14ac:dyDescent="0.2">
      <c r="A115" s="98">
        <v>45413</v>
      </c>
      <c r="B115" s="92">
        <v>333.01001000000002</v>
      </c>
      <c r="C115" s="92">
        <v>350.44000199999999</v>
      </c>
      <c r="D115" s="92">
        <v>323.76998900000001</v>
      </c>
      <c r="E115" s="92">
        <v>334.86999500000002</v>
      </c>
      <c r="F115" s="92">
        <v>328.818848</v>
      </c>
      <c r="G115" s="92">
        <v>81270400</v>
      </c>
      <c r="H115" s="99">
        <v>45413</v>
      </c>
      <c r="I115" s="92">
        <v>227.36999499999999</v>
      </c>
      <c r="J115" s="92">
        <v>238.14999399999999</v>
      </c>
      <c r="K115" s="92">
        <v>212.779999</v>
      </c>
      <c r="L115" s="92">
        <v>221.28999300000001</v>
      </c>
      <c r="M115" s="92">
        <v>218.33781400000001</v>
      </c>
      <c r="N115" s="92">
        <v>53122500</v>
      </c>
      <c r="O115" s="100">
        <v>45413</v>
      </c>
      <c r="P115" s="95">
        <v>59.310001</v>
      </c>
      <c r="Q115" s="95">
        <v>65.900002000000001</v>
      </c>
      <c r="R115" s="95">
        <v>58.580002</v>
      </c>
      <c r="S115" s="95">
        <v>65.760002</v>
      </c>
      <c r="T115" s="95">
        <v>65.202438000000001</v>
      </c>
      <c r="U115" s="96">
        <v>401568500</v>
      </c>
      <c r="V115" s="99">
        <v>45413</v>
      </c>
      <c r="W115" s="92">
        <v>110.099998</v>
      </c>
      <c r="X115" s="92">
        <v>126.739998</v>
      </c>
      <c r="Y115" s="92">
        <v>106.699997</v>
      </c>
      <c r="Z115" s="92">
        <v>116.860001</v>
      </c>
      <c r="AA115" s="92">
        <v>116.860001</v>
      </c>
      <c r="AB115" s="97">
        <v>25257300</v>
      </c>
    </row>
    <row r="116" spans="1:28" x14ac:dyDescent="0.2">
      <c r="A116" s="98">
        <v>45444</v>
      </c>
      <c r="B116" s="92">
        <v>333.64999399999999</v>
      </c>
      <c r="C116" s="92">
        <v>357.69000199999999</v>
      </c>
      <c r="D116" s="92">
        <v>323.92999300000002</v>
      </c>
      <c r="E116" s="92">
        <v>344.23998999999998</v>
      </c>
      <c r="F116" s="92">
        <v>340.36935399999999</v>
      </c>
      <c r="G116" s="92">
        <v>71174400</v>
      </c>
      <c r="H116" s="99">
        <v>45444</v>
      </c>
      <c r="I116" s="92">
        <v>219.69000199999999</v>
      </c>
      <c r="J116" s="92">
        <v>230.10000600000001</v>
      </c>
      <c r="K116" s="92">
        <v>214.75</v>
      </c>
      <c r="L116" s="92">
        <v>220.46000699999999</v>
      </c>
      <c r="M116" s="92">
        <v>217.51889</v>
      </c>
      <c r="N116" s="92">
        <v>56594800</v>
      </c>
      <c r="O116" s="100">
        <v>45444</v>
      </c>
      <c r="P116" s="95">
        <v>65.510002</v>
      </c>
      <c r="Q116" s="95">
        <v>69.040001000000004</v>
      </c>
      <c r="R116" s="95">
        <v>65.160004000000001</v>
      </c>
      <c r="S116" s="95">
        <v>67.709998999999996</v>
      </c>
      <c r="T116" s="95">
        <v>67.368285999999998</v>
      </c>
      <c r="U116" s="96">
        <v>288554300</v>
      </c>
      <c r="V116" s="99">
        <v>45444</v>
      </c>
      <c r="W116" s="92">
        <v>117.349998</v>
      </c>
      <c r="X116" s="92">
        <v>126.239998</v>
      </c>
      <c r="Y116" s="92">
        <v>98.690002000000007</v>
      </c>
      <c r="Z116" s="92">
        <v>99.410004000000001</v>
      </c>
      <c r="AA116" s="92">
        <v>99.410004000000001</v>
      </c>
      <c r="AB116" s="97">
        <v>27310700</v>
      </c>
    </row>
    <row r="117" spans="1:28" x14ac:dyDescent="0.2">
      <c r="A117" s="98">
        <v>45474</v>
      </c>
      <c r="B117" s="92">
        <v>343.92001299999998</v>
      </c>
      <c r="C117" s="92">
        <v>375.73998999999998</v>
      </c>
      <c r="D117" s="92">
        <v>331.64001500000001</v>
      </c>
      <c r="E117" s="92">
        <v>368.16000400000001</v>
      </c>
      <c r="F117" s="92">
        <v>364.02041600000001</v>
      </c>
      <c r="G117" s="92">
        <v>67270400</v>
      </c>
      <c r="H117" s="99">
        <v>45474</v>
      </c>
      <c r="I117" s="92">
        <v>219.44000199999999</v>
      </c>
      <c r="J117" s="92">
        <v>248.990005</v>
      </c>
      <c r="K117" s="92">
        <v>211.800003</v>
      </c>
      <c r="L117" s="92">
        <v>245.509995</v>
      </c>
      <c r="M117" s="92">
        <v>242.23469499999999</v>
      </c>
      <c r="N117" s="92">
        <v>53804300</v>
      </c>
      <c r="O117" s="100">
        <v>45474</v>
      </c>
      <c r="P117" s="95">
        <v>67.889999000000003</v>
      </c>
      <c r="Q117" s="95">
        <v>71.330001999999993</v>
      </c>
      <c r="R117" s="95">
        <v>67.25</v>
      </c>
      <c r="S117" s="95">
        <v>68.639999000000003</v>
      </c>
      <c r="T117" s="95">
        <v>68.293593999999999</v>
      </c>
      <c r="U117" s="96">
        <v>288053200</v>
      </c>
      <c r="V117" s="99">
        <v>45474</v>
      </c>
      <c r="W117" s="92">
        <v>98</v>
      </c>
      <c r="X117" s="92">
        <v>100.739998</v>
      </c>
      <c r="Y117" s="92">
        <v>89.150002000000001</v>
      </c>
      <c r="Z117" s="92">
        <v>98</v>
      </c>
      <c r="AA117" s="92">
        <v>98</v>
      </c>
      <c r="AB117" s="97">
        <v>49332000</v>
      </c>
    </row>
    <row r="118" spans="1:28" x14ac:dyDescent="0.2">
      <c r="A118" s="98">
        <v>45505</v>
      </c>
      <c r="B118" s="92">
        <v>369.98998999999998</v>
      </c>
      <c r="C118" s="92">
        <v>378.57998700000002</v>
      </c>
      <c r="D118" s="92">
        <v>339.36999500000002</v>
      </c>
      <c r="E118" s="92">
        <v>368.5</v>
      </c>
      <c r="F118" s="92">
        <v>364.35659800000002</v>
      </c>
      <c r="G118" s="92">
        <v>77006500</v>
      </c>
      <c r="H118" s="99">
        <v>45505</v>
      </c>
      <c r="I118" s="92">
        <v>246.83000200000001</v>
      </c>
      <c r="J118" s="92">
        <v>253.199997</v>
      </c>
      <c r="K118" s="92">
        <v>227.63000500000001</v>
      </c>
      <c r="L118" s="92">
        <v>248.5</v>
      </c>
      <c r="M118" s="92">
        <v>246.373718</v>
      </c>
      <c r="N118" s="92">
        <v>53176600</v>
      </c>
      <c r="O118" s="100">
        <v>45505</v>
      </c>
      <c r="P118" s="95">
        <v>68.910004000000001</v>
      </c>
      <c r="Q118" s="95">
        <v>77.470000999999996</v>
      </c>
      <c r="R118" s="95">
        <v>66.669998000000007</v>
      </c>
      <c r="S118" s="95">
        <v>77.230002999999996</v>
      </c>
      <c r="T118" s="95">
        <v>76.840248000000003</v>
      </c>
      <c r="U118" s="96">
        <v>395298400</v>
      </c>
      <c r="V118" s="99">
        <v>45505</v>
      </c>
      <c r="W118" s="92">
        <v>98.07</v>
      </c>
      <c r="X118" s="92">
        <v>112.849998</v>
      </c>
      <c r="Y118" s="92">
        <v>89.059997999999993</v>
      </c>
      <c r="Z118" s="92">
        <v>112.44000200000001</v>
      </c>
      <c r="AA118" s="92">
        <v>112.44000200000001</v>
      </c>
      <c r="AB118" s="97">
        <v>32445600</v>
      </c>
    </row>
    <row r="119" spans="1:28" x14ac:dyDescent="0.2">
      <c r="A119" s="98">
        <v>45536</v>
      </c>
      <c r="B119" s="92">
        <v>367.89999399999999</v>
      </c>
      <c r="C119" s="92">
        <v>405.30999800000001</v>
      </c>
      <c r="D119" s="92">
        <v>357.57998700000002</v>
      </c>
      <c r="E119" s="92">
        <v>405.20001200000002</v>
      </c>
      <c r="F119" s="92">
        <v>403.07739299999997</v>
      </c>
      <c r="G119" s="92">
        <v>62996700</v>
      </c>
      <c r="H119" s="99">
        <v>45536</v>
      </c>
      <c r="I119" s="92">
        <v>247.199997</v>
      </c>
      <c r="J119" s="92">
        <v>271.26998900000001</v>
      </c>
      <c r="K119" s="92">
        <v>240</v>
      </c>
      <c r="L119" s="92">
        <v>270.85000600000001</v>
      </c>
      <c r="M119" s="92">
        <v>268.53247099999999</v>
      </c>
      <c r="N119" s="92">
        <v>43438700</v>
      </c>
      <c r="O119" s="100">
        <v>45536</v>
      </c>
      <c r="P119" s="95">
        <v>77.330001999999993</v>
      </c>
      <c r="Q119" s="95">
        <v>81.599997999999999</v>
      </c>
      <c r="R119" s="95">
        <v>76.300003000000004</v>
      </c>
      <c r="S119" s="95">
        <v>80.75</v>
      </c>
      <c r="T119" s="95">
        <v>80.571487000000005</v>
      </c>
      <c r="U119" s="96">
        <v>358161300</v>
      </c>
      <c r="V119" s="99">
        <v>45536</v>
      </c>
      <c r="W119" s="92">
        <v>111.989998</v>
      </c>
      <c r="X119" s="92">
        <v>124.68</v>
      </c>
      <c r="Y119" s="92">
        <v>104</v>
      </c>
      <c r="Z119" s="92">
        <v>124.16999800000001</v>
      </c>
      <c r="AA119" s="92">
        <v>124.16999800000001</v>
      </c>
      <c r="AB119" s="97">
        <v>20395200</v>
      </c>
    </row>
    <row r="120" spans="1:28" x14ac:dyDescent="0.2">
      <c r="A120" s="98">
        <v>45566</v>
      </c>
      <c r="B120" s="92">
        <v>404.01998900000001</v>
      </c>
      <c r="C120" s="92">
        <v>421.55999800000001</v>
      </c>
      <c r="D120" s="92">
        <v>389.04998799999998</v>
      </c>
      <c r="E120" s="92">
        <v>393.75</v>
      </c>
      <c r="F120" s="92">
        <v>391.68737800000002</v>
      </c>
      <c r="G120" s="92">
        <v>70786300</v>
      </c>
      <c r="H120" s="99">
        <v>45566</v>
      </c>
      <c r="I120" s="92">
        <v>270.01001000000002</v>
      </c>
      <c r="J120" s="92">
        <v>287.01001000000002</v>
      </c>
      <c r="K120" s="92">
        <v>260.209991</v>
      </c>
      <c r="L120" s="92">
        <v>261.82998700000002</v>
      </c>
      <c r="M120" s="92">
        <v>259.58966099999998</v>
      </c>
      <c r="N120" s="92">
        <v>49087900</v>
      </c>
      <c r="O120" s="100">
        <v>45566</v>
      </c>
      <c r="P120" s="95">
        <v>80.680000000000007</v>
      </c>
      <c r="Q120" s="95">
        <v>83.339995999999999</v>
      </c>
      <c r="R120" s="95">
        <v>78.980002999999996</v>
      </c>
      <c r="S120" s="95">
        <v>81.949996999999996</v>
      </c>
      <c r="T120" s="95">
        <v>81.768828999999997</v>
      </c>
      <c r="U120" s="96">
        <v>274951500</v>
      </c>
      <c r="V120" s="99">
        <v>45566</v>
      </c>
      <c r="W120" s="92">
        <v>123.269997</v>
      </c>
      <c r="X120" s="92">
        <v>124.449997</v>
      </c>
      <c r="Y120" s="92">
        <v>97.639999000000003</v>
      </c>
      <c r="Z120" s="92">
        <v>103.050003</v>
      </c>
      <c r="AA120" s="92">
        <v>103.050003</v>
      </c>
      <c r="AB120" s="97">
        <v>32626200</v>
      </c>
    </row>
    <row r="121" spans="1:28" x14ac:dyDescent="0.2">
      <c r="A121" s="98">
        <v>45597</v>
      </c>
      <c r="B121" s="92">
        <v>394.79998799999998</v>
      </c>
      <c r="C121" s="92">
        <v>439.36999500000002</v>
      </c>
      <c r="D121" s="92">
        <v>381.72000100000002</v>
      </c>
      <c r="E121" s="92">
        <v>429.13000499999998</v>
      </c>
      <c r="F121" s="92">
        <v>426.88204999999999</v>
      </c>
      <c r="G121" s="92">
        <v>74404900</v>
      </c>
      <c r="H121" s="99">
        <v>45597</v>
      </c>
      <c r="I121" s="92">
        <v>265.54998799999998</v>
      </c>
      <c r="J121" s="92">
        <v>276.76998900000001</v>
      </c>
      <c r="K121" s="92">
        <v>257.25</v>
      </c>
      <c r="L121" s="92">
        <v>272.42999300000002</v>
      </c>
      <c r="M121" s="92">
        <v>271.244843</v>
      </c>
      <c r="N121" s="92">
        <v>49217400</v>
      </c>
      <c r="O121" s="100">
        <v>45597</v>
      </c>
      <c r="P121" s="95">
        <v>82.529999000000004</v>
      </c>
      <c r="Q121" s="95">
        <v>92.639999000000003</v>
      </c>
      <c r="R121" s="95">
        <v>81.540001000000004</v>
      </c>
      <c r="S121" s="95">
        <v>92.5</v>
      </c>
      <c r="T121" s="95">
        <v>92.295508999999996</v>
      </c>
      <c r="U121" s="96">
        <v>340426600</v>
      </c>
      <c r="V121" s="99">
        <v>45597</v>
      </c>
      <c r="W121" s="92">
        <v>103</v>
      </c>
      <c r="X121" s="92">
        <v>122.900002</v>
      </c>
      <c r="Y121" s="92">
        <v>94.43</v>
      </c>
      <c r="Z121" s="92">
        <v>112.209999</v>
      </c>
      <c r="AA121" s="92">
        <v>112.209999</v>
      </c>
      <c r="AB121" s="97">
        <v>43427400</v>
      </c>
    </row>
    <row r="122" spans="1:28" ht="17" thickBot="1" x14ac:dyDescent="0.25">
      <c r="A122" s="98">
        <v>45627</v>
      </c>
      <c r="B122" s="92">
        <v>429</v>
      </c>
      <c r="C122" s="92">
        <v>436.35998499999999</v>
      </c>
      <c r="D122" s="92">
        <v>383.04998799999998</v>
      </c>
      <c r="E122" s="92">
        <v>388.98998999999998</v>
      </c>
      <c r="F122" s="92">
        <v>388.98998999999998</v>
      </c>
      <c r="G122" s="92">
        <v>65467100</v>
      </c>
      <c r="H122" s="101">
        <v>45627</v>
      </c>
      <c r="I122" s="102">
        <v>273.44000199999999</v>
      </c>
      <c r="J122" s="102">
        <v>280.64001500000001</v>
      </c>
      <c r="K122" s="102">
        <v>244</v>
      </c>
      <c r="L122" s="102">
        <v>246.800003</v>
      </c>
      <c r="M122" s="102">
        <v>245.726349</v>
      </c>
      <c r="N122" s="102">
        <v>49409300</v>
      </c>
      <c r="O122" s="103">
        <v>45627</v>
      </c>
      <c r="P122" s="104">
        <v>92.82</v>
      </c>
      <c r="Q122" s="104">
        <v>96.18</v>
      </c>
      <c r="R122" s="104">
        <v>88.910004000000001</v>
      </c>
      <c r="S122" s="104">
        <v>90.349997999999999</v>
      </c>
      <c r="T122" s="114">
        <v>90.150261</v>
      </c>
      <c r="U122" s="105">
        <v>382128400</v>
      </c>
      <c r="V122" s="101">
        <v>45627</v>
      </c>
      <c r="W122" s="102">
        <v>113.230003</v>
      </c>
      <c r="X122" s="102">
        <v>115.514999</v>
      </c>
      <c r="Y122" s="102">
        <v>97.089995999999999</v>
      </c>
      <c r="Z122" s="102">
        <v>99.699996999999996</v>
      </c>
      <c r="AA122" s="115">
        <v>99.699996999999996</v>
      </c>
      <c r="AB122" s="106">
        <v>27361100</v>
      </c>
    </row>
  </sheetData>
  <mergeCells count="4">
    <mergeCell ref="A1:G1"/>
    <mergeCell ref="H1:N1"/>
    <mergeCell ref="O1:U1"/>
    <mergeCell ref="V1:AB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7213D-4A97-4148-BB18-07F21199F9E2}">
  <dimension ref="A1:S121"/>
  <sheetViews>
    <sheetView topLeftCell="O1" zoomScale="140" zoomScaleNormal="140" workbookViewId="0">
      <selection activeCell="AC5" sqref="AC5"/>
    </sheetView>
  </sheetViews>
  <sheetFormatPr baseColWidth="10" defaultRowHeight="15" x14ac:dyDescent="0.2"/>
  <cols>
    <col min="1" max="1" width="11" style="163" bestFit="1" customWidth="1"/>
    <col min="2" max="5" width="11" style="156" bestFit="1" customWidth="1"/>
    <col min="6" max="6" width="11" style="163" bestFit="1" customWidth="1"/>
    <col min="7" max="7" width="11" style="156" bestFit="1" customWidth="1"/>
    <col min="8" max="8" width="13.6640625" style="156" bestFit="1" customWidth="1"/>
    <col min="9" max="12" width="11" style="156" bestFit="1" customWidth="1"/>
    <col min="13" max="13" width="11" style="163" bestFit="1" customWidth="1"/>
    <col min="14" max="14" width="11" style="156" bestFit="1" customWidth="1"/>
    <col min="15" max="15" width="13.5" style="156" bestFit="1" customWidth="1"/>
    <col min="16" max="16" width="17.5" style="156" bestFit="1" customWidth="1"/>
    <col min="17" max="16384" width="10.83203125" style="156"/>
  </cols>
  <sheetData>
    <row r="1" spans="1:19" x14ac:dyDescent="0.2">
      <c r="A1" s="165" t="s">
        <v>195</v>
      </c>
      <c r="B1" s="156" t="s">
        <v>196</v>
      </c>
      <c r="C1" s="156" t="s">
        <v>197</v>
      </c>
      <c r="D1" s="156" t="s">
        <v>198</v>
      </c>
      <c r="E1" s="156" t="s">
        <v>199</v>
      </c>
      <c r="F1" s="163" t="s">
        <v>286</v>
      </c>
      <c r="G1" s="156" t="s">
        <v>201</v>
      </c>
      <c r="H1" s="161" t="s">
        <v>246</v>
      </c>
      <c r="I1" s="157" t="s">
        <v>195</v>
      </c>
      <c r="J1" s="157" t="s">
        <v>196</v>
      </c>
      <c r="K1" s="157" t="s">
        <v>197</v>
      </c>
      <c r="L1" s="157" t="s">
        <v>198</v>
      </c>
      <c r="M1" s="168" t="s">
        <v>287</v>
      </c>
      <c r="N1" s="157" t="s">
        <v>246</v>
      </c>
      <c r="O1" s="156" t="s">
        <v>289</v>
      </c>
      <c r="P1" s="156" t="s">
        <v>290</v>
      </c>
    </row>
    <row r="2" spans="1:19" x14ac:dyDescent="0.2">
      <c r="A2" s="166">
        <v>42005</v>
      </c>
      <c r="B2" s="156">
        <v>105.160004</v>
      </c>
      <c r="C2" s="156">
        <v>107.739998</v>
      </c>
      <c r="D2" s="156">
        <v>100.239998</v>
      </c>
      <c r="E2" s="156">
        <v>104.41999800000001</v>
      </c>
      <c r="F2" s="163">
        <v>82.677825999999996</v>
      </c>
      <c r="G2" s="156">
        <v>109808700</v>
      </c>
      <c r="H2" s="161">
        <f>(F3/F2)-1</f>
        <v>9.8927274647981234E-2</v>
      </c>
      <c r="I2" s="158">
        <v>42005</v>
      </c>
      <c r="J2" s="159">
        <v>2058.9</v>
      </c>
      <c r="K2" s="159">
        <v>2072.36</v>
      </c>
      <c r="L2" s="159">
        <v>1988.12</v>
      </c>
      <c r="M2" s="169">
        <v>1994.99</v>
      </c>
      <c r="N2" s="160">
        <f t="shared" ref="N2:N65" si="0">+(M3/M2)-1</f>
        <v>5.4892505726845675E-2</v>
      </c>
      <c r="O2" s="172">
        <f>$S$2*(F2/$F$2)</f>
        <v>50</v>
      </c>
      <c r="P2" s="172">
        <f>$S$2*(M2/$M$2)</f>
        <v>50</v>
      </c>
      <c r="R2" s="170" t="s">
        <v>288</v>
      </c>
      <c r="S2" s="171">
        <v>50</v>
      </c>
    </row>
    <row r="3" spans="1:19" x14ac:dyDescent="0.2">
      <c r="A3" s="166">
        <v>42036</v>
      </c>
      <c r="B3" s="156">
        <v>104.779999</v>
      </c>
      <c r="C3" s="156">
        <v>117.91999800000001</v>
      </c>
      <c r="D3" s="156">
        <v>101.57</v>
      </c>
      <c r="E3" s="156">
        <v>114.75</v>
      </c>
      <c r="F3" s="163">
        <v>90.856917999999993</v>
      </c>
      <c r="G3" s="156">
        <v>110415700</v>
      </c>
      <c r="H3" s="161">
        <f t="shared" ref="H3:H66" si="1">(F4/F3)-1</f>
        <v>-9.9344994290911925E-3</v>
      </c>
      <c r="I3" s="158">
        <v>42036</v>
      </c>
      <c r="J3" s="159">
        <v>1996.67</v>
      </c>
      <c r="K3" s="159">
        <v>2119.59</v>
      </c>
      <c r="L3" s="159">
        <v>1980.9</v>
      </c>
      <c r="M3" s="169">
        <v>2104.5</v>
      </c>
      <c r="N3" s="160">
        <f t="shared" si="0"/>
        <v>-1.7396056070325572E-2</v>
      </c>
      <c r="O3" s="172">
        <f t="shared" ref="O3:O66" si="2">$S$2*(F3/$F$2)</f>
        <v>54.946363732399064</v>
      </c>
      <c r="P3" s="172">
        <f t="shared" ref="P3:P66" si="3">$S$2*(M3/$M$2)</f>
        <v>52.744625286342284</v>
      </c>
    </row>
    <row r="4" spans="1:19" x14ac:dyDescent="0.2">
      <c r="A4" s="166">
        <v>42064</v>
      </c>
      <c r="B4" s="156">
        <v>114.860001</v>
      </c>
      <c r="C4" s="156">
        <v>117.989998</v>
      </c>
      <c r="D4" s="156">
        <v>111.58000199999999</v>
      </c>
      <c r="E4" s="156">
        <v>113.610001</v>
      </c>
      <c r="F4" s="163">
        <v>89.954300000000003</v>
      </c>
      <c r="G4" s="156">
        <v>104110600</v>
      </c>
      <c r="H4" s="161">
        <f t="shared" si="1"/>
        <v>-5.3512283459489995E-2</v>
      </c>
      <c r="I4" s="158">
        <v>42064</v>
      </c>
      <c r="J4" s="159">
        <v>2105.23</v>
      </c>
      <c r="K4" s="159">
        <v>2117.52</v>
      </c>
      <c r="L4" s="159">
        <v>2039.69</v>
      </c>
      <c r="M4" s="169">
        <v>2067.89</v>
      </c>
      <c r="N4" s="160">
        <f t="shared" si="0"/>
        <v>8.5207627098153882E-3</v>
      </c>
      <c r="O4" s="172">
        <f t="shared" si="2"/>
        <v>54.400499113268893</v>
      </c>
      <c r="P4" s="172">
        <f t="shared" si="3"/>
        <v>51.827076827452764</v>
      </c>
    </row>
    <row r="5" spans="1:19" x14ac:dyDescent="0.2">
      <c r="A5" s="166">
        <v>42095</v>
      </c>
      <c r="B5" s="156">
        <v>113.879997</v>
      </c>
      <c r="C5" s="156">
        <v>116.25</v>
      </c>
      <c r="D5" s="156">
        <v>106.620003</v>
      </c>
      <c r="E5" s="156">
        <v>106.980003</v>
      </c>
      <c r="F5" s="163">
        <v>85.140640000000005</v>
      </c>
      <c r="G5" s="156">
        <v>95675500</v>
      </c>
      <c r="H5" s="161">
        <f t="shared" si="1"/>
        <v>4.1503094174532684E-2</v>
      </c>
      <c r="I5" s="158">
        <v>42095</v>
      </c>
      <c r="J5" s="159">
        <v>2067.63</v>
      </c>
      <c r="K5" s="159">
        <v>2125.92</v>
      </c>
      <c r="L5" s="159">
        <v>2048.38</v>
      </c>
      <c r="M5" s="169">
        <v>2085.5100000000002</v>
      </c>
      <c r="N5" s="160">
        <f t="shared" si="0"/>
        <v>1.0491438545008114E-2</v>
      </c>
      <c r="O5" s="172">
        <f t="shared" si="2"/>
        <v>51.489404184381925</v>
      </c>
      <c r="P5" s="172">
        <f t="shared" si="3"/>
        <v>52.268683051042863</v>
      </c>
    </row>
    <row r="6" spans="1:19" x14ac:dyDescent="0.2">
      <c r="A6" s="166">
        <v>42125</v>
      </c>
      <c r="B6" s="156">
        <v>106.980003</v>
      </c>
      <c r="C6" s="156">
        <v>116.480003</v>
      </c>
      <c r="D6" s="156">
        <v>106.849998</v>
      </c>
      <c r="E6" s="156">
        <v>111.41999800000001</v>
      </c>
      <c r="F6" s="163">
        <v>88.674239999999998</v>
      </c>
      <c r="G6" s="156">
        <v>100397400</v>
      </c>
      <c r="H6" s="161">
        <f t="shared" si="1"/>
        <v>-2.6027513740178865E-3</v>
      </c>
      <c r="I6" s="158">
        <v>42125</v>
      </c>
      <c r="J6" s="159">
        <v>2087.38</v>
      </c>
      <c r="K6" s="159">
        <v>2134.7199999999998</v>
      </c>
      <c r="L6" s="159">
        <v>2067.9299999999998</v>
      </c>
      <c r="M6" s="169">
        <v>2107.39</v>
      </c>
      <c r="N6" s="160">
        <f t="shared" si="0"/>
        <v>-2.10117728564716E-2</v>
      </c>
      <c r="O6" s="172">
        <f t="shared" si="2"/>
        <v>53.6263737752369</v>
      </c>
      <c r="P6" s="172">
        <f t="shared" si="3"/>
        <v>52.817056727101388</v>
      </c>
    </row>
    <row r="7" spans="1:19" x14ac:dyDescent="0.2">
      <c r="A7" s="166">
        <v>42156</v>
      </c>
      <c r="B7" s="156">
        <v>111.970001</v>
      </c>
      <c r="C7" s="156">
        <v>113.709999</v>
      </c>
      <c r="D7" s="156">
        <v>109.029999</v>
      </c>
      <c r="E7" s="156">
        <v>111.129997</v>
      </c>
      <c r="F7" s="163">
        <v>88.443443000000002</v>
      </c>
      <c r="G7" s="156">
        <v>104809700</v>
      </c>
      <c r="H7" s="161">
        <f t="shared" si="1"/>
        <v>5.8684621764442113E-2</v>
      </c>
      <c r="I7" s="158">
        <v>42156</v>
      </c>
      <c r="J7" s="159">
        <v>2108.64</v>
      </c>
      <c r="K7" s="159">
        <v>2129.87</v>
      </c>
      <c r="L7" s="159">
        <v>2056.3200000000002</v>
      </c>
      <c r="M7" s="169">
        <v>2063.11</v>
      </c>
      <c r="N7" s="160">
        <f t="shared" si="0"/>
        <v>1.9742039930008559E-2</v>
      </c>
      <c r="O7" s="172">
        <f t="shared" si="2"/>
        <v>53.486797657209806</v>
      </c>
      <c r="P7" s="172">
        <f t="shared" si="3"/>
        <v>51.707276728204157</v>
      </c>
    </row>
    <row r="8" spans="1:19" x14ac:dyDescent="0.2">
      <c r="A8" s="166">
        <v>42186</v>
      </c>
      <c r="B8" s="156">
        <v>112.449997</v>
      </c>
      <c r="C8" s="156">
        <v>118.129997</v>
      </c>
      <c r="D8" s="156">
        <v>110.16999800000001</v>
      </c>
      <c r="E8" s="156">
        <v>117.029999</v>
      </c>
      <c r="F8" s="163">
        <v>93.633713</v>
      </c>
      <c r="G8" s="156">
        <v>97800100</v>
      </c>
      <c r="H8" s="161">
        <f t="shared" si="1"/>
        <v>-4.8706281678694285E-3</v>
      </c>
      <c r="I8" s="158">
        <v>42186</v>
      </c>
      <c r="J8" s="159">
        <v>2067</v>
      </c>
      <c r="K8" s="159">
        <v>2132.8200000000002</v>
      </c>
      <c r="L8" s="159">
        <v>2044.02</v>
      </c>
      <c r="M8" s="169">
        <v>2103.84</v>
      </c>
      <c r="N8" s="160">
        <f t="shared" si="0"/>
        <v>-6.258080462392579E-2</v>
      </c>
      <c r="O8" s="172">
        <f t="shared" si="2"/>
        <v>56.625650147114413</v>
      </c>
      <c r="P8" s="172">
        <f t="shared" si="3"/>
        <v>52.728083850044364</v>
      </c>
    </row>
    <row r="9" spans="1:19" x14ac:dyDescent="0.2">
      <c r="A9" s="166">
        <v>42217</v>
      </c>
      <c r="B9" s="156">
        <v>117.620003</v>
      </c>
      <c r="C9" s="156">
        <v>123.800003</v>
      </c>
      <c r="D9" s="156">
        <v>92.169998000000007</v>
      </c>
      <c r="E9" s="156">
        <v>116.459999</v>
      </c>
      <c r="F9" s="163">
        <v>93.177657999999994</v>
      </c>
      <c r="G9" s="156">
        <v>135234000</v>
      </c>
      <c r="H9" s="161">
        <f t="shared" si="1"/>
        <v>-8.3292499152533006E-3</v>
      </c>
      <c r="I9" s="158">
        <v>42217</v>
      </c>
      <c r="J9" s="159">
        <v>2104.4899999999998</v>
      </c>
      <c r="K9" s="159">
        <v>2112.66</v>
      </c>
      <c r="L9" s="159">
        <v>1867.01</v>
      </c>
      <c r="M9" s="169">
        <v>1972.18</v>
      </c>
      <c r="N9" s="160">
        <f t="shared" si="0"/>
        <v>-2.6442819620927094E-2</v>
      </c>
      <c r="O9" s="172">
        <f t="shared" si="2"/>
        <v>56.349847660483967</v>
      </c>
      <c r="P9" s="172">
        <f t="shared" si="3"/>
        <v>49.428317936430759</v>
      </c>
    </row>
    <row r="10" spans="1:19" x14ac:dyDescent="0.2">
      <c r="A10" s="166">
        <v>42248</v>
      </c>
      <c r="B10" s="156">
        <v>113.989998</v>
      </c>
      <c r="C10" s="156">
        <v>119.82</v>
      </c>
      <c r="D10" s="156">
        <v>111.800003</v>
      </c>
      <c r="E10" s="156">
        <v>115.489998</v>
      </c>
      <c r="F10" s="163">
        <v>92.401557999999994</v>
      </c>
      <c r="G10" s="156">
        <v>122128700</v>
      </c>
      <c r="H10" s="161">
        <f t="shared" si="1"/>
        <v>7.602026580547494E-2</v>
      </c>
      <c r="I10" s="158">
        <v>42248</v>
      </c>
      <c r="J10" s="159">
        <v>1970.09</v>
      </c>
      <c r="K10" s="159">
        <v>2020.86</v>
      </c>
      <c r="L10" s="159">
        <v>1871.91</v>
      </c>
      <c r="M10" s="169">
        <v>1920.03</v>
      </c>
      <c r="N10" s="160">
        <f t="shared" si="0"/>
        <v>8.2983078389400333E-2</v>
      </c>
      <c r="O10" s="172">
        <f t="shared" si="2"/>
        <v>55.880495696633339</v>
      </c>
      <c r="P10" s="172">
        <f t="shared" si="3"/>
        <v>48.121293841071882</v>
      </c>
    </row>
    <row r="11" spans="1:19" x14ac:dyDescent="0.2">
      <c r="A11" s="166">
        <v>42278</v>
      </c>
      <c r="B11" s="156">
        <v>116.230003</v>
      </c>
      <c r="C11" s="156">
        <v>125.75</v>
      </c>
      <c r="D11" s="156">
        <v>114.709999</v>
      </c>
      <c r="E11" s="156">
        <v>123.639999</v>
      </c>
      <c r="F11" s="163">
        <v>99.425949000000003</v>
      </c>
      <c r="G11" s="156">
        <v>97180400</v>
      </c>
      <c r="H11" s="161">
        <f t="shared" si="1"/>
        <v>8.2821246191977504E-2</v>
      </c>
      <c r="I11" s="158">
        <v>42278</v>
      </c>
      <c r="J11" s="159">
        <v>1919.65</v>
      </c>
      <c r="K11" s="159">
        <v>2094.3200000000002</v>
      </c>
      <c r="L11" s="159">
        <v>1893.7</v>
      </c>
      <c r="M11" s="169">
        <v>2079.36</v>
      </c>
      <c r="N11" s="160">
        <f t="shared" si="0"/>
        <v>5.0496306555847248E-4</v>
      </c>
      <c r="O11" s="172">
        <f t="shared" si="2"/>
        <v>60.128545832833105</v>
      </c>
      <c r="P11" s="172">
        <f t="shared" si="3"/>
        <v>52.114546940084914</v>
      </c>
    </row>
    <row r="12" spans="1:19" x14ac:dyDescent="0.2">
      <c r="A12" s="166">
        <v>42309</v>
      </c>
      <c r="B12" s="156">
        <v>124.239998</v>
      </c>
      <c r="C12" s="156">
        <v>135.470001</v>
      </c>
      <c r="D12" s="156">
        <v>118.610001</v>
      </c>
      <c r="E12" s="156">
        <v>133.88000500000001</v>
      </c>
      <c r="F12" s="163">
        <v>107.66052999999999</v>
      </c>
      <c r="G12" s="156">
        <v>111416100</v>
      </c>
      <c r="H12" s="161">
        <f t="shared" si="1"/>
        <v>-1.2175436996269551E-2</v>
      </c>
      <c r="I12" s="158">
        <v>42309</v>
      </c>
      <c r="J12" s="159">
        <v>2080.7600000000002</v>
      </c>
      <c r="K12" s="159">
        <v>2116.48</v>
      </c>
      <c r="L12" s="159">
        <v>2019.39</v>
      </c>
      <c r="M12" s="169">
        <v>2080.41</v>
      </c>
      <c r="N12" s="160">
        <f t="shared" si="0"/>
        <v>-1.7530198374358763E-2</v>
      </c>
      <c r="O12" s="172">
        <f t="shared" si="2"/>
        <v>65.108466930419766</v>
      </c>
      <c r="P12" s="172">
        <f t="shared" si="3"/>
        <v>52.140862861467973</v>
      </c>
    </row>
    <row r="13" spans="1:19" x14ac:dyDescent="0.2">
      <c r="A13" s="166">
        <v>42339</v>
      </c>
      <c r="B13" s="156">
        <v>133.520004</v>
      </c>
      <c r="C13" s="156">
        <v>134.83000200000001</v>
      </c>
      <c r="D13" s="156">
        <v>130.009995</v>
      </c>
      <c r="E13" s="156">
        <v>132.25</v>
      </c>
      <c r="F13" s="163">
        <v>106.349716</v>
      </c>
      <c r="G13" s="156">
        <v>99749700</v>
      </c>
      <c r="H13" s="161">
        <f t="shared" si="1"/>
        <v>-4.4864398133418582E-2</v>
      </c>
      <c r="I13" s="158">
        <v>42339</v>
      </c>
      <c r="J13" s="159">
        <v>2082.9299999999998</v>
      </c>
      <c r="K13" s="159">
        <v>2104.27</v>
      </c>
      <c r="L13" s="159">
        <v>1993.26</v>
      </c>
      <c r="M13" s="169">
        <v>2043.94</v>
      </c>
      <c r="N13" s="160">
        <f t="shared" si="0"/>
        <v>-5.0735344481736222E-2</v>
      </c>
      <c r="O13" s="172">
        <f t="shared" si="2"/>
        <v>64.315742893384737</v>
      </c>
      <c r="P13" s="172">
        <f t="shared" si="3"/>
        <v>51.226823192096205</v>
      </c>
    </row>
    <row r="14" spans="1:19" x14ac:dyDescent="0.2">
      <c r="A14" s="166">
        <v>42370</v>
      </c>
      <c r="B14" s="156">
        <v>130.11000100000001</v>
      </c>
      <c r="C14" s="156">
        <v>131.94000199999999</v>
      </c>
      <c r="D14" s="156">
        <v>113.589996</v>
      </c>
      <c r="E14" s="156">
        <v>125.760002</v>
      </c>
      <c r="F14" s="163">
        <v>101.5784</v>
      </c>
      <c r="G14" s="156">
        <v>147050100</v>
      </c>
      <c r="H14" s="161">
        <f t="shared" si="1"/>
        <v>-1.3040557835130362E-2</v>
      </c>
      <c r="I14" s="158">
        <v>42370</v>
      </c>
      <c r="J14" s="159">
        <v>2038.2</v>
      </c>
      <c r="K14" s="159">
        <v>2038.2</v>
      </c>
      <c r="L14" s="159">
        <v>1812.29</v>
      </c>
      <c r="M14" s="169">
        <v>1940.24</v>
      </c>
      <c r="N14" s="160">
        <f t="shared" si="0"/>
        <v>-4.1283552550199776E-3</v>
      </c>
      <c r="O14" s="172">
        <f t="shared" si="2"/>
        <v>61.430255797969345</v>
      </c>
      <c r="P14" s="172">
        <f t="shared" si="3"/>
        <v>48.627812670740205</v>
      </c>
    </row>
    <row r="15" spans="1:19" x14ac:dyDescent="0.2">
      <c r="A15" s="166">
        <v>42401</v>
      </c>
      <c r="B15" s="156">
        <v>124.91999800000001</v>
      </c>
      <c r="C15" s="156">
        <v>127.75</v>
      </c>
      <c r="D15" s="156">
        <v>109.620003</v>
      </c>
      <c r="E15" s="156">
        <v>124.120003</v>
      </c>
      <c r="F15" s="163">
        <v>100.253761</v>
      </c>
      <c r="G15" s="156">
        <v>135914000</v>
      </c>
      <c r="H15" s="161">
        <f t="shared" si="1"/>
        <v>7.500786928083425E-2</v>
      </c>
      <c r="I15" s="158">
        <v>42401</v>
      </c>
      <c r="J15" s="159">
        <v>1936.94</v>
      </c>
      <c r="K15" s="159">
        <v>1962.96</v>
      </c>
      <c r="L15" s="159">
        <v>1810.1</v>
      </c>
      <c r="M15" s="169">
        <v>1932.23</v>
      </c>
      <c r="N15" s="160">
        <f t="shared" si="0"/>
        <v>6.5991108718941094E-2</v>
      </c>
      <c r="O15" s="172">
        <f t="shared" si="2"/>
        <v>60.629170994409066</v>
      </c>
      <c r="P15" s="172">
        <f t="shared" si="3"/>
        <v>48.427059784760829</v>
      </c>
    </row>
    <row r="16" spans="1:19" x14ac:dyDescent="0.2">
      <c r="A16" s="166">
        <v>42430</v>
      </c>
      <c r="B16" s="156">
        <v>124.779999</v>
      </c>
      <c r="C16" s="156">
        <v>134.28999300000001</v>
      </c>
      <c r="D16" s="156">
        <v>123.980003</v>
      </c>
      <c r="E16" s="156">
        <v>133.429993</v>
      </c>
      <c r="F16" s="163">
        <v>107.773582</v>
      </c>
      <c r="G16" s="156">
        <v>94146700</v>
      </c>
      <c r="H16" s="161">
        <f t="shared" si="1"/>
        <v>8.9655366562837457E-3</v>
      </c>
      <c r="I16" s="158">
        <v>42430</v>
      </c>
      <c r="J16" s="159">
        <v>1937.09</v>
      </c>
      <c r="K16" s="159">
        <v>2072.21</v>
      </c>
      <c r="L16" s="159">
        <v>1937.09</v>
      </c>
      <c r="M16" s="169">
        <v>2059.7399999999998</v>
      </c>
      <c r="N16" s="160">
        <f t="shared" si="0"/>
        <v>2.69936982337593E-3</v>
      </c>
      <c r="O16" s="172">
        <f t="shared" si="2"/>
        <v>65.176835926963065</v>
      </c>
      <c r="P16" s="172">
        <f t="shared" si="3"/>
        <v>51.622815151955649</v>
      </c>
    </row>
    <row r="17" spans="1:16" x14ac:dyDescent="0.2">
      <c r="A17" s="166">
        <v>42461</v>
      </c>
      <c r="B17" s="156">
        <v>133.10000600000001</v>
      </c>
      <c r="C17" s="156">
        <v>137</v>
      </c>
      <c r="D17" s="156">
        <v>131.75</v>
      </c>
      <c r="E17" s="156">
        <v>133.88999899999999</v>
      </c>
      <c r="F17" s="163">
        <v>108.73983</v>
      </c>
      <c r="G17" s="156">
        <v>82951100</v>
      </c>
      <c r="H17" s="161">
        <f t="shared" si="1"/>
        <v>-1.3219912151784641E-2</v>
      </c>
      <c r="I17" s="158">
        <v>42461</v>
      </c>
      <c r="J17" s="159">
        <v>2056.62</v>
      </c>
      <c r="K17" s="159">
        <v>2111.0500000000002</v>
      </c>
      <c r="L17" s="159">
        <v>2033.8</v>
      </c>
      <c r="M17" s="169">
        <v>2065.3000000000002</v>
      </c>
      <c r="N17" s="160">
        <f t="shared" si="0"/>
        <v>1.5329492083474561E-2</v>
      </c>
      <c r="O17" s="172">
        <f t="shared" si="2"/>
        <v>65.761181238606838</v>
      </c>
      <c r="P17" s="172">
        <f t="shared" si="3"/>
        <v>51.762164221374555</v>
      </c>
    </row>
    <row r="18" spans="1:16" x14ac:dyDescent="0.2">
      <c r="A18" s="166">
        <v>42491</v>
      </c>
      <c r="B18" s="156">
        <v>134.36999499999999</v>
      </c>
      <c r="C18" s="156">
        <v>137.820007</v>
      </c>
      <c r="D18" s="156">
        <v>130.020004</v>
      </c>
      <c r="E18" s="156">
        <v>132.11999499999999</v>
      </c>
      <c r="F18" s="163">
        <v>107.302299</v>
      </c>
      <c r="G18" s="156">
        <v>112394600</v>
      </c>
      <c r="H18" s="161">
        <f t="shared" si="1"/>
        <v>-2.8525353403658249E-2</v>
      </c>
      <c r="I18" s="158">
        <v>42491</v>
      </c>
      <c r="J18" s="159">
        <v>2067.17</v>
      </c>
      <c r="K18" s="159">
        <v>2103.48</v>
      </c>
      <c r="L18" s="159">
        <v>2025.91</v>
      </c>
      <c r="M18" s="169">
        <v>2096.96</v>
      </c>
      <c r="N18" s="160">
        <f t="shared" si="0"/>
        <v>9.0607355409733081E-4</v>
      </c>
      <c r="O18" s="172">
        <f t="shared" si="2"/>
        <v>64.891824199634868</v>
      </c>
      <c r="P18" s="172">
        <f t="shared" si="3"/>
        <v>52.55565190802961</v>
      </c>
    </row>
    <row r="19" spans="1:16" x14ac:dyDescent="0.2">
      <c r="A19" s="166">
        <v>42522</v>
      </c>
      <c r="B19" s="156">
        <v>132.11999499999999</v>
      </c>
      <c r="C19" s="156">
        <v>132.729996</v>
      </c>
      <c r="D19" s="156">
        <v>123.620003</v>
      </c>
      <c r="E19" s="156">
        <v>127.69000200000001</v>
      </c>
      <c r="F19" s="163">
        <v>104.241463</v>
      </c>
      <c r="G19" s="156">
        <v>114046600</v>
      </c>
      <c r="H19" s="161">
        <f t="shared" si="1"/>
        <v>8.2621797048262779E-2</v>
      </c>
      <c r="I19" s="158">
        <v>42522</v>
      </c>
      <c r="J19" s="159">
        <v>2093.94</v>
      </c>
      <c r="K19" s="159">
        <v>2120.5500000000002</v>
      </c>
      <c r="L19" s="159">
        <v>1991.68</v>
      </c>
      <c r="M19" s="169">
        <v>2098.86</v>
      </c>
      <c r="N19" s="160">
        <f t="shared" si="0"/>
        <v>3.5609807228685897E-2</v>
      </c>
      <c r="O19" s="172">
        <f t="shared" si="2"/>
        <v>63.040761981332217</v>
      </c>
      <c r="P19" s="172">
        <f t="shared" si="3"/>
        <v>52.603271194341829</v>
      </c>
    </row>
    <row r="20" spans="1:16" x14ac:dyDescent="0.2">
      <c r="A20" s="166">
        <v>42552</v>
      </c>
      <c r="B20" s="156">
        <v>128.28999300000001</v>
      </c>
      <c r="C20" s="156">
        <v>138.720001</v>
      </c>
      <c r="D20" s="156">
        <v>128.11999499999999</v>
      </c>
      <c r="E20" s="156">
        <v>138.240005</v>
      </c>
      <c r="F20" s="163">
        <v>112.85408</v>
      </c>
      <c r="G20" s="156">
        <v>78399700</v>
      </c>
      <c r="H20" s="161">
        <f t="shared" si="1"/>
        <v>-2.9803450615165983E-2</v>
      </c>
      <c r="I20" s="158">
        <v>42552</v>
      </c>
      <c r="J20" s="159">
        <v>2099.34</v>
      </c>
      <c r="K20" s="159">
        <v>2177.09</v>
      </c>
      <c r="L20" s="159">
        <v>2074.02</v>
      </c>
      <c r="M20" s="169">
        <v>2173.6</v>
      </c>
      <c r="N20" s="160">
        <f t="shared" si="0"/>
        <v>-1.2191755612808164E-3</v>
      </c>
      <c r="O20" s="172">
        <f t="shared" si="2"/>
        <v>68.249303023521691</v>
      </c>
      <c r="P20" s="172">
        <f t="shared" si="3"/>
        <v>54.476463541170631</v>
      </c>
    </row>
    <row r="21" spans="1:16" x14ac:dyDescent="0.2">
      <c r="A21" s="166">
        <v>42583</v>
      </c>
      <c r="B21" s="156">
        <v>138.05999800000001</v>
      </c>
      <c r="C21" s="156">
        <v>139</v>
      </c>
      <c r="D21" s="156">
        <v>133.60000600000001</v>
      </c>
      <c r="E21" s="156">
        <v>134.11999499999999</v>
      </c>
      <c r="F21" s="163">
        <v>109.490639</v>
      </c>
      <c r="G21" s="156">
        <v>91331300</v>
      </c>
      <c r="H21" s="161">
        <f t="shared" si="1"/>
        <v>-3.5640197514967498E-2</v>
      </c>
      <c r="I21" s="158">
        <v>42583</v>
      </c>
      <c r="J21" s="159">
        <v>2173.15</v>
      </c>
      <c r="K21" s="159">
        <v>2193.81</v>
      </c>
      <c r="L21" s="159">
        <v>2147.58</v>
      </c>
      <c r="M21" s="169">
        <v>2170.9499999999998</v>
      </c>
      <c r="N21" s="160">
        <f t="shared" si="0"/>
        <v>-1.2344825997834263E-3</v>
      </c>
      <c r="O21" s="172">
        <f t="shared" si="2"/>
        <v>66.215238291340654</v>
      </c>
      <c r="P21" s="172">
        <f t="shared" si="3"/>
        <v>54.410047168156225</v>
      </c>
    </row>
    <row r="22" spans="1:16" x14ac:dyDescent="0.2">
      <c r="A22" s="166">
        <v>42614</v>
      </c>
      <c r="B22" s="156">
        <v>134.479996</v>
      </c>
      <c r="C22" s="156">
        <v>135.88000500000001</v>
      </c>
      <c r="D22" s="156">
        <v>125.349998</v>
      </c>
      <c r="E22" s="156">
        <v>128.679993</v>
      </c>
      <c r="F22" s="163">
        <v>105.588371</v>
      </c>
      <c r="G22" s="156">
        <v>107739700</v>
      </c>
      <c r="H22" s="161">
        <f t="shared" si="1"/>
        <v>-5.183400357601875E-2</v>
      </c>
      <c r="I22" s="158">
        <v>42614</v>
      </c>
      <c r="J22" s="159">
        <v>2171.33</v>
      </c>
      <c r="K22" s="159">
        <v>2187.87</v>
      </c>
      <c r="L22" s="159">
        <v>2119.12</v>
      </c>
      <c r="M22" s="169">
        <v>2168.27</v>
      </c>
      <c r="N22" s="160">
        <f t="shared" si="0"/>
        <v>-1.9425625037472249E-2</v>
      </c>
      <c r="O22" s="172">
        <f t="shared" si="2"/>
        <v>63.85531412013664</v>
      </c>
      <c r="P22" s="172">
        <f t="shared" si="3"/>
        <v>54.342878911673743</v>
      </c>
    </row>
    <row r="23" spans="1:16" x14ac:dyDescent="0.2">
      <c r="A23" s="166">
        <v>42644</v>
      </c>
      <c r="B23" s="156">
        <v>128.199997</v>
      </c>
      <c r="C23" s="156">
        <v>130.449997</v>
      </c>
      <c r="D23" s="156">
        <v>121.620003</v>
      </c>
      <c r="E23" s="156">
        <v>122.010002</v>
      </c>
      <c r="F23" s="163">
        <v>100.115303</v>
      </c>
      <c r="G23" s="156">
        <v>97360300</v>
      </c>
      <c r="H23" s="161">
        <f t="shared" si="1"/>
        <v>6.0568662515060323E-2</v>
      </c>
      <c r="I23" s="158">
        <v>42644</v>
      </c>
      <c r="J23" s="159">
        <v>2164.33</v>
      </c>
      <c r="K23" s="159">
        <v>2169.6</v>
      </c>
      <c r="L23" s="159">
        <v>2114.7199999999998</v>
      </c>
      <c r="M23" s="169">
        <v>2126.15</v>
      </c>
      <c r="N23" s="160">
        <f t="shared" si="0"/>
        <v>3.4174446769983158E-2</v>
      </c>
      <c r="O23" s="172">
        <f t="shared" si="2"/>
        <v>60.545437539685679</v>
      </c>
      <c r="P23" s="172">
        <f t="shared" si="3"/>
        <v>53.287234522478812</v>
      </c>
    </row>
    <row r="24" spans="1:16" x14ac:dyDescent="0.2">
      <c r="A24" s="166">
        <v>42675</v>
      </c>
      <c r="B24" s="156">
        <v>121.69000200000001</v>
      </c>
      <c r="C24" s="156">
        <v>132.13999899999999</v>
      </c>
      <c r="D24" s="156">
        <v>119.199997</v>
      </c>
      <c r="E24" s="156">
        <v>129.39999399999999</v>
      </c>
      <c r="F24" s="163">
        <v>106.179153</v>
      </c>
      <c r="G24" s="156">
        <v>133565300</v>
      </c>
      <c r="H24" s="161">
        <f t="shared" si="1"/>
        <v>4.1668989391919542E-2</v>
      </c>
      <c r="I24" s="158">
        <v>42675</v>
      </c>
      <c r="J24" s="159">
        <v>2128.6799999999998</v>
      </c>
      <c r="K24" s="159">
        <v>2214.1</v>
      </c>
      <c r="L24" s="159">
        <v>2083.79</v>
      </c>
      <c r="M24" s="169">
        <v>2198.81</v>
      </c>
      <c r="N24" s="160">
        <f t="shared" si="0"/>
        <v>1.8200754044233047E-2</v>
      </c>
      <c r="O24" s="172">
        <f t="shared" si="2"/>
        <v>64.212593712853561</v>
      </c>
      <c r="P24" s="172">
        <f t="shared" si="3"/>
        <v>55.108296282186878</v>
      </c>
    </row>
    <row r="25" spans="1:16" x14ac:dyDescent="0.2">
      <c r="A25" s="166">
        <v>42705</v>
      </c>
      <c r="B25" s="156">
        <v>129.33999600000001</v>
      </c>
      <c r="C25" s="156">
        <v>137.320007</v>
      </c>
      <c r="D25" s="156">
        <v>128.679993</v>
      </c>
      <c r="E25" s="156">
        <v>134.08000200000001</v>
      </c>
      <c r="F25" s="163">
        <v>110.603531</v>
      </c>
      <c r="G25" s="156">
        <v>99553700</v>
      </c>
      <c r="H25" s="161">
        <f t="shared" si="1"/>
        <v>2.6103976734702883E-2</v>
      </c>
      <c r="I25" s="158">
        <v>42705</v>
      </c>
      <c r="J25" s="159">
        <v>2200.17</v>
      </c>
      <c r="K25" s="159">
        <v>2277.5300000000002</v>
      </c>
      <c r="L25" s="159">
        <v>2187.44</v>
      </c>
      <c r="M25" s="169">
        <v>2238.83</v>
      </c>
      <c r="N25" s="160">
        <f t="shared" si="0"/>
        <v>1.7884341374735824E-2</v>
      </c>
      <c r="O25" s="172">
        <f t="shared" si="2"/>
        <v>66.888267599102093</v>
      </c>
      <c r="P25" s="172">
        <f t="shared" si="3"/>
        <v>56.111308828615677</v>
      </c>
    </row>
    <row r="26" spans="1:16" x14ac:dyDescent="0.2">
      <c r="A26" s="166">
        <v>42736</v>
      </c>
      <c r="B26" s="156">
        <v>135.10000600000001</v>
      </c>
      <c r="C26" s="156">
        <v>139.36999499999999</v>
      </c>
      <c r="D26" s="156">
        <v>133.050003</v>
      </c>
      <c r="E26" s="156">
        <v>137.58000200000001</v>
      </c>
      <c r="F26" s="163">
        <v>113.490723</v>
      </c>
      <c r="G26" s="156">
        <v>83138300</v>
      </c>
      <c r="H26" s="161">
        <f t="shared" si="1"/>
        <v>5.3277420745658555E-2</v>
      </c>
      <c r="I26" s="158">
        <v>42736</v>
      </c>
      <c r="J26" s="159">
        <v>2251.5700000000002</v>
      </c>
      <c r="K26" s="159">
        <v>2300.9899999999998</v>
      </c>
      <c r="L26" s="159">
        <v>2245.13</v>
      </c>
      <c r="M26" s="169">
        <v>2278.87</v>
      </c>
      <c r="N26" s="160">
        <f t="shared" si="0"/>
        <v>3.7198260541408734E-2</v>
      </c>
      <c r="O26" s="172">
        <f t="shared" si="2"/>
        <v>68.634317380333641</v>
      </c>
      <c r="P26" s="172">
        <f t="shared" si="3"/>
        <v>57.114822630689879</v>
      </c>
    </row>
    <row r="27" spans="1:16" x14ac:dyDescent="0.2">
      <c r="A27" s="166">
        <v>42767</v>
      </c>
      <c r="B27" s="156">
        <v>137.66000399999999</v>
      </c>
      <c r="C27" s="156">
        <v>146.33000200000001</v>
      </c>
      <c r="D27" s="156">
        <v>136.33000200000001</v>
      </c>
      <c r="E27" s="156">
        <v>144.91000399999999</v>
      </c>
      <c r="F27" s="163">
        <v>119.537216</v>
      </c>
      <c r="G27" s="156">
        <v>75930200</v>
      </c>
      <c r="H27" s="161">
        <f t="shared" si="1"/>
        <v>1.3249823385547144E-2</v>
      </c>
      <c r="I27" s="158">
        <v>42767</v>
      </c>
      <c r="J27" s="159">
        <v>2285.59</v>
      </c>
      <c r="K27" s="159">
        <v>2371.54</v>
      </c>
      <c r="L27" s="159">
        <v>2271.65</v>
      </c>
      <c r="M27" s="169">
        <v>2363.64</v>
      </c>
      <c r="N27" s="160">
        <f t="shared" si="0"/>
        <v>-3.8923017041514463E-4</v>
      </c>
      <c r="O27" s="172">
        <f t="shared" si="2"/>
        <v>72.290976784996744</v>
      </c>
      <c r="P27" s="172">
        <f t="shared" si="3"/>
        <v>59.239394683682619</v>
      </c>
    </row>
    <row r="28" spans="1:16" x14ac:dyDescent="0.2">
      <c r="A28" s="166">
        <v>42795</v>
      </c>
      <c r="B28" s="156">
        <v>146.720001</v>
      </c>
      <c r="C28" s="156">
        <v>150.14999399999999</v>
      </c>
      <c r="D28" s="156">
        <v>145.83000200000001</v>
      </c>
      <c r="E28" s="156">
        <v>146.83000200000001</v>
      </c>
      <c r="F28" s="163">
        <v>121.12106300000001</v>
      </c>
      <c r="G28" s="156">
        <v>92996000</v>
      </c>
      <c r="H28" s="161">
        <f t="shared" si="1"/>
        <v>6.9604384168920452E-2</v>
      </c>
      <c r="I28" s="158">
        <v>42795</v>
      </c>
      <c r="J28" s="159">
        <v>2380.13</v>
      </c>
      <c r="K28" s="159">
        <v>2400.98</v>
      </c>
      <c r="L28" s="159">
        <v>2322.25</v>
      </c>
      <c r="M28" s="169">
        <v>2362.7199999999998</v>
      </c>
      <c r="N28" s="160">
        <f t="shared" si="0"/>
        <v>9.0912169025529899E-3</v>
      </c>
      <c r="O28" s="172">
        <f t="shared" si="2"/>
        <v>73.248819459766651</v>
      </c>
      <c r="P28" s="172">
        <f t="shared" si="3"/>
        <v>59.216336923994604</v>
      </c>
    </row>
    <row r="29" spans="1:16" x14ac:dyDescent="0.2">
      <c r="A29" s="166">
        <v>42826</v>
      </c>
      <c r="B29" s="156">
        <v>146.94000199999999</v>
      </c>
      <c r="C29" s="156">
        <v>156.270004</v>
      </c>
      <c r="D29" s="156">
        <v>145.759995</v>
      </c>
      <c r="E29" s="156">
        <v>156.10000600000001</v>
      </c>
      <c r="F29" s="163">
        <v>129.55162000000001</v>
      </c>
      <c r="G29" s="156">
        <v>75716700</v>
      </c>
      <c r="H29" s="161">
        <f t="shared" si="1"/>
        <v>-1.6591826485844119E-2</v>
      </c>
      <c r="I29" s="158">
        <v>42826</v>
      </c>
      <c r="J29" s="159">
        <v>2362.34</v>
      </c>
      <c r="K29" s="159">
        <v>2398.16</v>
      </c>
      <c r="L29" s="159">
        <v>2328.9499999999998</v>
      </c>
      <c r="M29" s="169">
        <v>2384.1999999999998</v>
      </c>
      <c r="N29" s="160">
        <f t="shared" si="0"/>
        <v>1.1576210049492719E-2</v>
      </c>
      <c r="O29" s="172">
        <f t="shared" si="2"/>
        <v>78.347258429364132</v>
      </c>
      <c r="P29" s="172">
        <f t="shared" si="3"/>
        <v>59.754685487145295</v>
      </c>
    </row>
    <row r="30" spans="1:16" x14ac:dyDescent="0.2">
      <c r="A30" s="166">
        <v>42856</v>
      </c>
      <c r="B30" s="156">
        <v>156.220001</v>
      </c>
      <c r="C30" s="156">
        <v>160.86000100000001</v>
      </c>
      <c r="D30" s="156">
        <v>153.279999</v>
      </c>
      <c r="E30" s="156">
        <v>153.509995</v>
      </c>
      <c r="F30" s="163">
        <v>127.40212200000001</v>
      </c>
      <c r="G30" s="156">
        <v>93676400</v>
      </c>
      <c r="H30" s="161">
        <f t="shared" si="1"/>
        <v>5.0577807487381943E-3</v>
      </c>
      <c r="I30" s="158">
        <v>42856</v>
      </c>
      <c r="J30" s="159">
        <v>2388.5</v>
      </c>
      <c r="K30" s="159">
        <v>2418.71</v>
      </c>
      <c r="L30" s="159">
        <v>2352.7199999999998</v>
      </c>
      <c r="M30" s="169">
        <v>2411.8000000000002</v>
      </c>
      <c r="N30" s="160">
        <f t="shared" si="0"/>
        <v>4.8138319927024664E-3</v>
      </c>
      <c r="O30" s="172">
        <f t="shared" si="2"/>
        <v>77.047334311862542</v>
      </c>
      <c r="P30" s="172">
        <f t="shared" si="3"/>
        <v>60.44641827778586</v>
      </c>
    </row>
    <row r="31" spans="1:16" x14ac:dyDescent="0.2">
      <c r="A31" s="166">
        <v>42887</v>
      </c>
      <c r="B31" s="156">
        <v>153.520004</v>
      </c>
      <c r="C31" s="156">
        <v>159.220001</v>
      </c>
      <c r="D31" s="156">
        <v>150.75</v>
      </c>
      <c r="E31" s="156">
        <v>153.39999399999999</v>
      </c>
      <c r="F31" s="163">
        <v>128.046494</v>
      </c>
      <c r="G31" s="156">
        <v>100510600</v>
      </c>
      <c r="H31" s="161">
        <f t="shared" si="1"/>
        <v>-2.4771338135974208E-2</v>
      </c>
      <c r="I31" s="158">
        <v>42887</v>
      </c>
      <c r="J31" s="159">
        <v>2415.65</v>
      </c>
      <c r="K31" s="159">
        <v>2453.8200000000002</v>
      </c>
      <c r="L31" s="159">
        <v>2405.6999999999998</v>
      </c>
      <c r="M31" s="169">
        <v>2423.41</v>
      </c>
      <c r="N31" s="160">
        <f t="shared" si="0"/>
        <v>1.9348768883515444E-2</v>
      </c>
      <c r="O31" s="172">
        <f t="shared" si="2"/>
        <v>77.437022836086669</v>
      </c>
      <c r="P31" s="172">
        <f t="shared" si="3"/>
        <v>60.737397179935741</v>
      </c>
    </row>
    <row r="32" spans="1:16" x14ac:dyDescent="0.2">
      <c r="A32" s="166">
        <v>42917</v>
      </c>
      <c r="B32" s="156">
        <v>154.38999899999999</v>
      </c>
      <c r="C32" s="156">
        <v>154.78999300000001</v>
      </c>
      <c r="D32" s="156">
        <v>144.25</v>
      </c>
      <c r="E32" s="156">
        <v>149.60000600000001</v>
      </c>
      <c r="F32" s="163">
        <v>124.874611</v>
      </c>
      <c r="G32" s="156">
        <v>102500900</v>
      </c>
      <c r="H32" s="161">
        <f t="shared" si="1"/>
        <v>1.8046022181401611E-3</v>
      </c>
      <c r="I32" s="158">
        <v>42917</v>
      </c>
      <c r="J32" s="159">
        <v>2431.39</v>
      </c>
      <c r="K32" s="159">
        <v>2484.04</v>
      </c>
      <c r="L32" s="159">
        <v>2407.6999999999998</v>
      </c>
      <c r="M32" s="169">
        <v>2470.3000000000002</v>
      </c>
      <c r="N32" s="160">
        <f t="shared" si="0"/>
        <v>5.4649232886694321E-4</v>
      </c>
      <c r="O32" s="172">
        <f t="shared" si="2"/>
        <v>75.518804159170799</v>
      </c>
      <c r="P32" s="172">
        <f t="shared" si="3"/>
        <v>61.912591040556599</v>
      </c>
    </row>
    <row r="33" spans="1:16" x14ac:dyDescent="0.2">
      <c r="A33" s="166">
        <v>42948</v>
      </c>
      <c r="B33" s="156">
        <v>150.240005</v>
      </c>
      <c r="C33" s="156">
        <v>156.050003</v>
      </c>
      <c r="D33" s="156">
        <v>146.88999899999999</v>
      </c>
      <c r="E33" s="156">
        <v>149.86999499999999</v>
      </c>
      <c r="F33" s="163">
        <v>125.09996</v>
      </c>
      <c r="G33" s="156">
        <v>114385100</v>
      </c>
      <c r="H33" s="161">
        <f t="shared" si="1"/>
        <v>9.7799727513901757E-2</v>
      </c>
      <c r="I33" s="158">
        <v>42948</v>
      </c>
      <c r="J33" s="159">
        <v>2477.1</v>
      </c>
      <c r="K33" s="159">
        <v>2490.87</v>
      </c>
      <c r="L33" s="159">
        <v>2417.35</v>
      </c>
      <c r="M33" s="169">
        <v>2471.65</v>
      </c>
      <c r="N33" s="160">
        <f t="shared" si="0"/>
        <v>1.9302894827342154E-2</v>
      </c>
      <c r="O33" s="172">
        <f t="shared" si="2"/>
        <v>75.655085560667743</v>
      </c>
      <c r="P33" s="172">
        <f t="shared" si="3"/>
        <v>61.946425796620538</v>
      </c>
    </row>
    <row r="34" spans="1:16" x14ac:dyDescent="0.2">
      <c r="A34" s="166">
        <v>42979</v>
      </c>
      <c r="B34" s="156">
        <v>150.259995</v>
      </c>
      <c r="C34" s="156">
        <v>163.61000100000001</v>
      </c>
      <c r="D34" s="156">
        <v>149.759995</v>
      </c>
      <c r="E34" s="156">
        <v>163.55999800000001</v>
      </c>
      <c r="F34" s="163">
        <v>137.33470199999999</v>
      </c>
      <c r="G34" s="156">
        <v>110280500</v>
      </c>
      <c r="H34" s="161">
        <f t="shared" si="1"/>
        <v>1.35727749276362E-2</v>
      </c>
      <c r="I34" s="158">
        <v>42979</v>
      </c>
      <c r="J34" s="159">
        <v>2474.42</v>
      </c>
      <c r="K34" s="159">
        <v>2519.44</v>
      </c>
      <c r="L34" s="159">
        <v>2446.5500000000002</v>
      </c>
      <c r="M34" s="169">
        <v>2519.36</v>
      </c>
      <c r="N34" s="160">
        <f t="shared" si="0"/>
        <v>2.2188174774546043E-2</v>
      </c>
      <c r="O34" s="172">
        <f t="shared" si="2"/>
        <v>83.054132313541956</v>
      </c>
      <c r="P34" s="172">
        <f t="shared" si="3"/>
        <v>63.142171138702452</v>
      </c>
    </row>
    <row r="35" spans="1:16" x14ac:dyDescent="0.2">
      <c r="A35" s="166">
        <v>43009</v>
      </c>
      <c r="B35" s="156">
        <v>164.199997</v>
      </c>
      <c r="C35" s="156">
        <v>167.94000199999999</v>
      </c>
      <c r="D35" s="156">
        <v>161.509995</v>
      </c>
      <c r="E35" s="156">
        <v>165.779999</v>
      </c>
      <c r="F35" s="163">
        <v>139.19871499999999</v>
      </c>
      <c r="G35" s="156">
        <v>71346000</v>
      </c>
      <c r="H35" s="161">
        <f t="shared" si="1"/>
        <v>8.4690788991838017E-2</v>
      </c>
      <c r="I35" s="158">
        <v>43009</v>
      </c>
      <c r="J35" s="159">
        <v>2521.1999999999998</v>
      </c>
      <c r="K35" s="159">
        <v>2582.98</v>
      </c>
      <c r="L35" s="159">
        <v>2520.4</v>
      </c>
      <c r="M35" s="169">
        <v>2575.2600000000002</v>
      </c>
      <c r="N35" s="160">
        <f t="shared" si="0"/>
        <v>2.8082601368405458E-2</v>
      </c>
      <c r="O35" s="172">
        <f t="shared" si="2"/>
        <v>84.181407358243803</v>
      </c>
      <c r="P35" s="172">
        <f t="shared" si="3"/>
        <v>64.543180667572273</v>
      </c>
    </row>
    <row r="36" spans="1:16" x14ac:dyDescent="0.2">
      <c r="A36" s="166">
        <v>43040</v>
      </c>
      <c r="B36" s="156">
        <v>166.41999799999999</v>
      </c>
      <c r="C36" s="156">
        <v>180.66999799999999</v>
      </c>
      <c r="D36" s="156">
        <v>160.529999</v>
      </c>
      <c r="E36" s="156">
        <v>179.820007</v>
      </c>
      <c r="F36" s="163">
        <v>150.98756399999999</v>
      </c>
      <c r="G36" s="156">
        <v>103227500</v>
      </c>
      <c r="H36" s="161">
        <f t="shared" si="1"/>
        <v>5.93379332883337E-2</v>
      </c>
      <c r="I36" s="158">
        <v>43040</v>
      </c>
      <c r="J36" s="159">
        <v>2583.21</v>
      </c>
      <c r="K36" s="159">
        <v>2657.74</v>
      </c>
      <c r="L36" s="159">
        <v>2557.4499999999998</v>
      </c>
      <c r="M36" s="169">
        <v>2647.58</v>
      </c>
      <c r="N36" s="160">
        <f t="shared" si="0"/>
        <v>9.8316198188534987E-3</v>
      </c>
      <c r="O36" s="172">
        <f t="shared" si="2"/>
        <v>91.310797165856783</v>
      </c>
      <c r="P36" s="172">
        <f t="shared" si="3"/>
        <v>66.355721081308673</v>
      </c>
    </row>
    <row r="37" spans="1:16" x14ac:dyDescent="0.2">
      <c r="A37" s="166">
        <v>43070</v>
      </c>
      <c r="B37" s="156">
        <v>180.320007</v>
      </c>
      <c r="C37" s="156">
        <v>191.490005</v>
      </c>
      <c r="D37" s="156">
        <v>176.699997</v>
      </c>
      <c r="E37" s="156">
        <v>189.529999</v>
      </c>
      <c r="F37" s="163">
        <v>159.946854</v>
      </c>
      <c r="G37" s="156">
        <v>103713100</v>
      </c>
      <c r="H37" s="161">
        <f t="shared" si="1"/>
        <v>5.9990589124059968E-2</v>
      </c>
      <c r="I37" s="158">
        <v>43070</v>
      </c>
      <c r="J37" s="159">
        <v>2645.1</v>
      </c>
      <c r="K37" s="159">
        <v>2694.97</v>
      </c>
      <c r="L37" s="159">
        <v>2605.52</v>
      </c>
      <c r="M37" s="169">
        <v>2673.61</v>
      </c>
      <c r="N37" s="160">
        <f t="shared" si="0"/>
        <v>5.6178724645703726E-2</v>
      </c>
      <c r="O37" s="172">
        <f t="shared" si="2"/>
        <v>96.728991156588961</v>
      </c>
      <c r="P37" s="172">
        <f t="shared" si="3"/>
        <v>67.008105303785996</v>
      </c>
    </row>
    <row r="38" spans="1:16" x14ac:dyDescent="0.2">
      <c r="A38" s="166">
        <v>43101</v>
      </c>
      <c r="B38" s="156">
        <v>190.21000699999999</v>
      </c>
      <c r="C38" s="156">
        <v>207.61000100000001</v>
      </c>
      <c r="D38" s="156">
        <v>187.820007</v>
      </c>
      <c r="E38" s="156">
        <v>200.89999399999999</v>
      </c>
      <c r="F38" s="163">
        <v>169.54216</v>
      </c>
      <c r="G38" s="156">
        <v>92074000</v>
      </c>
      <c r="H38" s="161">
        <f t="shared" si="1"/>
        <v>-9.2732727953920069E-2</v>
      </c>
      <c r="I38" s="158">
        <v>43101</v>
      </c>
      <c r="J38" s="159">
        <v>2683.73</v>
      </c>
      <c r="K38" s="159">
        <v>2872.87</v>
      </c>
      <c r="L38" s="159">
        <v>2682.36</v>
      </c>
      <c r="M38" s="169">
        <v>2823.81</v>
      </c>
      <c r="N38" s="160">
        <f t="shared" si="0"/>
        <v>-3.8947379604151844E-2</v>
      </c>
      <c r="O38" s="172">
        <f t="shared" si="2"/>
        <v>102.53182032144869</v>
      </c>
      <c r="P38" s="172">
        <f t="shared" si="3"/>
        <v>70.772535200677694</v>
      </c>
    </row>
    <row r="39" spans="1:16" x14ac:dyDescent="0.2">
      <c r="A39" s="166">
        <v>43132</v>
      </c>
      <c r="B39" s="156">
        <v>199.33999600000001</v>
      </c>
      <c r="C39" s="156">
        <v>202.25</v>
      </c>
      <c r="D39" s="156">
        <v>175.41999799999999</v>
      </c>
      <c r="E39" s="156">
        <v>182.270004</v>
      </c>
      <c r="F39" s="163">
        <v>153.820053</v>
      </c>
      <c r="G39" s="156">
        <v>127014100</v>
      </c>
      <c r="H39" s="161">
        <f t="shared" si="1"/>
        <v>-2.21100560926214E-2</v>
      </c>
      <c r="I39" s="158">
        <v>43132</v>
      </c>
      <c r="J39" s="159">
        <v>2816.45</v>
      </c>
      <c r="K39" s="159">
        <v>2835.96</v>
      </c>
      <c r="L39" s="159">
        <v>2532.69</v>
      </c>
      <c r="M39" s="169">
        <v>2713.83</v>
      </c>
      <c r="N39" s="160">
        <f t="shared" si="0"/>
        <v>-2.6884513768364315E-2</v>
      </c>
      <c r="O39" s="172">
        <f t="shared" si="2"/>
        <v>93.023764920959579</v>
      </c>
      <c r="P39" s="172">
        <f t="shared" si="3"/>
        <v>68.016130406668708</v>
      </c>
    </row>
    <row r="40" spans="1:16" x14ac:dyDescent="0.2">
      <c r="A40" s="166">
        <v>43160</v>
      </c>
      <c r="B40" s="156">
        <v>182.75</v>
      </c>
      <c r="C40" s="156">
        <v>184.39999399999999</v>
      </c>
      <c r="D40" s="156">
        <v>171.55999800000001</v>
      </c>
      <c r="E40" s="156">
        <v>178.240005</v>
      </c>
      <c r="F40" s="163">
        <v>150.419083</v>
      </c>
      <c r="G40" s="156">
        <v>109321100</v>
      </c>
      <c r="H40" s="161">
        <f t="shared" si="1"/>
        <v>4.2717053394082827E-2</v>
      </c>
      <c r="I40" s="158">
        <v>43160</v>
      </c>
      <c r="J40" s="159">
        <v>2715.22</v>
      </c>
      <c r="K40" s="159">
        <v>2801.9</v>
      </c>
      <c r="L40" s="159">
        <v>2585.89</v>
      </c>
      <c r="M40" s="169">
        <v>2640.87</v>
      </c>
      <c r="N40" s="160">
        <f t="shared" si="0"/>
        <v>2.718801001185378E-3</v>
      </c>
      <c r="O40" s="172">
        <f t="shared" si="2"/>
        <v>90.967004260610338</v>
      </c>
      <c r="P40" s="172">
        <f t="shared" si="3"/>
        <v>66.187549812279755</v>
      </c>
    </row>
    <row r="41" spans="1:16" x14ac:dyDescent="0.2">
      <c r="A41" s="166">
        <v>43191</v>
      </c>
      <c r="B41" s="156">
        <v>177.14999399999999</v>
      </c>
      <c r="C41" s="156">
        <v>187.800003</v>
      </c>
      <c r="D41" s="156">
        <v>170.41999799999999</v>
      </c>
      <c r="E41" s="156">
        <v>184.800003</v>
      </c>
      <c r="F41" s="163">
        <v>156.84454299999999</v>
      </c>
      <c r="G41" s="156">
        <v>101369800</v>
      </c>
      <c r="H41" s="161">
        <f t="shared" si="1"/>
        <v>9.4698289885675191E-3</v>
      </c>
      <c r="I41" s="158">
        <v>43191</v>
      </c>
      <c r="J41" s="159">
        <v>2633.45</v>
      </c>
      <c r="K41" s="159">
        <v>2717.49</v>
      </c>
      <c r="L41" s="159">
        <v>2553.8000000000002</v>
      </c>
      <c r="M41" s="169">
        <v>2648.05</v>
      </c>
      <c r="N41" s="160">
        <f t="shared" si="0"/>
        <v>2.1608353316591389E-2</v>
      </c>
      <c r="O41" s="172">
        <f t="shared" si="2"/>
        <v>94.852846638710602</v>
      </c>
      <c r="P41" s="172">
        <f t="shared" si="3"/>
        <v>66.367500588975389</v>
      </c>
    </row>
    <row r="42" spans="1:16" x14ac:dyDescent="0.2">
      <c r="A42" s="166">
        <v>43221</v>
      </c>
      <c r="B42" s="156">
        <v>184.729996</v>
      </c>
      <c r="C42" s="156">
        <v>191.64999399999999</v>
      </c>
      <c r="D42" s="156">
        <v>181.199997</v>
      </c>
      <c r="E42" s="156">
        <v>186.550003</v>
      </c>
      <c r="F42" s="163">
        <v>158.32983400000001</v>
      </c>
      <c r="G42" s="156">
        <v>103145700</v>
      </c>
      <c r="H42" s="161">
        <f t="shared" si="1"/>
        <v>5.1687093918130422E-2</v>
      </c>
      <c r="I42" s="158">
        <v>43221</v>
      </c>
      <c r="J42" s="159">
        <v>2643.64</v>
      </c>
      <c r="K42" s="159">
        <v>2742.24</v>
      </c>
      <c r="L42" s="159">
        <v>2594.62</v>
      </c>
      <c r="M42" s="169">
        <v>2705.27</v>
      </c>
      <c r="N42" s="160">
        <f t="shared" si="0"/>
        <v>4.8424002040461378E-3</v>
      </c>
      <c r="O42" s="172">
        <f t="shared" si="2"/>
        <v>95.751086875458</v>
      </c>
      <c r="P42" s="172">
        <f t="shared" si="3"/>
        <v>67.801592990441051</v>
      </c>
    </row>
    <row r="43" spans="1:16" x14ac:dyDescent="0.2">
      <c r="A43" s="166">
        <v>43252</v>
      </c>
      <c r="B43" s="156">
        <v>187.21000699999999</v>
      </c>
      <c r="C43" s="156">
        <v>201.60000600000001</v>
      </c>
      <c r="D43" s="156">
        <v>186.520004</v>
      </c>
      <c r="E43" s="156">
        <v>195.10000600000001</v>
      </c>
      <c r="F43" s="163">
        <v>166.513443</v>
      </c>
      <c r="G43" s="156">
        <v>93713000</v>
      </c>
      <c r="H43" s="161">
        <f t="shared" si="1"/>
        <v>1.2404073585818631E-2</v>
      </c>
      <c r="I43" s="158">
        <v>43252</v>
      </c>
      <c r="J43" s="159">
        <v>2718.7</v>
      </c>
      <c r="K43" s="159">
        <v>2791.47</v>
      </c>
      <c r="L43" s="159">
        <v>2691.99</v>
      </c>
      <c r="M43" s="169">
        <v>2718.37</v>
      </c>
      <c r="N43" s="160">
        <f t="shared" si="0"/>
        <v>3.6021586465418753E-2</v>
      </c>
      <c r="O43" s="172">
        <f t="shared" si="2"/>
        <v>100.70018229555286</v>
      </c>
      <c r="P43" s="172">
        <f t="shared" si="3"/>
        <v>68.129915438172617</v>
      </c>
    </row>
    <row r="44" spans="1:16" x14ac:dyDescent="0.2">
      <c r="A44" s="166">
        <v>43282</v>
      </c>
      <c r="B44" s="156">
        <v>193.820007</v>
      </c>
      <c r="C44" s="156">
        <v>204.25</v>
      </c>
      <c r="D44" s="156">
        <v>192.11999499999999</v>
      </c>
      <c r="E44" s="156">
        <v>197.520004</v>
      </c>
      <c r="F44" s="163">
        <v>168.57888800000001</v>
      </c>
      <c r="G44" s="156">
        <v>67987900</v>
      </c>
      <c r="H44" s="161">
        <f t="shared" si="1"/>
        <v>1.6454219344476773E-2</v>
      </c>
      <c r="I44" s="158">
        <v>43282</v>
      </c>
      <c r="J44" s="159">
        <v>2704.95</v>
      </c>
      <c r="K44" s="159">
        <v>2848.03</v>
      </c>
      <c r="L44" s="159">
        <v>2698.95</v>
      </c>
      <c r="M44" s="169">
        <v>2816.29</v>
      </c>
      <c r="N44" s="160">
        <f t="shared" si="0"/>
        <v>3.0263218631604083E-2</v>
      </c>
      <c r="O44" s="172">
        <f t="shared" si="2"/>
        <v>101.94927476685226</v>
      </c>
      <c r="P44" s="172">
        <f t="shared" si="3"/>
        <v>70.584063078010416</v>
      </c>
    </row>
    <row r="45" spans="1:16" x14ac:dyDescent="0.2">
      <c r="A45" s="166">
        <v>43313</v>
      </c>
      <c r="B45" s="156">
        <v>196.86000100000001</v>
      </c>
      <c r="C45" s="156">
        <v>203.550003</v>
      </c>
      <c r="D45" s="156">
        <v>191.08999600000001</v>
      </c>
      <c r="E45" s="156">
        <v>200.770004</v>
      </c>
      <c r="F45" s="163">
        <v>171.352722</v>
      </c>
      <c r="G45" s="156">
        <v>88542700</v>
      </c>
      <c r="H45" s="161">
        <f t="shared" si="1"/>
        <v>3.7066472746198897E-2</v>
      </c>
      <c r="I45" s="158">
        <v>43313</v>
      </c>
      <c r="J45" s="159">
        <v>2821.17</v>
      </c>
      <c r="K45" s="159">
        <v>2916.5</v>
      </c>
      <c r="L45" s="159">
        <v>2796.34</v>
      </c>
      <c r="M45" s="169">
        <v>2901.52</v>
      </c>
      <c r="N45" s="160">
        <f t="shared" si="0"/>
        <v>4.2943009181395375E-3</v>
      </c>
      <c r="O45" s="172">
        <f t="shared" si="2"/>
        <v>103.62677049587636</v>
      </c>
      <c r="P45" s="172">
        <f t="shared" si="3"/>
        <v>72.720164010847171</v>
      </c>
    </row>
    <row r="46" spans="1:16" x14ac:dyDescent="0.2">
      <c r="A46" s="166">
        <v>43344</v>
      </c>
      <c r="B46" s="156">
        <v>200.69000199999999</v>
      </c>
      <c r="C46" s="156">
        <v>215.429993</v>
      </c>
      <c r="D46" s="156">
        <v>200.5</v>
      </c>
      <c r="E46" s="156">
        <v>207.14999399999999</v>
      </c>
      <c r="F46" s="163">
        <v>177.70416299999999</v>
      </c>
      <c r="G46" s="156">
        <v>83962700</v>
      </c>
      <c r="H46" s="161">
        <f t="shared" si="1"/>
        <v>-0.15095354856712051</v>
      </c>
      <c r="I46" s="158">
        <v>43344</v>
      </c>
      <c r="J46" s="159">
        <v>2896.96</v>
      </c>
      <c r="K46" s="159">
        <v>2940.91</v>
      </c>
      <c r="L46" s="159">
        <v>2864.12</v>
      </c>
      <c r="M46" s="169">
        <v>2913.98</v>
      </c>
      <c r="N46" s="160">
        <f t="shared" si="0"/>
        <v>-6.9403358979814644E-2</v>
      </c>
      <c r="O46" s="172">
        <f t="shared" si="2"/>
        <v>107.46784936023839</v>
      </c>
      <c r="P46" s="172">
        <f t="shared" si="3"/>
        <v>73.032446277926212</v>
      </c>
    </row>
    <row r="47" spans="1:16" x14ac:dyDescent="0.2">
      <c r="A47" s="166">
        <v>43374</v>
      </c>
      <c r="B47" s="156">
        <v>208.520004</v>
      </c>
      <c r="C47" s="156">
        <v>209.78999300000001</v>
      </c>
      <c r="D47" s="156">
        <v>170.91000399999999</v>
      </c>
      <c r="E47" s="156">
        <v>175.88000500000001</v>
      </c>
      <c r="F47" s="163">
        <v>150.87908899999999</v>
      </c>
      <c r="G47" s="156">
        <v>133142600</v>
      </c>
      <c r="H47" s="161">
        <f t="shared" si="1"/>
        <v>2.5244817060103175E-2</v>
      </c>
      <c r="I47" s="158">
        <v>43374</v>
      </c>
      <c r="J47" s="159">
        <v>2926.29</v>
      </c>
      <c r="K47" s="159">
        <v>2939.86</v>
      </c>
      <c r="L47" s="159">
        <v>2603.54</v>
      </c>
      <c r="M47" s="169">
        <v>2711.74</v>
      </c>
      <c r="N47" s="160">
        <f t="shared" si="0"/>
        <v>1.785938179914015E-2</v>
      </c>
      <c r="O47" s="172">
        <f t="shared" si="2"/>
        <v>91.245196142433656</v>
      </c>
      <c r="P47" s="172">
        <f t="shared" si="3"/>
        <v>67.96374919172527</v>
      </c>
    </row>
    <row r="48" spans="1:16" x14ac:dyDescent="0.2">
      <c r="A48" s="166">
        <v>43405</v>
      </c>
      <c r="B48" s="156">
        <v>176.83999600000001</v>
      </c>
      <c r="C48" s="156">
        <v>188.69000199999999</v>
      </c>
      <c r="D48" s="156">
        <v>167</v>
      </c>
      <c r="E48" s="156">
        <v>180.320007</v>
      </c>
      <c r="F48" s="163">
        <v>154.68800400000001</v>
      </c>
      <c r="G48" s="156">
        <v>132549500</v>
      </c>
      <c r="H48" s="161">
        <f t="shared" si="1"/>
        <v>-4.1438765995067017E-2</v>
      </c>
      <c r="I48" s="158">
        <v>43405</v>
      </c>
      <c r="J48" s="159">
        <v>2717.58</v>
      </c>
      <c r="K48" s="159">
        <v>2815.15</v>
      </c>
      <c r="L48" s="159">
        <v>2631.09</v>
      </c>
      <c r="M48" s="169">
        <v>2760.17</v>
      </c>
      <c r="N48" s="160">
        <f t="shared" si="0"/>
        <v>-9.1776955767217339E-2</v>
      </c>
      <c r="O48" s="172">
        <f t="shared" si="2"/>
        <v>93.548664426662612</v>
      </c>
      <c r="P48" s="172">
        <f t="shared" si="3"/>
        <v>69.1775397370413</v>
      </c>
    </row>
    <row r="49" spans="1:16" x14ac:dyDescent="0.2">
      <c r="A49" s="166">
        <v>43435</v>
      </c>
      <c r="B49" s="156">
        <v>183.28999300000001</v>
      </c>
      <c r="C49" s="156">
        <v>183.5</v>
      </c>
      <c r="D49" s="156">
        <v>158.08999600000001</v>
      </c>
      <c r="E49" s="156">
        <v>171.820007</v>
      </c>
      <c r="F49" s="163">
        <v>148.27792400000001</v>
      </c>
      <c r="G49" s="156">
        <v>117667300</v>
      </c>
      <c r="H49" s="161">
        <f t="shared" si="1"/>
        <v>6.8152417618147831E-2</v>
      </c>
      <c r="I49" s="158">
        <v>43435</v>
      </c>
      <c r="J49" s="159">
        <v>2790.5</v>
      </c>
      <c r="K49" s="159">
        <v>2800.18</v>
      </c>
      <c r="L49" s="159">
        <v>2346.58</v>
      </c>
      <c r="M49" s="169">
        <v>2506.85</v>
      </c>
      <c r="N49" s="160">
        <f t="shared" si="0"/>
        <v>7.8684404731036883E-2</v>
      </c>
      <c r="O49" s="172">
        <f t="shared" si="2"/>
        <v>89.67212321233508</v>
      </c>
      <c r="P49" s="172">
        <f t="shared" si="3"/>
        <v>62.82863573250993</v>
      </c>
    </row>
    <row r="50" spans="1:16" x14ac:dyDescent="0.2">
      <c r="A50" s="166">
        <v>43466</v>
      </c>
      <c r="B50" s="156">
        <v>169.71000699999999</v>
      </c>
      <c r="C50" s="156">
        <v>184.66999799999999</v>
      </c>
      <c r="D50" s="156">
        <v>168.21000699999999</v>
      </c>
      <c r="E50" s="156">
        <v>183.529999</v>
      </c>
      <c r="F50" s="163">
        <v>158.38342299999999</v>
      </c>
      <c r="G50" s="156">
        <v>98771800</v>
      </c>
      <c r="H50" s="161">
        <f t="shared" si="1"/>
        <v>8.7726983902856048E-3</v>
      </c>
      <c r="I50" s="158">
        <v>43466</v>
      </c>
      <c r="J50" s="159">
        <v>2476.96</v>
      </c>
      <c r="K50" s="159">
        <v>2708.95</v>
      </c>
      <c r="L50" s="159">
        <v>2443.96</v>
      </c>
      <c r="M50" s="169">
        <v>2704.1</v>
      </c>
      <c r="N50" s="160">
        <f t="shared" si="0"/>
        <v>2.9728930143116061E-2</v>
      </c>
      <c r="O50" s="172">
        <f t="shared" si="2"/>
        <v>95.783495202208144</v>
      </c>
      <c r="P50" s="172">
        <f t="shared" si="3"/>
        <v>67.772269535185643</v>
      </c>
    </row>
    <row r="51" spans="1:16" x14ac:dyDescent="0.2">
      <c r="A51" s="166">
        <v>43497</v>
      </c>
      <c r="B51" s="156">
        <v>184.029999</v>
      </c>
      <c r="C51" s="156">
        <v>193.41999799999999</v>
      </c>
      <c r="D51" s="156">
        <v>182.449997</v>
      </c>
      <c r="E51" s="156">
        <v>185.13999899999999</v>
      </c>
      <c r="F51" s="163">
        <v>159.772873</v>
      </c>
      <c r="G51" s="156">
        <v>90471400</v>
      </c>
      <c r="H51" s="161">
        <f t="shared" si="1"/>
        <v>3.6458842421892124E-2</v>
      </c>
      <c r="I51" s="158">
        <v>43497</v>
      </c>
      <c r="J51" s="159">
        <v>2702.32</v>
      </c>
      <c r="K51" s="159">
        <v>2813.49</v>
      </c>
      <c r="L51" s="159">
        <v>2681.83</v>
      </c>
      <c r="M51" s="169">
        <v>2784.49</v>
      </c>
      <c r="N51" s="160">
        <f t="shared" si="0"/>
        <v>1.7924287751078349E-2</v>
      </c>
      <c r="O51" s="172">
        <f t="shared" si="2"/>
        <v>96.623774916384477</v>
      </c>
      <c r="P51" s="172">
        <f t="shared" si="3"/>
        <v>69.787066601837594</v>
      </c>
    </row>
    <row r="52" spans="1:16" x14ac:dyDescent="0.2">
      <c r="A52" s="166">
        <v>43525</v>
      </c>
      <c r="B52" s="156">
        <v>185.820007</v>
      </c>
      <c r="C52" s="156">
        <v>192.19000199999999</v>
      </c>
      <c r="D52" s="156">
        <v>179.520004</v>
      </c>
      <c r="E52" s="156">
        <v>191.88999899999999</v>
      </c>
      <c r="F52" s="163">
        <v>165.598007</v>
      </c>
      <c r="G52" s="156">
        <v>95115500</v>
      </c>
      <c r="H52" s="161">
        <f t="shared" si="1"/>
        <v>6.9450346706165345E-2</v>
      </c>
      <c r="I52" s="158">
        <v>43525</v>
      </c>
      <c r="J52" s="159">
        <v>2798.22</v>
      </c>
      <c r="K52" s="159">
        <v>2860.31</v>
      </c>
      <c r="L52" s="159">
        <v>2722.27</v>
      </c>
      <c r="M52" s="169">
        <v>2834.4</v>
      </c>
      <c r="N52" s="160">
        <f t="shared" si="0"/>
        <v>3.9313434942139347E-2</v>
      </c>
      <c r="O52" s="172">
        <f t="shared" si="2"/>
        <v>100.14656590026931</v>
      </c>
      <c r="P52" s="172">
        <f t="shared" si="3"/>
        <v>71.037950064912607</v>
      </c>
    </row>
    <row r="53" spans="1:16" x14ac:dyDescent="0.2">
      <c r="A53" s="166">
        <v>43556</v>
      </c>
      <c r="B53" s="156">
        <v>192.990005</v>
      </c>
      <c r="C53" s="156">
        <v>208.300003</v>
      </c>
      <c r="D53" s="156">
        <v>192.85000600000001</v>
      </c>
      <c r="E53" s="156">
        <v>203.699997</v>
      </c>
      <c r="F53" s="163">
        <v>177.09884600000001</v>
      </c>
      <c r="G53" s="156">
        <v>71203800</v>
      </c>
      <c r="H53" s="161">
        <f t="shared" si="1"/>
        <v>-6.7992086182199096E-2</v>
      </c>
      <c r="I53" s="158">
        <v>43556</v>
      </c>
      <c r="J53" s="159">
        <v>2848.63</v>
      </c>
      <c r="K53" s="159">
        <v>2949.52</v>
      </c>
      <c r="L53" s="159">
        <v>2848.63</v>
      </c>
      <c r="M53" s="169">
        <v>2945.83</v>
      </c>
      <c r="N53" s="160">
        <f t="shared" si="0"/>
        <v>-6.5777726481161536E-2</v>
      </c>
      <c r="O53" s="172">
        <f t="shared" si="2"/>
        <v>107.10177962347487</v>
      </c>
      <c r="P53" s="172">
        <f t="shared" si="3"/>
        <v>73.830695893212493</v>
      </c>
    </row>
    <row r="54" spans="1:16" x14ac:dyDescent="0.2">
      <c r="A54" s="166">
        <v>43586</v>
      </c>
      <c r="B54" s="156">
        <v>203.199997</v>
      </c>
      <c r="C54" s="156">
        <v>203.520004</v>
      </c>
      <c r="D54" s="156">
        <v>186.270004</v>
      </c>
      <c r="E54" s="156">
        <v>189.85000600000001</v>
      </c>
      <c r="F54" s="163">
        <v>165.057526</v>
      </c>
      <c r="G54" s="156">
        <v>94651500</v>
      </c>
      <c r="H54" s="161">
        <f t="shared" si="1"/>
        <v>9.544374244407372E-2</v>
      </c>
      <c r="I54" s="158">
        <v>43586</v>
      </c>
      <c r="J54" s="159">
        <v>2952.33</v>
      </c>
      <c r="K54" s="159">
        <v>2954.13</v>
      </c>
      <c r="L54" s="159">
        <v>2750.52</v>
      </c>
      <c r="M54" s="169">
        <v>2752.06</v>
      </c>
      <c r="N54" s="160">
        <f t="shared" si="0"/>
        <v>6.8930183208214979E-2</v>
      </c>
      <c r="O54" s="172">
        <f t="shared" si="2"/>
        <v>99.81970619304866</v>
      </c>
      <c r="P54" s="172">
        <f t="shared" si="3"/>
        <v>68.974280572834942</v>
      </c>
    </row>
    <row r="55" spans="1:16" x14ac:dyDescent="0.2">
      <c r="A55" s="166">
        <v>43617</v>
      </c>
      <c r="B55" s="156">
        <v>189.520004</v>
      </c>
      <c r="C55" s="156">
        <v>211.990005</v>
      </c>
      <c r="D55" s="156">
        <v>188.75</v>
      </c>
      <c r="E55" s="156">
        <v>207.970001</v>
      </c>
      <c r="F55" s="163">
        <v>180.81123400000001</v>
      </c>
      <c r="G55" s="156">
        <v>90786400</v>
      </c>
      <c r="H55" s="161">
        <f t="shared" si="1"/>
        <v>3.4710995888673546E-2</v>
      </c>
      <c r="I55" s="158">
        <v>43617</v>
      </c>
      <c r="J55" s="159">
        <v>2751.53</v>
      </c>
      <c r="K55" s="159">
        <v>2964.15</v>
      </c>
      <c r="L55" s="159">
        <v>2728.81</v>
      </c>
      <c r="M55" s="169">
        <v>2941.76</v>
      </c>
      <c r="N55" s="160">
        <f t="shared" si="0"/>
        <v>1.3128195366039375E-2</v>
      </c>
      <c r="O55" s="172">
        <f t="shared" si="2"/>
        <v>109.34687252178112</v>
      </c>
      <c r="P55" s="172">
        <f t="shared" si="3"/>
        <v>73.7286903693753</v>
      </c>
    </row>
    <row r="56" spans="1:16" x14ac:dyDescent="0.2">
      <c r="A56" s="166">
        <v>43647</v>
      </c>
      <c r="B56" s="156">
        <v>209.699997</v>
      </c>
      <c r="C56" s="156">
        <v>219.300003</v>
      </c>
      <c r="D56" s="156">
        <v>208.16999799999999</v>
      </c>
      <c r="E56" s="156">
        <v>213.69000199999999</v>
      </c>
      <c r="F56" s="163">
        <v>187.08737199999999</v>
      </c>
      <c r="G56" s="156">
        <v>64167400</v>
      </c>
      <c r="H56" s="161">
        <f t="shared" si="1"/>
        <v>6.654504185349297E-2</v>
      </c>
      <c r="I56" s="158">
        <v>43647</v>
      </c>
      <c r="J56" s="159">
        <v>2971.41</v>
      </c>
      <c r="K56" s="159">
        <v>3027.98</v>
      </c>
      <c r="L56" s="159">
        <v>2952.22</v>
      </c>
      <c r="M56" s="169">
        <v>2980.38</v>
      </c>
      <c r="N56" s="160">
        <f t="shared" si="0"/>
        <v>-1.8091652742267761E-2</v>
      </c>
      <c r="O56" s="172">
        <f t="shared" si="2"/>
        <v>113.14241136432398</v>
      </c>
      <c r="P56" s="172">
        <f t="shared" si="3"/>
        <v>74.69661502062668</v>
      </c>
    </row>
    <row r="57" spans="1:16" x14ac:dyDescent="0.2">
      <c r="A57" s="166">
        <v>43678</v>
      </c>
      <c r="B57" s="156">
        <v>214.13999899999999</v>
      </c>
      <c r="C57" s="156">
        <v>229.270004</v>
      </c>
      <c r="D57" s="156">
        <v>199.050003</v>
      </c>
      <c r="E57" s="156">
        <v>227.91000399999999</v>
      </c>
      <c r="F57" s="163">
        <v>199.53710899999999</v>
      </c>
      <c r="G57" s="156">
        <v>99184500</v>
      </c>
      <c r="H57" s="161">
        <f t="shared" si="1"/>
        <v>1.8033452614571122E-2</v>
      </c>
      <c r="I57" s="158">
        <v>43678</v>
      </c>
      <c r="J57" s="159">
        <v>2980.32</v>
      </c>
      <c r="K57" s="159">
        <v>3013.59</v>
      </c>
      <c r="L57" s="159">
        <v>2822.12</v>
      </c>
      <c r="M57" s="169">
        <v>2926.46</v>
      </c>
      <c r="N57" s="160">
        <f t="shared" si="0"/>
        <v>1.7181167690656807E-2</v>
      </c>
      <c r="O57" s="172">
        <f t="shared" si="2"/>
        <v>120.67147786396801</v>
      </c>
      <c r="P57" s="172">
        <f t="shared" si="3"/>
        <v>73.345229800650628</v>
      </c>
    </row>
    <row r="58" spans="1:16" x14ac:dyDescent="0.2">
      <c r="A58" s="166">
        <v>43709</v>
      </c>
      <c r="B58" s="156">
        <v>226.449997</v>
      </c>
      <c r="C58" s="156">
        <v>235.490005</v>
      </c>
      <c r="D58" s="156">
        <v>220.66999799999999</v>
      </c>
      <c r="E58" s="156">
        <v>232.020004</v>
      </c>
      <c r="F58" s="163">
        <v>203.13545199999999</v>
      </c>
      <c r="G58" s="156">
        <v>75292900</v>
      </c>
      <c r="H58" s="161">
        <f t="shared" si="1"/>
        <v>1.7207572413307837E-2</v>
      </c>
      <c r="I58" s="158">
        <v>43709</v>
      </c>
      <c r="J58" s="159">
        <v>2909.01</v>
      </c>
      <c r="K58" s="159">
        <v>3021.99</v>
      </c>
      <c r="L58" s="159">
        <v>2891.85</v>
      </c>
      <c r="M58" s="169">
        <v>2976.74</v>
      </c>
      <c r="N58" s="160">
        <f t="shared" si="0"/>
        <v>2.0431747482144935E-2</v>
      </c>
      <c r="O58" s="172">
        <f t="shared" si="2"/>
        <v>122.84760124195815</v>
      </c>
      <c r="P58" s="172">
        <f t="shared" si="3"/>
        <v>74.605386493165369</v>
      </c>
    </row>
    <row r="59" spans="1:16" x14ac:dyDescent="0.2">
      <c r="A59" s="166">
        <v>43739</v>
      </c>
      <c r="B59" s="156">
        <v>233.009995</v>
      </c>
      <c r="C59" s="156">
        <v>238.990005</v>
      </c>
      <c r="D59" s="156">
        <v>222.11999499999999</v>
      </c>
      <c r="E59" s="156">
        <v>234.58000200000001</v>
      </c>
      <c r="F59" s="163">
        <v>206.63092</v>
      </c>
      <c r="G59" s="156">
        <v>62599000</v>
      </c>
      <c r="H59" s="161">
        <f t="shared" si="1"/>
        <v>-5.9979701972967092E-2</v>
      </c>
      <c r="I59" s="158">
        <v>43739</v>
      </c>
      <c r="J59" s="159">
        <v>2983.69</v>
      </c>
      <c r="K59" s="159">
        <v>3050.1</v>
      </c>
      <c r="L59" s="159">
        <v>2855.94</v>
      </c>
      <c r="M59" s="169">
        <v>3037.56</v>
      </c>
      <c r="N59" s="160">
        <f t="shared" si="0"/>
        <v>3.404706409091518E-2</v>
      </c>
      <c r="O59" s="172">
        <f t="shared" si="2"/>
        <v>124.96151023613031</v>
      </c>
      <c r="P59" s="172">
        <f t="shared" si="3"/>
        <v>76.12970491080155</v>
      </c>
    </row>
    <row r="60" spans="1:16" x14ac:dyDescent="0.2">
      <c r="A60" s="166">
        <v>43770</v>
      </c>
      <c r="B60" s="156">
        <v>236.070007</v>
      </c>
      <c r="C60" s="156">
        <v>239.30999800000001</v>
      </c>
      <c r="D60" s="156">
        <v>216.88000500000001</v>
      </c>
      <c r="E60" s="156">
        <v>220.509995</v>
      </c>
      <c r="F60" s="163">
        <v>194.23725899999999</v>
      </c>
      <c r="G60" s="156">
        <v>102466800</v>
      </c>
      <c r="H60" s="161">
        <f t="shared" si="1"/>
        <v>-9.6591148869126231E-3</v>
      </c>
      <c r="I60" s="158">
        <v>43770</v>
      </c>
      <c r="J60" s="159">
        <v>3050.72</v>
      </c>
      <c r="K60" s="159">
        <v>3154.26</v>
      </c>
      <c r="L60" s="159">
        <v>3050.72</v>
      </c>
      <c r="M60" s="169">
        <v>3140.98</v>
      </c>
      <c r="N60" s="160">
        <f t="shared" si="0"/>
        <v>2.8589803182446305E-2</v>
      </c>
      <c r="O60" s="172">
        <f t="shared" si="2"/>
        <v>117.46635609407534</v>
      </c>
      <c r="P60" s="172">
        <f t="shared" si="3"/>
        <v>78.72169785312208</v>
      </c>
    </row>
    <row r="61" spans="1:16" x14ac:dyDescent="0.2">
      <c r="A61" s="166">
        <v>43800</v>
      </c>
      <c r="B61" s="156">
        <v>220.89999399999999</v>
      </c>
      <c r="C61" s="156">
        <v>222</v>
      </c>
      <c r="D61" s="156">
        <v>210.61000100000001</v>
      </c>
      <c r="E61" s="156">
        <v>218.38000500000001</v>
      </c>
      <c r="F61" s="163">
        <v>192.361099</v>
      </c>
      <c r="G61" s="156">
        <v>111759300</v>
      </c>
      <c r="H61" s="161">
        <f t="shared" si="1"/>
        <v>5.1189949793331246E-2</v>
      </c>
      <c r="I61" s="158">
        <v>43800</v>
      </c>
      <c r="J61" s="159">
        <v>3143.85</v>
      </c>
      <c r="K61" s="159">
        <v>3247.93</v>
      </c>
      <c r="L61" s="159">
        <v>3070.33</v>
      </c>
      <c r="M61" s="169">
        <v>3230.78</v>
      </c>
      <c r="N61" s="160">
        <f t="shared" si="0"/>
        <v>-1.6280898111292741E-3</v>
      </c>
      <c r="O61" s="172">
        <f t="shared" si="2"/>
        <v>116.33173506521568</v>
      </c>
      <c r="P61" s="172">
        <f t="shared" si="3"/>
        <v>80.972335700930827</v>
      </c>
    </row>
    <row r="62" spans="1:16" x14ac:dyDescent="0.2">
      <c r="A62" s="166">
        <v>43831</v>
      </c>
      <c r="B62" s="156">
        <v>219.08000200000001</v>
      </c>
      <c r="C62" s="156">
        <v>236.529999</v>
      </c>
      <c r="D62" s="156">
        <v>216.39999399999999</v>
      </c>
      <c r="E62" s="156">
        <v>228.10000600000001</v>
      </c>
      <c r="F62" s="163">
        <v>202.208054</v>
      </c>
      <c r="G62" s="156">
        <v>97265400</v>
      </c>
      <c r="H62" s="161">
        <f t="shared" si="1"/>
        <v>-4.4980394302197357E-2</v>
      </c>
      <c r="I62" s="158">
        <v>43831</v>
      </c>
      <c r="J62" s="159">
        <v>3244.67</v>
      </c>
      <c r="K62" s="159">
        <v>3337.77</v>
      </c>
      <c r="L62" s="159">
        <v>3214.64</v>
      </c>
      <c r="M62" s="169">
        <v>3225.52</v>
      </c>
      <c r="N62" s="160">
        <f t="shared" si="0"/>
        <v>-8.4110469009648137E-2</v>
      </c>
      <c r="O62" s="172">
        <f t="shared" si="2"/>
        <v>122.28675074257518</v>
      </c>
      <c r="P62" s="172">
        <f t="shared" si="3"/>
        <v>80.840505466192809</v>
      </c>
    </row>
    <row r="63" spans="1:16" x14ac:dyDescent="0.2">
      <c r="A63" s="166">
        <v>43862</v>
      </c>
      <c r="B63" s="156">
        <v>230.300003</v>
      </c>
      <c r="C63" s="156">
        <v>247.36000100000001</v>
      </c>
      <c r="D63" s="156">
        <v>212.33000200000001</v>
      </c>
      <c r="E63" s="156">
        <v>217.83999600000001</v>
      </c>
      <c r="F63" s="163">
        <v>193.11265599999999</v>
      </c>
      <c r="G63" s="156">
        <v>86009000</v>
      </c>
      <c r="H63" s="161">
        <f t="shared" si="1"/>
        <v>-0.14290290740965195</v>
      </c>
      <c r="I63" s="158">
        <v>43862</v>
      </c>
      <c r="J63" s="159">
        <v>3235.66</v>
      </c>
      <c r="K63" s="159">
        <v>3393.52</v>
      </c>
      <c r="L63" s="159">
        <v>2855.84</v>
      </c>
      <c r="M63" s="169">
        <v>2954.22</v>
      </c>
      <c r="N63" s="160">
        <f t="shared" si="0"/>
        <v>-0.12511932083595656</v>
      </c>
      <c r="O63" s="172">
        <f t="shared" si="2"/>
        <v>116.78624447623962</v>
      </c>
      <c r="P63" s="172">
        <f t="shared" si="3"/>
        <v>74.040972636454313</v>
      </c>
    </row>
    <row r="64" spans="1:16" x14ac:dyDescent="0.2">
      <c r="A64" s="166">
        <v>43891</v>
      </c>
      <c r="B64" s="156">
        <v>219.979996</v>
      </c>
      <c r="C64" s="156">
        <v>241.320007</v>
      </c>
      <c r="D64" s="156">
        <v>140.63000500000001</v>
      </c>
      <c r="E64" s="156">
        <v>186.71000699999999</v>
      </c>
      <c r="F64" s="163">
        <v>165.51629600000001</v>
      </c>
      <c r="G64" s="156">
        <v>221563200</v>
      </c>
      <c r="H64" s="161">
        <f t="shared" si="1"/>
        <v>0.18526448900233961</v>
      </c>
      <c r="I64" s="158">
        <v>43891</v>
      </c>
      <c r="J64" s="159">
        <v>2974.28</v>
      </c>
      <c r="K64" s="159">
        <v>3136.72</v>
      </c>
      <c r="L64" s="159">
        <v>2191.86</v>
      </c>
      <c r="M64" s="169">
        <v>2584.59</v>
      </c>
      <c r="N64" s="160">
        <f t="shared" si="0"/>
        <v>0.12684410293315374</v>
      </c>
      <c r="O64" s="172">
        <f t="shared" si="2"/>
        <v>100.09715059513056</v>
      </c>
      <c r="P64" s="172">
        <f t="shared" si="3"/>
        <v>64.777016426147497</v>
      </c>
    </row>
    <row r="65" spans="1:16" x14ac:dyDescent="0.2">
      <c r="A65" s="166">
        <v>43922</v>
      </c>
      <c r="B65" s="156">
        <v>175.91000399999999</v>
      </c>
      <c r="C65" s="156">
        <v>224.220001</v>
      </c>
      <c r="D65" s="156">
        <v>174</v>
      </c>
      <c r="E65" s="156">
        <v>219.83000200000001</v>
      </c>
      <c r="F65" s="163">
        <v>196.180588</v>
      </c>
      <c r="G65" s="156">
        <v>120713600</v>
      </c>
      <c r="H65" s="161">
        <f t="shared" si="1"/>
        <v>0.13032808322503331</v>
      </c>
      <c r="I65" s="158">
        <v>43922</v>
      </c>
      <c r="J65" s="159">
        <v>2498.08</v>
      </c>
      <c r="K65" s="159">
        <v>2954.86</v>
      </c>
      <c r="L65" s="159">
        <v>2447.4899999999998</v>
      </c>
      <c r="M65" s="169">
        <v>2912.43</v>
      </c>
      <c r="N65" s="160">
        <f t="shared" si="0"/>
        <v>4.528177501261843E-2</v>
      </c>
      <c r="O65" s="172">
        <f t="shared" si="2"/>
        <v>118.64159805072765</v>
      </c>
      <c r="P65" s="172">
        <f t="shared" si="3"/>
        <v>72.993598965408353</v>
      </c>
    </row>
    <row r="66" spans="1:16" x14ac:dyDescent="0.2">
      <c r="A66" s="166">
        <v>43952</v>
      </c>
      <c r="B66" s="156">
        <v>216.770004</v>
      </c>
      <c r="C66" s="156">
        <v>252.229996</v>
      </c>
      <c r="D66" s="156">
        <v>215.21000699999999</v>
      </c>
      <c r="E66" s="156">
        <v>248.479996</v>
      </c>
      <c r="F66" s="163">
        <v>221.74842799999999</v>
      </c>
      <c r="G66" s="156">
        <v>115230300</v>
      </c>
      <c r="H66" s="161">
        <f t="shared" si="1"/>
        <v>8.1695505863970119E-3</v>
      </c>
      <c r="I66" s="158">
        <v>43952</v>
      </c>
      <c r="J66" s="159">
        <v>2869.09</v>
      </c>
      <c r="K66" s="159">
        <v>3068.67</v>
      </c>
      <c r="L66" s="159">
        <v>2766.64</v>
      </c>
      <c r="M66" s="169">
        <v>3044.31</v>
      </c>
      <c r="N66" s="160">
        <f t="shared" ref="N66:N121" si="4">+(M67/M66)-1</f>
        <v>1.8388403283502663E-2</v>
      </c>
      <c r="O66" s="172">
        <f t="shared" si="2"/>
        <v>134.10393011543385</v>
      </c>
      <c r="P66" s="172">
        <f t="shared" si="3"/>
        <v>76.298878691121246</v>
      </c>
    </row>
    <row r="67" spans="1:16" x14ac:dyDescent="0.2">
      <c r="A67" s="166">
        <v>43983</v>
      </c>
      <c r="B67" s="156">
        <v>249.41000399999999</v>
      </c>
      <c r="C67" s="156">
        <v>259.290009</v>
      </c>
      <c r="D67" s="156">
        <v>234.30999800000001</v>
      </c>
      <c r="E67" s="156">
        <v>250.509995</v>
      </c>
      <c r="F67" s="163">
        <v>223.560013</v>
      </c>
      <c r="G67" s="156">
        <v>103047000</v>
      </c>
      <c r="H67" s="161">
        <f t="shared" ref="H67:H121" si="5">(F68/F67)-1</f>
        <v>6.6126123368940748E-2</v>
      </c>
      <c r="I67" s="158">
        <v>43983</v>
      </c>
      <c r="J67" s="159">
        <v>3038.78</v>
      </c>
      <c r="K67" s="159">
        <v>3233.13</v>
      </c>
      <c r="L67" s="159">
        <v>2965.66</v>
      </c>
      <c r="M67" s="169">
        <v>3100.29</v>
      </c>
      <c r="N67" s="160">
        <f t="shared" si="4"/>
        <v>5.5101296975444303E-2</v>
      </c>
      <c r="O67" s="172">
        <f t="shared" ref="O67:O121" si="6">$S$2*(F67/$F$2)</f>
        <v>135.19949895634653</v>
      </c>
      <c r="P67" s="172">
        <f t="shared" ref="P67:P121" si="7">$S$2*(M67/$M$2)</f>
        <v>77.701893242572638</v>
      </c>
    </row>
    <row r="68" spans="1:16" x14ac:dyDescent="0.2">
      <c r="A68" s="166">
        <v>44013</v>
      </c>
      <c r="B68" s="156">
        <v>249.64999399999999</v>
      </c>
      <c r="C68" s="156">
        <v>269.07000699999998</v>
      </c>
      <c r="D68" s="156">
        <v>246.220001</v>
      </c>
      <c r="E68" s="156">
        <v>265.48998999999998</v>
      </c>
      <c r="F68" s="163">
        <v>238.34316999999999</v>
      </c>
      <c r="G68" s="156">
        <v>66948200</v>
      </c>
      <c r="H68" s="161">
        <f t="shared" si="5"/>
        <v>7.3637562175580706E-2</v>
      </c>
      <c r="I68" s="158">
        <v>44013</v>
      </c>
      <c r="J68" s="159">
        <v>3105.92</v>
      </c>
      <c r="K68" s="159">
        <v>3279.99</v>
      </c>
      <c r="L68" s="159">
        <v>3101.17</v>
      </c>
      <c r="M68" s="169">
        <v>3271.12</v>
      </c>
      <c r="N68" s="160">
        <f t="shared" si="4"/>
        <v>7.0064687324219221E-2</v>
      </c>
      <c r="O68" s="172">
        <f t="shared" si="6"/>
        <v>144.13971770375286</v>
      </c>
      <c r="P68" s="172">
        <f t="shared" si="7"/>
        <v>81.983368337685903</v>
      </c>
    </row>
    <row r="69" spans="1:16" x14ac:dyDescent="0.2">
      <c r="A69" s="166">
        <v>44044</v>
      </c>
      <c r="B69" s="156">
        <v>266.73001099999999</v>
      </c>
      <c r="C69" s="156">
        <v>292.95001200000002</v>
      </c>
      <c r="D69" s="156">
        <v>263.83999599999999</v>
      </c>
      <c r="E69" s="156">
        <v>285.040009</v>
      </c>
      <c r="F69" s="163">
        <v>255.89418000000001</v>
      </c>
      <c r="G69" s="156">
        <v>74350500</v>
      </c>
      <c r="H69" s="161">
        <f t="shared" si="5"/>
        <v>-2.5715848637120176E-2</v>
      </c>
      <c r="I69" s="158">
        <v>44044</v>
      </c>
      <c r="J69" s="159">
        <v>3288.26</v>
      </c>
      <c r="K69" s="159">
        <v>3514.77</v>
      </c>
      <c r="L69" s="159">
        <v>3284.53</v>
      </c>
      <c r="M69" s="169">
        <v>3500.31</v>
      </c>
      <c r="N69" s="160">
        <f t="shared" si="4"/>
        <v>-3.9227954095494399E-2</v>
      </c>
      <c r="O69" s="172">
        <f t="shared" si="6"/>
        <v>154.75381512813365</v>
      </c>
      <c r="P69" s="172">
        <f t="shared" si="7"/>
        <v>87.727507406052169</v>
      </c>
    </row>
    <row r="70" spans="1:16" x14ac:dyDescent="0.2">
      <c r="A70" s="166">
        <v>44075</v>
      </c>
      <c r="B70" s="156">
        <v>284.02999899999998</v>
      </c>
      <c r="C70" s="156">
        <v>288.040009</v>
      </c>
      <c r="D70" s="156">
        <v>262.80999800000001</v>
      </c>
      <c r="E70" s="156">
        <v>277.709991</v>
      </c>
      <c r="F70" s="163">
        <v>249.31364400000001</v>
      </c>
      <c r="G70" s="156">
        <v>80493700</v>
      </c>
      <c r="H70" s="161">
        <f t="shared" si="5"/>
        <v>-3.4544852266488846E-2</v>
      </c>
      <c r="I70" s="158">
        <v>44075</v>
      </c>
      <c r="J70" s="159">
        <v>3507.44</v>
      </c>
      <c r="K70" s="159">
        <v>3588.11</v>
      </c>
      <c r="L70" s="159">
        <v>3209.45</v>
      </c>
      <c r="M70" s="169">
        <v>3363</v>
      </c>
      <c r="N70" s="160">
        <f t="shared" si="4"/>
        <v>-2.7665774606006499E-2</v>
      </c>
      <c r="O70" s="172">
        <f t="shared" si="6"/>
        <v>150.77418944228168</v>
      </c>
      <c r="P70" s="172">
        <f t="shared" si="7"/>
        <v>84.286136772615407</v>
      </c>
    </row>
    <row r="71" spans="1:16" x14ac:dyDescent="0.2">
      <c r="A71" s="166">
        <v>44105</v>
      </c>
      <c r="B71" s="156">
        <v>279.44000199999999</v>
      </c>
      <c r="C71" s="156">
        <v>292.64999399999999</v>
      </c>
      <c r="D71" s="156">
        <v>262.02999899999998</v>
      </c>
      <c r="E71" s="156">
        <v>266.709991</v>
      </c>
      <c r="F71" s="163">
        <v>240.70114100000001</v>
      </c>
      <c r="G71" s="156">
        <v>59503400</v>
      </c>
      <c r="H71" s="161">
        <f t="shared" si="5"/>
        <v>4.01185094506884E-2</v>
      </c>
      <c r="I71" s="158">
        <v>44105</v>
      </c>
      <c r="J71" s="159">
        <v>3385.87</v>
      </c>
      <c r="K71" s="159">
        <v>3549.85</v>
      </c>
      <c r="L71" s="159">
        <v>3233.94</v>
      </c>
      <c r="M71" s="169">
        <v>3269.96</v>
      </c>
      <c r="N71" s="160">
        <f t="shared" si="4"/>
        <v>0.10754565805086314</v>
      </c>
      <c r="O71" s="172">
        <f t="shared" si="6"/>
        <v>145.56571734239844</v>
      </c>
      <c r="P71" s="172">
        <f t="shared" si="7"/>
        <v>81.954295510253189</v>
      </c>
    </row>
    <row r="72" spans="1:16" x14ac:dyDescent="0.2">
      <c r="A72" s="166">
        <v>44136</v>
      </c>
      <c r="B72" s="156">
        <v>270.14999399999999</v>
      </c>
      <c r="C72" s="156">
        <v>289</v>
      </c>
      <c r="D72" s="156">
        <v>268.51998900000001</v>
      </c>
      <c r="E72" s="156">
        <v>277.41000400000001</v>
      </c>
      <c r="F72" s="163">
        <v>250.35771199999999</v>
      </c>
      <c r="G72" s="156">
        <v>82679200</v>
      </c>
      <c r="H72" s="161">
        <f t="shared" si="5"/>
        <v>-4.2500164724304512E-2</v>
      </c>
      <c r="I72" s="158">
        <v>44136</v>
      </c>
      <c r="J72" s="159">
        <v>3296.2</v>
      </c>
      <c r="K72" s="159">
        <v>3645.99</v>
      </c>
      <c r="L72" s="159">
        <v>3279.74</v>
      </c>
      <c r="M72" s="169">
        <v>3621.63</v>
      </c>
      <c r="N72" s="160">
        <f t="shared" si="4"/>
        <v>3.712140665943231E-2</v>
      </c>
      <c r="O72" s="172">
        <f t="shared" si="6"/>
        <v>151.4055969492957</v>
      </c>
      <c r="P72" s="172">
        <f t="shared" si="7"/>
        <v>90.768124150998247</v>
      </c>
    </row>
    <row r="73" spans="1:16" x14ac:dyDescent="0.2">
      <c r="A73" s="166">
        <v>44166</v>
      </c>
      <c r="B73" s="156">
        <v>278.73001099999999</v>
      </c>
      <c r="C73" s="156">
        <v>278.95001200000002</v>
      </c>
      <c r="D73" s="156">
        <v>258.73001099999999</v>
      </c>
      <c r="E73" s="156">
        <v>265.61999500000002</v>
      </c>
      <c r="F73" s="163">
        <v>239.717468</v>
      </c>
      <c r="G73" s="156">
        <v>92268500</v>
      </c>
      <c r="H73" s="161">
        <f t="shared" si="5"/>
        <v>2.5136149026903754E-2</v>
      </c>
      <c r="I73" s="158">
        <v>44166</v>
      </c>
      <c r="J73" s="159">
        <v>3645.87</v>
      </c>
      <c r="K73" s="159">
        <v>3760.2</v>
      </c>
      <c r="L73" s="159">
        <v>3633.4</v>
      </c>
      <c r="M73" s="169">
        <v>3756.07</v>
      </c>
      <c r="N73" s="160">
        <f t="shared" si="4"/>
        <v>-1.1136640158463607E-2</v>
      </c>
      <c r="O73" s="172">
        <f t="shared" si="6"/>
        <v>144.97083413876896</v>
      </c>
      <c r="P73" s="172">
        <f t="shared" si="7"/>
        <v>94.137564599321294</v>
      </c>
    </row>
    <row r="74" spans="1:16" x14ac:dyDescent="0.2">
      <c r="A74" s="166">
        <v>44197</v>
      </c>
      <c r="B74" s="156">
        <v>266.01001000000002</v>
      </c>
      <c r="C74" s="156">
        <v>285.76998900000001</v>
      </c>
      <c r="D74" s="156">
        <v>261.05999800000001</v>
      </c>
      <c r="E74" s="156">
        <v>270.82000699999998</v>
      </c>
      <c r="F74" s="163">
        <v>245.743042</v>
      </c>
      <c r="G74" s="156">
        <v>76246100</v>
      </c>
      <c r="H74" s="161">
        <f t="shared" si="5"/>
        <v>-4.608241156223658E-2</v>
      </c>
      <c r="I74" s="158">
        <v>44197</v>
      </c>
      <c r="J74" s="159">
        <v>3764.61</v>
      </c>
      <c r="K74" s="159">
        <v>3870.9</v>
      </c>
      <c r="L74" s="159">
        <v>3662.71</v>
      </c>
      <c r="M74" s="169">
        <v>3714.24</v>
      </c>
      <c r="N74" s="160">
        <f t="shared" si="4"/>
        <v>2.6091474971999817E-2</v>
      </c>
      <c r="O74" s="172">
        <f t="shared" si="6"/>
        <v>148.61484263023559</v>
      </c>
      <c r="P74" s="172">
        <f t="shared" si="7"/>
        <v>93.089188416984541</v>
      </c>
    </row>
    <row r="75" spans="1:16" x14ac:dyDescent="0.2">
      <c r="A75" s="166">
        <v>44228</v>
      </c>
      <c r="B75" s="156">
        <v>271.23001099999999</v>
      </c>
      <c r="C75" s="156">
        <v>284.67999300000002</v>
      </c>
      <c r="D75" s="156">
        <v>254.029999</v>
      </c>
      <c r="E75" s="156">
        <v>258.33999599999999</v>
      </c>
      <c r="F75" s="163">
        <v>234.41861</v>
      </c>
      <c r="G75" s="156">
        <v>88427300</v>
      </c>
      <c r="H75" s="161">
        <f t="shared" si="5"/>
        <v>0.18158248613452654</v>
      </c>
      <c r="I75" s="158">
        <v>44228</v>
      </c>
      <c r="J75" s="159">
        <v>3731.17</v>
      </c>
      <c r="K75" s="159">
        <v>3950.43</v>
      </c>
      <c r="L75" s="159">
        <v>3725.62</v>
      </c>
      <c r="M75" s="169">
        <v>3811.15</v>
      </c>
      <c r="N75" s="160">
        <f t="shared" si="4"/>
        <v>4.2438634008107767E-2</v>
      </c>
      <c r="O75" s="172">
        <f t="shared" si="6"/>
        <v>141.76631228789205</v>
      </c>
      <c r="P75" s="172">
        <f t="shared" si="7"/>
        <v>95.51802264673006</v>
      </c>
    </row>
    <row r="76" spans="1:16" x14ac:dyDescent="0.2">
      <c r="A76" s="166">
        <v>44256</v>
      </c>
      <c r="B76" s="156">
        <v>258.80999800000001</v>
      </c>
      <c r="C76" s="156">
        <v>308.01998900000001</v>
      </c>
      <c r="D76" s="156">
        <v>246.58999600000001</v>
      </c>
      <c r="E76" s="156">
        <v>305.25</v>
      </c>
      <c r="F76" s="163">
        <v>276.98492399999998</v>
      </c>
      <c r="G76" s="156">
        <v>124195800</v>
      </c>
      <c r="H76" s="161">
        <f t="shared" si="5"/>
        <v>6.6988739791484342E-2</v>
      </c>
      <c r="I76" s="158">
        <v>44256</v>
      </c>
      <c r="J76" s="159">
        <v>3842.51</v>
      </c>
      <c r="K76" s="159">
        <v>3994.41</v>
      </c>
      <c r="L76" s="159">
        <v>3723.34</v>
      </c>
      <c r="M76" s="169">
        <v>3972.89</v>
      </c>
      <c r="N76" s="160">
        <f t="shared" si="4"/>
        <v>5.242531255584737E-2</v>
      </c>
      <c r="O76" s="172">
        <f t="shared" si="6"/>
        <v>167.50859172325116</v>
      </c>
      <c r="P76" s="172">
        <f t="shared" si="7"/>
        <v>99.571677051012784</v>
      </c>
    </row>
    <row r="77" spans="1:16" x14ac:dyDescent="0.2">
      <c r="A77" s="166">
        <v>44287</v>
      </c>
      <c r="B77" s="156">
        <v>306.88000499999998</v>
      </c>
      <c r="C77" s="156">
        <v>328.82998700000002</v>
      </c>
      <c r="D77" s="156">
        <v>303.89001500000001</v>
      </c>
      <c r="E77" s="156">
        <v>323.67001299999998</v>
      </c>
      <c r="F77" s="163">
        <v>295.53979500000003</v>
      </c>
      <c r="G77" s="156">
        <v>81662500</v>
      </c>
      <c r="H77" s="161">
        <f t="shared" si="5"/>
        <v>-1.4706665814666398E-2</v>
      </c>
      <c r="I77" s="158">
        <v>44287</v>
      </c>
      <c r="J77" s="159">
        <v>3992.78</v>
      </c>
      <c r="K77" s="159">
        <v>4218.78</v>
      </c>
      <c r="L77" s="159">
        <v>3992.78</v>
      </c>
      <c r="M77" s="169">
        <v>4181.17</v>
      </c>
      <c r="N77" s="160">
        <f t="shared" si="4"/>
        <v>5.4865025818131574E-3</v>
      </c>
      <c r="O77" s="172">
        <f t="shared" si="6"/>
        <v>178.72978118703801</v>
      </c>
      <c r="P77" s="172">
        <f t="shared" si="7"/>
        <v>104.79175334212201</v>
      </c>
    </row>
    <row r="78" spans="1:16" x14ac:dyDescent="0.2">
      <c r="A78" s="166">
        <v>44317</v>
      </c>
      <c r="B78" s="156">
        <v>326.27999899999998</v>
      </c>
      <c r="C78" s="156">
        <v>345.69000199999999</v>
      </c>
      <c r="D78" s="156">
        <v>309.07000699999998</v>
      </c>
      <c r="E78" s="156">
        <v>318.91000400000001</v>
      </c>
      <c r="F78" s="163">
        <v>291.19339000000002</v>
      </c>
      <c r="G78" s="156">
        <v>83404300</v>
      </c>
      <c r="H78" s="161">
        <f t="shared" si="5"/>
        <v>-6.2673125925116757E-5</v>
      </c>
      <c r="I78" s="158">
        <v>44317</v>
      </c>
      <c r="J78" s="159">
        <v>4191.9799999999996</v>
      </c>
      <c r="K78" s="159">
        <v>4238.04</v>
      </c>
      <c r="L78" s="159">
        <v>4056.88</v>
      </c>
      <c r="M78" s="169">
        <v>4204.1099999999997</v>
      </c>
      <c r="N78" s="160">
        <f t="shared" si="4"/>
        <v>2.221397632316946E-2</v>
      </c>
      <c r="O78" s="172">
        <f t="shared" si="6"/>
        <v>176.10126202399178</v>
      </c>
      <c r="P78" s="172">
        <f t="shared" si="7"/>
        <v>105.36669356738631</v>
      </c>
    </row>
    <row r="79" spans="1:16" x14ac:dyDescent="0.2">
      <c r="A79" s="166">
        <v>44348</v>
      </c>
      <c r="B79" s="156">
        <v>320.66000400000001</v>
      </c>
      <c r="C79" s="156">
        <v>321.26001000000002</v>
      </c>
      <c r="D79" s="156">
        <v>298.39999399999999</v>
      </c>
      <c r="E79" s="156">
        <v>318.89001500000001</v>
      </c>
      <c r="F79" s="163">
        <v>291.17514</v>
      </c>
      <c r="G79" s="156">
        <v>89201700</v>
      </c>
      <c r="H79" s="161">
        <f t="shared" si="5"/>
        <v>3.456044015296067E-2</v>
      </c>
      <c r="I79" s="158">
        <v>44348</v>
      </c>
      <c r="J79" s="159">
        <v>4216.5200000000004</v>
      </c>
      <c r="K79" s="159">
        <v>4302.43</v>
      </c>
      <c r="L79" s="159">
        <v>4164.3999999999996</v>
      </c>
      <c r="M79" s="169">
        <v>4297.5</v>
      </c>
      <c r="N79" s="160">
        <f t="shared" si="4"/>
        <v>2.274810936591054E-2</v>
      </c>
      <c r="O79" s="172">
        <f t="shared" si="6"/>
        <v>176.09022520742141</v>
      </c>
      <c r="P79" s="172">
        <f t="shared" si="7"/>
        <v>107.70730680354288</v>
      </c>
    </row>
    <row r="80" spans="1:16" x14ac:dyDescent="0.2">
      <c r="A80" s="166">
        <v>44378</v>
      </c>
      <c r="B80" s="156">
        <v>319.91000400000001</v>
      </c>
      <c r="C80" s="156">
        <v>333.45001200000002</v>
      </c>
      <c r="D80" s="156">
        <v>314.79998799999998</v>
      </c>
      <c r="E80" s="156">
        <v>328.19000199999999</v>
      </c>
      <c r="F80" s="163">
        <v>301.23828099999997</v>
      </c>
      <c r="G80" s="156">
        <v>60847700</v>
      </c>
      <c r="H80" s="161">
        <f t="shared" si="5"/>
        <v>-6.1247229066480058E-3</v>
      </c>
      <c r="I80" s="158">
        <v>44378</v>
      </c>
      <c r="J80" s="159">
        <v>4300.7299999999996</v>
      </c>
      <c r="K80" s="159">
        <v>4429.97</v>
      </c>
      <c r="L80" s="159">
        <v>4233.13</v>
      </c>
      <c r="M80" s="169">
        <v>4395.26</v>
      </c>
      <c r="N80" s="160">
        <f t="shared" si="4"/>
        <v>2.8990321391681118E-2</v>
      </c>
      <c r="O80" s="172">
        <f t="shared" si="6"/>
        <v>182.17598089722387</v>
      </c>
      <c r="P80" s="172">
        <f t="shared" si="7"/>
        <v>110.15744439821754</v>
      </c>
    </row>
    <row r="81" spans="1:16" x14ac:dyDescent="0.2">
      <c r="A81" s="166">
        <v>44409</v>
      </c>
      <c r="B81" s="156">
        <v>330</v>
      </c>
      <c r="C81" s="156">
        <v>338.54998799999998</v>
      </c>
      <c r="D81" s="156">
        <v>316.60998499999999</v>
      </c>
      <c r="E81" s="156">
        <v>326.17999300000002</v>
      </c>
      <c r="F81" s="163">
        <v>299.39328</v>
      </c>
      <c r="G81" s="156">
        <v>67430900</v>
      </c>
      <c r="H81" s="161">
        <f t="shared" si="5"/>
        <v>6.3770335793775779E-3</v>
      </c>
      <c r="I81" s="158">
        <v>44409</v>
      </c>
      <c r="J81" s="159">
        <v>4406.8599999999997</v>
      </c>
      <c r="K81" s="159">
        <v>4537.3599999999997</v>
      </c>
      <c r="L81" s="159">
        <v>4367.7299999999996</v>
      </c>
      <c r="M81" s="169">
        <v>4522.68</v>
      </c>
      <c r="N81" s="160">
        <f t="shared" si="4"/>
        <v>-4.7569140421166334E-2</v>
      </c>
      <c r="O81" s="172">
        <f t="shared" si="6"/>
        <v>181.06020349398159</v>
      </c>
      <c r="P81" s="172">
        <f t="shared" si="7"/>
        <v>113.3509441150081</v>
      </c>
    </row>
    <row r="82" spans="1:16" x14ac:dyDescent="0.2">
      <c r="A82" s="166">
        <v>44440</v>
      </c>
      <c r="B82" s="156">
        <v>325.55999800000001</v>
      </c>
      <c r="C82" s="156">
        <v>343.73998999999998</v>
      </c>
      <c r="D82" s="156">
        <v>320.27999899999998</v>
      </c>
      <c r="E82" s="156">
        <v>328.26001000000002</v>
      </c>
      <c r="F82" s="163">
        <v>301.30252100000001</v>
      </c>
      <c r="G82" s="156">
        <v>67432900</v>
      </c>
      <c r="H82" s="161">
        <f t="shared" si="5"/>
        <v>0.13821349008891959</v>
      </c>
      <c r="I82" s="158">
        <v>44440</v>
      </c>
      <c r="J82" s="159">
        <v>4528.8</v>
      </c>
      <c r="K82" s="159">
        <v>4545.8500000000004</v>
      </c>
      <c r="L82" s="159">
        <v>4305.91</v>
      </c>
      <c r="M82" s="169">
        <v>4307.54</v>
      </c>
      <c r="N82" s="160">
        <f t="shared" si="4"/>
        <v>6.9143873301234615E-2</v>
      </c>
      <c r="O82" s="172">
        <f t="shared" si="6"/>
        <v>182.21483049155165</v>
      </c>
      <c r="P82" s="172">
        <f t="shared" si="7"/>
        <v>107.9589371375295</v>
      </c>
    </row>
    <row r="83" spans="1:16" x14ac:dyDescent="0.2">
      <c r="A83" s="166">
        <v>44470</v>
      </c>
      <c r="B83" s="156">
        <v>328.14999399999999</v>
      </c>
      <c r="C83" s="156">
        <v>375.14999399999999</v>
      </c>
      <c r="D83" s="156">
        <v>324.16000400000001</v>
      </c>
      <c r="E83" s="156">
        <v>371.73998999999998</v>
      </c>
      <c r="F83" s="163">
        <v>342.946594</v>
      </c>
      <c r="G83" s="156">
        <v>59686400</v>
      </c>
      <c r="H83" s="161">
        <f t="shared" si="5"/>
        <v>7.7661713123764242E-2</v>
      </c>
      <c r="I83" s="158">
        <v>44470</v>
      </c>
      <c r="J83" s="159">
        <v>4317.16</v>
      </c>
      <c r="K83" s="159">
        <v>4608.08</v>
      </c>
      <c r="L83" s="159">
        <v>4278.9399999999996</v>
      </c>
      <c r="M83" s="169">
        <v>4605.38</v>
      </c>
      <c r="N83" s="160">
        <f t="shared" si="4"/>
        <v>-8.3337314184714906E-3</v>
      </c>
      <c r="O83" s="172">
        <f t="shared" si="6"/>
        <v>207.39937815974989</v>
      </c>
      <c r="P83" s="172">
        <f t="shared" si="7"/>
        <v>115.42363620870279</v>
      </c>
    </row>
    <row r="84" spans="1:16" x14ac:dyDescent="0.2">
      <c r="A84" s="166">
        <v>44501</v>
      </c>
      <c r="B84" s="156">
        <v>373</v>
      </c>
      <c r="C84" s="156">
        <v>416.55999800000001</v>
      </c>
      <c r="D84" s="156">
        <v>364.70001200000002</v>
      </c>
      <c r="E84" s="156">
        <v>400.60998499999999</v>
      </c>
      <c r="F84" s="163">
        <v>369.58041400000002</v>
      </c>
      <c r="G84" s="156">
        <v>76047100</v>
      </c>
      <c r="H84" s="161">
        <f t="shared" si="5"/>
        <v>3.5945516853065795E-2</v>
      </c>
      <c r="I84" s="158">
        <v>44501</v>
      </c>
      <c r="J84" s="159">
        <v>4610.62</v>
      </c>
      <c r="K84" s="159">
        <v>4743.83</v>
      </c>
      <c r="L84" s="159">
        <v>4560</v>
      </c>
      <c r="M84" s="169">
        <v>4567</v>
      </c>
      <c r="N84" s="160">
        <f t="shared" si="4"/>
        <v>4.3612874972629889E-2</v>
      </c>
      <c r="O84" s="172">
        <f t="shared" si="6"/>
        <v>223.50636916843945</v>
      </c>
      <c r="P84" s="172">
        <f t="shared" si="7"/>
        <v>114.46172662519612</v>
      </c>
    </row>
    <row r="85" spans="1:16" x14ac:dyDescent="0.2">
      <c r="A85" s="166">
        <v>44531</v>
      </c>
      <c r="B85" s="156">
        <v>402.07998700000002</v>
      </c>
      <c r="C85" s="156">
        <v>420.60998499999999</v>
      </c>
      <c r="D85" s="156">
        <v>380.89999399999999</v>
      </c>
      <c r="E85" s="156">
        <v>415.01001000000002</v>
      </c>
      <c r="F85" s="163">
        <v>382.86517300000003</v>
      </c>
      <c r="G85" s="156">
        <v>84890300</v>
      </c>
      <c r="H85" s="161">
        <f t="shared" si="5"/>
        <v>-0.1120750593838945</v>
      </c>
      <c r="I85" s="158">
        <v>44531</v>
      </c>
      <c r="J85" s="159">
        <v>4602.82</v>
      </c>
      <c r="K85" s="159">
        <v>4808.93</v>
      </c>
      <c r="L85" s="159">
        <v>4495.12</v>
      </c>
      <c r="M85" s="169">
        <v>4766.18</v>
      </c>
      <c r="N85" s="160">
        <f t="shared" si="4"/>
        <v>-5.2585089106999772E-2</v>
      </c>
      <c r="O85" s="172">
        <f t="shared" si="6"/>
        <v>231.54042112815114</v>
      </c>
      <c r="P85" s="172">
        <f t="shared" si="7"/>
        <v>119.45373159765214</v>
      </c>
    </row>
    <row r="86" spans="1:16" x14ac:dyDescent="0.2">
      <c r="A86" s="166">
        <v>44562</v>
      </c>
      <c r="B86" s="156">
        <v>416.57000699999998</v>
      </c>
      <c r="C86" s="156">
        <v>417.83999599999999</v>
      </c>
      <c r="D86" s="156">
        <v>343.60998499999999</v>
      </c>
      <c r="E86" s="156">
        <v>366.98001099999999</v>
      </c>
      <c r="F86" s="163">
        <v>339.955536</v>
      </c>
      <c r="G86" s="156">
        <v>101082900</v>
      </c>
      <c r="H86" s="161">
        <f t="shared" si="5"/>
        <v>-0.13938087773925834</v>
      </c>
      <c r="I86" s="158">
        <v>44562</v>
      </c>
      <c r="J86" s="159">
        <v>4778.1400000000003</v>
      </c>
      <c r="K86" s="159">
        <v>4818.62</v>
      </c>
      <c r="L86" s="159">
        <v>4222.62</v>
      </c>
      <c r="M86" s="169">
        <v>4515.55</v>
      </c>
      <c r="N86" s="160">
        <f t="shared" si="4"/>
        <v>-3.1360520866782648E-2</v>
      </c>
      <c r="O86" s="172">
        <f t="shared" si="6"/>
        <v>205.59051468044169</v>
      </c>
      <c r="P86" s="172">
        <f t="shared" si="7"/>
        <v>113.17224647742596</v>
      </c>
    </row>
    <row r="87" spans="1:16" x14ac:dyDescent="0.2">
      <c r="A87" s="166">
        <v>44593</v>
      </c>
      <c r="B87" s="156">
        <v>369.47000100000002</v>
      </c>
      <c r="C87" s="156">
        <v>374.67001299999998</v>
      </c>
      <c r="D87" s="156">
        <v>299.290009</v>
      </c>
      <c r="E87" s="156">
        <v>315.82998700000002</v>
      </c>
      <c r="F87" s="163">
        <v>292.57223499999998</v>
      </c>
      <c r="G87" s="156">
        <v>103092300</v>
      </c>
      <c r="H87" s="161">
        <f t="shared" si="5"/>
        <v>-5.2243522014315369E-2</v>
      </c>
      <c r="I87" s="158">
        <v>44593</v>
      </c>
      <c r="J87" s="159">
        <v>4519.57</v>
      </c>
      <c r="K87" s="159">
        <v>4595.3100000000004</v>
      </c>
      <c r="L87" s="159">
        <v>4114.6499999999996</v>
      </c>
      <c r="M87" s="169">
        <v>4373.9399999999996</v>
      </c>
      <c r="N87" s="160">
        <f t="shared" si="4"/>
        <v>3.5773238773280092E-2</v>
      </c>
      <c r="O87" s="172">
        <f t="shared" si="6"/>
        <v>176.93512828941581</v>
      </c>
      <c r="P87" s="172">
        <f t="shared" si="7"/>
        <v>109.62310588022997</v>
      </c>
    </row>
    <row r="88" spans="1:16" x14ac:dyDescent="0.2">
      <c r="A88" s="166">
        <v>44621</v>
      </c>
      <c r="B88" s="156">
        <v>314.58999599999999</v>
      </c>
      <c r="C88" s="156">
        <v>340.73998999999998</v>
      </c>
      <c r="D88" s="156">
        <v>298.89001500000001</v>
      </c>
      <c r="E88" s="156">
        <v>299.32998700000002</v>
      </c>
      <c r="F88" s="163">
        <v>277.28723100000002</v>
      </c>
      <c r="G88" s="156">
        <v>115574300</v>
      </c>
      <c r="H88" s="161">
        <f t="shared" si="5"/>
        <v>9.6312548917911744E-3</v>
      </c>
      <c r="I88" s="158">
        <v>44621</v>
      </c>
      <c r="J88" s="159">
        <v>4363.1400000000003</v>
      </c>
      <c r="K88" s="159">
        <v>4637.3</v>
      </c>
      <c r="L88" s="159">
        <v>4157.87</v>
      </c>
      <c r="M88" s="169">
        <v>4530.41</v>
      </c>
      <c r="N88" s="160">
        <f t="shared" si="4"/>
        <v>-8.7956719149039353E-2</v>
      </c>
      <c r="O88" s="172">
        <f t="shared" si="6"/>
        <v>167.691414019522</v>
      </c>
      <c r="P88" s="172">
        <f t="shared" si="7"/>
        <v>113.54467942195198</v>
      </c>
    </row>
    <row r="89" spans="1:16" x14ac:dyDescent="0.2">
      <c r="A89" s="166">
        <v>44652</v>
      </c>
      <c r="B89" s="156">
        <v>300.5</v>
      </c>
      <c r="C89" s="156">
        <v>318.39999399999999</v>
      </c>
      <c r="D89" s="156">
        <v>293.58999599999999</v>
      </c>
      <c r="E89" s="156">
        <v>300.39999399999999</v>
      </c>
      <c r="F89" s="163">
        <v>279.957855</v>
      </c>
      <c r="G89" s="156">
        <v>86697000</v>
      </c>
      <c r="H89" s="161">
        <f t="shared" si="5"/>
        <v>7.822941778147241E-3</v>
      </c>
      <c r="I89" s="158">
        <v>44652</v>
      </c>
      <c r="J89" s="159">
        <v>4540.32</v>
      </c>
      <c r="K89" s="159">
        <v>4593.45</v>
      </c>
      <c r="L89" s="159">
        <v>4124.28</v>
      </c>
      <c r="M89" s="169">
        <v>4131.93</v>
      </c>
      <c r="N89" s="160">
        <f t="shared" si="4"/>
        <v>5.3243883608722342E-5</v>
      </c>
      <c r="O89" s="172">
        <f t="shared" si="6"/>
        <v>169.30649277110891</v>
      </c>
      <c r="P89" s="172">
        <f t="shared" si="7"/>
        <v>103.55766194316764</v>
      </c>
    </row>
    <row r="90" spans="1:16" x14ac:dyDescent="0.2">
      <c r="A90" s="166">
        <v>44682</v>
      </c>
      <c r="B90" s="156">
        <v>301.98998999999998</v>
      </c>
      <c r="C90" s="156">
        <v>315.75</v>
      </c>
      <c r="D90" s="156">
        <v>279.58999599999999</v>
      </c>
      <c r="E90" s="156">
        <v>302.75</v>
      </c>
      <c r="F90" s="163">
        <v>282.14794899999998</v>
      </c>
      <c r="G90" s="156">
        <v>105314200</v>
      </c>
      <c r="H90" s="161">
        <f t="shared" si="5"/>
        <v>-9.4071185326957685E-2</v>
      </c>
      <c r="I90" s="158">
        <v>44682</v>
      </c>
      <c r="J90" s="159">
        <v>4130.6099999999997</v>
      </c>
      <c r="K90" s="159">
        <v>4307.66</v>
      </c>
      <c r="L90" s="159">
        <v>3810.32</v>
      </c>
      <c r="M90" s="169">
        <v>4132.1499999999996</v>
      </c>
      <c r="N90" s="160">
        <f t="shared" si="4"/>
        <v>-8.3919993223866451E-2</v>
      </c>
      <c r="O90" s="172">
        <f t="shared" si="6"/>
        <v>170.63096760671959</v>
      </c>
      <c r="P90" s="172">
        <f t="shared" si="7"/>
        <v>103.56317575526694</v>
      </c>
    </row>
    <row r="91" spans="1:16" x14ac:dyDescent="0.2">
      <c r="A91" s="166">
        <v>44713</v>
      </c>
      <c r="B91" s="156">
        <v>301.73998999999998</v>
      </c>
      <c r="C91" s="156">
        <v>308.459991</v>
      </c>
      <c r="D91" s="156">
        <v>264.51001000000002</v>
      </c>
      <c r="E91" s="156">
        <v>274.26998900000001</v>
      </c>
      <c r="F91" s="163">
        <v>255.60595699999999</v>
      </c>
      <c r="G91" s="156">
        <v>95071800</v>
      </c>
      <c r="H91" s="161">
        <f t="shared" si="5"/>
        <v>0.10416973185018552</v>
      </c>
      <c r="I91" s="158">
        <v>44713</v>
      </c>
      <c r="J91" s="159">
        <v>4149.78</v>
      </c>
      <c r="K91" s="159">
        <v>4177.51</v>
      </c>
      <c r="L91" s="159">
        <v>3636.87</v>
      </c>
      <c r="M91" s="169">
        <v>3785.38</v>
      </c>
      <c r="N91" s="160">
        <f t="shared" si="4"/>
        <v>9.1116347632205885E-2</v>
      </c>
      <c r="O91" s="172">
        <f t="shared" si="6"/>
        <v>154.57951023046979</v>
      </c>
      <c r="P91" s="172">
        <f t="shared" si="7"/>
        <v>94.872154747642838</v>
      </c>
    </row>
    <row r="92" spans="1:16" x14ac:dyDescent="0.2">
      <c r="A92" s="166">
        <v>44743</v>
      </c>
      <c r="B92" s="156">
        <v>275.73001099999999</v>
      </c>
      <c r="C92" s="156">
        <v>310.67001299999998</v>
      </c>
      <c r="D92" s="156">
        <v>274.54998799999998</v>
      </c>
      <c r="E92" s="156">
        <v>300.94000199999999</v>
      </c>
      <c r="F92" s="163">
        <v>282.23236100000003</v>
      </c>
      <c r="G92" s="156">
        <v>54082200</v>
      </c>
      <c r="H92" s="161">
        <f t="shared" si="5"/>
        <v>-4.16030605363501E-2</v>
      </c>
      <c r="I92" s="158">
        <v>44743</v>
      </c>
      <c r="J92" s="159">
        <v>3781</v>
      </c>
      <c r="K92" s="159">
        <v>4140.1499999999996</v>
      </c>
      <c r="L92" s="159">
        <v>3721.56</v>
      </c>
      <c r="M92" s="169">
        <v>4130.29</v>
      </c>
      <c r="N92" s="160">
        <f t="shared" si="4"/>
        <v>-4.2440119216810457E-2</v>
      </c>
      <c r="O92" s="172">
        <f t="shared" si="6"/>
        <v>170.6820163607108</v>
      </c>
      <c r="P92" s="172">
        <f t="shared" si="7"/>
        <v>103.51655898024552</v>
      </c>
    </row>
    <row r="93" spans="1:16" x14ac:dyDescent="0.2">
      <c r="A93" s="166">
        <v>44774</v>
      </c>
      <c r="B93" s="156">
        <v>300.64001500000001</v>
      </c>
      <c r="C93" s="156">
        <v>332.98001099999999</v>
      </c>
      <c r="D93" s="156">
        <v>288.27999899999998</v>
      </c>
      <c r="E93" s="156">
        <v>288.42001299999998</v>
      </c>
      <c r="F93" s="163">
        <v>270.49063100000001</v>
      </c>
      <c r="G93" s="156">
        <v>76506500</v>
      </c>
      <c r="H93" s="161">
        <f t="shared" si="5"/>
        <v>-3.7027733504011784E-2</v>
      </c>
      <c r="I93" s="158">
        <v>44774</v>
      </c>
      <c r="J93" s="159">
        <v>4112.38</v>
      </c>
      <c r="K93" s="159">
        <v>4325.28</v>
      </c>
      <c r="L93" s="159">
        <v>3954.53</v>
      </c>
      <c r="M93" s="169">
        <v>3955</v>
      </c>
      <c r="N93" s="160">
        <f t="shared" si="4"/>
        <v>-9.3395701643489315E-2</v>
      </c>
      <c r="O93" s="172">
        <f t="shared" si="6"/>
        <v>163.58112210158987</v>
      </c>
      <c r="P93" s="172">
        <f t="shared" si="7"/>
        <v>99.123303876209903</v>
      </c>
    </row>
    <row r="94" spans="1:16" x14ac:dyDescent="0.2">
      <c r="A94" s="166">
        <v>44805</v>
      </c>
      <c r="B94" s="156">
        <v>288.39999399999999</v>
      </c>
      <c r="C94" s="156">
        <v>302.82998700000002</v>
      </c>
      <c r="D94" s="156">
        <v>265.60998499999999</v>
      </c>
      <c r="E94" s="156">
        <v>275.94000199999999</v>
      </c>
      <c r="F94" s="163">
        <v>260.47497600000003</v>
      </c>
      <c r="G94" s="156">
        <v>84362400</v>
      </c>
      <c r="H94" s="161">
        <f t="shared" si="5"/>
        <v>7.3168030544323637E-2</v>
      </c>
      <c r="I94" s="158">
        <v>44805</v>
      </c>
      <c r="J94" s="159">
        <v>3936.73</v>
      </c>
      <c r="K94" s="159">
        <v>4119.28</v>
      </c>
      <c r="L94" s="159">
        <v>3584.13</v>
      </c>
      <c r="M94" s="169">
        <v>3585.62</v>
      </c>
      <c r="N94" s="160">
        <f t="shared" si="4"/>
        <v>7.9863454576893256E-2</v>
      </c>
      <c r="O94" s="172">
        <f t="shared" si="6"/>
        <v>157.52408390612499</v>
      </c>
      <c r="P94" s="172">
        <f t="shared" si="7"/>
        <v>89.86561336147048</v>
      </c>
    </row>
    <row r="95" spans="1:16" x14ac:dyDescent="0.2">
      <c r="A95" s="166">
        <v>44835</v>
      </c>
      <c r="B95" s="156">
        <v>281</v>
      </c>
      <c r="C95" s="156">
        <v>299.27999899999998</v>
      </c>
      <c r="D95" s="156">
        <v>267.86999500000002</v>
      </c>
      <c r="E95" s="156">
        <v>296.13000499999998</v>
      </c>
      <c r="F95" s="163">
        <v>279.53341699999999</v>
      </c>
      <c r="G95" s="156">
        <v>65951000</v>
      </c>
      <c r="H95" s="161">
        <f t="shared" si="5"/>
        <v>9.4080175752296658E-2</v>
      </c>
      <c r="I95" s="158">
        <v>44835</v>
      </c>
      <c r="J95" s="159">
        <v>3609.78</v>
      </c>
      <c r="K95" s="159">
        <v>3905.42</v>
      </c>
      <c r="L95" s="159">
        <v>3491.58</v>
      </c>
      <c r="M95" s="169">
        <v>3871.98</v>
      </c>
      <c r="N95" s="160">
        <f t="shared" si="4"/>
        <v>5.3752860293699856E-2</v>
      </c>
      <c r="O95" s="172">
        <f t="shared" si="6"/>
        <v>169.04981088883494</v>
      </c>
      <c r="P95" s="172">
        <f t="shared" si="7"/>
        <v>97.042591692188935</v>
      </c>
    </row>
    <row r="96" spans="1:16" x14ac:dyDescent="0.2">
      <c r="A96" s="166">
        <v>44866</v>
      </c>
      <c r="B96" s="156">
        <v>300.36999500000002</v>
      </c>
      <c r="C96" s="156">
        <v>329.07998700000002</v>
      </c>
      <c r="D96" s="156">
        <v>277.5</v>
      </c>
      <c r="E96" s="156">
        <v>323.98998999999998</v>
      </c>
      <c r="F96" s="163">
        <v>305.83197000000001</v>
      </c>
      <c r="G96" s="156">
        <v>108646300</v>
      </c>
      <c r="H96" s="161">
        <f t="shared" si="5"/>
        <v>-1.919542616816694E-2</v>
      </c>
      <c r="I96" s="158">
        <v>44866</v>
      </c>
      <c r="J96" s="159">
        <v>3901.79</v>
      </c>
      <c r="K96" s="159">
        <v>4080.11</v>
      </c>
      <c r="L96" s="159">
        <v>3698.15</v>
      </c>
      <c r="M96" s="169">
        <v>4080.11</v>
      </c>
      <c r="N96" s="160">
        <f t="shared" si="4"/>
        <v>-5.8971449299161094E-2</v>
      </c>
      <c r="O96" s="172">
        <f t="shared" si="6"/>
        <v>184.95404680814903</v>
      </c>
      <c r="P96" s="172">
        <f t="shared" si="7"/>
        <v>102.25890856595771</v>
      </c>
    </row>
    <row r="97" spans="1:16" x14ac:dyDescent="0.2">
      <c r="A97" s="166">
        <v>44896</v>
      </c>
      <c r="B97" s="156">
        <v>326.30999800000001</v>
      </c>
      <c r="C97" s="156">
        <v>347.25</v>
      </c>
      <c r="D97" s="156">
        <v>310.73001099999999</v>
      </c>
      <c r="E97" s="156">
        <v>315.85998499999999</v>
      </c>
      <c r="F97" s="163">
        <v>299.96139499999998</v>
      </c>
      <c r="G97" s="156">
        <v>77731000</v>
      </c>
      <c r="H97" s="161">
        <f t="shared" si="5"/>
        <v>2.6309132213496955E-2</v>
      </c>
      <c r="I97" s="158">
        <v>44896</v>
      </c>
      <c r="J97" s="159">
        <v>4087.14</v>
      </c>
      <c r="K97" s="159">
        <v>4100.96</v>
      </c>
      <c r="L97" s="159">
        <v>3764.49</v>
      </c>
      <c r="M97" s="169">
        <v>3839.5</v>
      </c>
      <c r="N97" s="160">
        <f t="shared" si="4"/>
        <v>6.1752832400052027E-2</v>
      </c>
      <c r="O97" s="172">
        <f t="shared" si="6"/>
        <v>181.40377505813953</v>
      </c>
      <c r="P97" s="172">
        <f t="shared" si="7"/>
        <v>96.228552524072796</v>
      </c>
    </row>
    <row r="98" spans="1:16" x14ac:dyDescent="0.2">
      <c r="A98" s="166">
        <v>44927</v>
      </c>
      <c r="B98" s="156">
        <v>317.42001299999998</v>
      </c>
      <c r="C98" s="156">
        <v>335.16000400000001</v>
      </c>
      <c r="D98" s="156">
        <v>307.39001500000001</v>
      </c>
      <c r="E98" s="156">
        <v>324.17001299999998</v>
      </c>
      <c r="F98" s="163">
        <v>307.85311899999999</v>
      </c>
      <c r="G98" s="156">
        <v>63001800</v>
      </c>
      <c r="H98" s="161">
        <f t="shared" si="5"/>
        <v>-8.5232941882261604E-2</v>
      </c>
      <c r="I98" s="158">
        <v>44927</v>
      </c>
      <c r="J98" s="159">
        <v>3853.29</v>
      </c>
      <c r="K98" s="159">
        <v>4094.21</v>
      </c>
      <c r="L98" s="159">
        <v>3794.33</v>
      </c>
      <c r="M98" s="169">
        <v>4076.6</v>
      </c>
      <c r="N98" s="160">
        <f t="shared" si="4"/>
        <v>-2.6112446646715304E-2</v>
      </c>
      <c r="O98" s="172">
        <f t="shared" si="6"/>
        <v>186.17635096017159</v>
      </c>
      <c r="P98" s="172">
        <f t="shared" si="7"/>
        <v>102.17093820019147</v>
      </c>
    </row>
    <row r="99" spans="1:16" x14ac:dyDescent="0.2">
      <c r="A99" s="166">
        <v>44958</v>
      </c>
      <c r="B99" s="156">
        <v>322.39001500000001</v>
      </c>
      <c r="C99" s="156">
        <v>341.47000100000002</v>
      </c>
      <c r="D99" s="156">
        <v>292</v>
      </c>
      <c r="E99" s="156">
        <v>296.540009</v>
      </c>
      <c r="F99" s="163">
        <v>281.61389200000002</v>
      </c>
      <c r="G99" s="156">
        <v>74570300</v>
      </c>
      <c r="H99" s="161">
        <f t="shared" si="5"/>
        <v>-4.7885102202274155E-3</v>
      </c>
      <c r="I99" s="158">
        <v>44958</v>
      </c>
      <c r="J99" s="159">
        <v>4070.07</v>
      </c>
      <c r="K99" s="159">
        <v>4195.4399999999996</v>
      </c>
      <c r="L99" s="159">
        <v>3943.08</v>
      </c>
      <c r="M99" s="169">
        <v>3970.15</v>
      </c>
      <c r="N99" s="160">
        <f t="shared" si="4"/>
        <v>3.5051572358727023E-2</v>
      </c>
      <c r="O99" s="172">
        <f t="shared" si="6"/>
        <v>170.30799285893175</v>
      </c>
      <c r="P99" s="172">
        <f t="shared" si="7"/>
        <v>99.503005027594128</v>
      </c>
    </row>
    <row r="100" spans="1:16" x14ac:dyDescent="0.2">
      <c r="A100" s="166">
        <v>44986</v>
      </c>
      <c r="B100" s="156">
        <v>291.92001299999998</v>
      </c>
      <c r="C100" s="156">
        <v>300.10998499999999</v>
      </c>
      <c r="D100" s="156">
        <v>279.92999300000002</v>
      </c>
      <c r="E100" s="156">
        <v>295.11999500000002</v>
      </c>
      <c r="F100" s="163">
        <v>280.26538099999999</v>
      </c>
      <c r="G100" s="156">
        <v>104356200</v>
      </c>
      <c r="H100" s="161">
        <f t="shared" si="5"/>
        <v>2.5739850474076231E-2</v>
      </c>
      <c r="I100" s="158">
        <v>44986</v>
      </c>
      <c r="J100" s="159">
        <v>3963.34</v>
      </c>
      <c r="K100" s="159">
        <v>4110.75</v>
      </c>
      <c r="L100" s="159">
        <v>3808.86</v>
      </c>
      <c r="M100" s="169">
        <v>4109.3100000000004</v>
      </c>
      <c r="N100" s="160">
        <f t="shared" si="4"/>
        <v>1.464236088297044E-2</v>
      </c>
      <c r="O100" s="172">
        <f t="shared" si="6"/>
        <v>169.49247129454034</v>
      </c>
      <c r="P100" s="172">
        <f t="shared" si="7"/>
        <v>102.99074180822963</v>
      </c>
    </row>
    <row r="101" spans="1:16" x14ac:dyDescent="0.2">
      <c r="A101" s="166">
        <v>45017</v>
      </c>
      <c r="B101" s="156">
        <v>294.86999500000002</v>
      </c>
      <c r="C101" s="156">
        <v>303.20001200000002</v>
      </c>
      <c r="D101" s="156">
        <v>284.23998999999998</v>
      </c>
      <c r="E101" s="156">
        <v>300.540009</v>
      </c>
      <c r="F101" s="163">
        <v>287.47937000000002</v>
      </c>
      <c r="G101" s="156">
        <v>62482100</v>
      </c>
      <c r="H101" s="161">
        <f t="shared" si="5"/>
        <v>-5.6864323864352473E-2</v>
      </c>
      <c r="I101" s="158">
        <v>45017</v>
      </c>
      <c r="J101" s="159">
        <v>4102.2</v>
      </c>
      <c r="K101" s="159">
        <v>4170.0600000000004</v>
      </c>
      <c r="L101" s="159">
        <v>4049.35</v>
      </c>
      <c r="M101" s="169">
        <v>4169.4799999999996</v>
      </c>
      <c r="N101" s="160">
        <f t="shared" si="4"/>
        <v>2.4823239348792381E-3</v>
      </c>
      <c r="O101" s="172">
        <f t="shared" si="6"/>
        <v>173.85518216214345</v>
      </c>
      <c r="P101" s="172">
        <f t="shared" si="7"/>
        <v>104.49876941739056</v>
      </c>
    </row>
    <row r="102" spans="1:16" x14ac:dyDescent="0.2">
      <c r="A102" s="166">
        <v>45047</v>
      </c>
      <c r="B102" s="156">
        <v>298.98001099999999</v>
      </c>
      <c r="C102" s="156">
        <v>299.55999800000001</v>
      </c>
      <c r="D102" s="156">
        <v>277.08999599999999</v>
      </c>
      <c r="E102" s="156">
        <v>283.45001200000002</v>
      </c>
      <c r="F102" s="163">
        <v>271.13204999999999</v>
      </c>
      <c r="G102" s="156">
        <v>116748900</v>
      </c>
      <c r="H102" s="161">
        <f t="shared" si="5"/>
        <v>0.10381503403968662</v>
      </c>
      <c r="I102" s="158">
        <v>45047</v>
      </c>
      <c r="J102" s="159">
        <v>4166.79</v>
      </c>
      <c r="K102" s="159">
        <v>4231.1000000000004</v>
      </c>
      <c r="L102" s="159">
        <v>4048.28</v>
      </c>
      <c r="M102" s="169">
        <v>4179.83</v>
      </c>
      <c r="N102" s="160">
        <f t="shared" si="4"/>
        <v>6.4727512841431301E-2</v>
      </c>
      <c r="O102" s="172">
        <f t="shared" si="6"/>
        <v>163.96902477817935</v>
      </c>
      <c r="P102" s="172">
        <f t="shared" si="7"/>
        <v>104.75816921388076</v>
      </c>
    </row>
    <row r="103" spans="1:16" x14ac:dyDescent="0.2">
      <c r="A103" s="166">
        <v>45078</v>
      </c>
      <c r="B103" s="156">
        <v>284.04998799999998</v>
      </c>
      <c r="C103" s="156">
        <v>315.459991</v>
      </c>
      <c r="D103" s="156">
        <v>279.98001099999999</v>
      </c>
      <c r="E103" s="156">
        <v>310.64001500000001</v>
      </c>
      <c r="F103" s="163">
        <v>299.27963299999999</v>
      </c>
      <c r="G103" s="156">
        <v>92363900</v>
      </c>
      <c r="H103" s="161">
        <f t="shared" si="5"/>
        <v>7.4684644511041842E-2</v>
      </c>
      <c r="I103" s="158">
        <v>45078</v>
      </c>
      <c r="J103" s="159">
        <v>4183.03</v>
      </c>
      <c r="K103" s="159">
        <v>4458.4799999999996</v>
      </c>
      <c r="L103" s="159">
        <v>4171.6400000000003</v>
      </c>
      <c r="M103" s="169">
        <v>4450.38</v>
      </c>
      <c r="N103" s="160">
        <f t="shared" si="4"/>
        <v>3.1138913980379268E-2</v>
      </c>
      <c r="O103" s="172">
        <f t="shared" si="6"/>
        <v>180.99147466698025</v>
      </c>
      <c r="P103" s="172">
        <f t="shared" si="7"/>
        <v>111.53890495691708</v>
      </c>
    </row>
    <row r="104" spans="1:16" x14ac:dyDescent="0.2">
      <c r="A104" s="166">
        <v>45108</v>
      </c>
      <c r="B104" s="156">
        <v>309.77999899999998</v>
      </c>
      <c r="C104" s="156">
        <v>334.07000699999998</v>
      </c>
      <c r="D104" s="156">
        <v>300.89001500000001</v>
      </c>
      <c r="E104" s="156">
        <v>333.83999599999999</v>
      </c>
      <c r="F104" s="163">
        <v>321.63122600000003</v>
      </c>
      <c r="G104" s="156">
        <v>58379600</v>
      </c>
      <c r="H104" s="161">
        <f t="shared" si="5"/>
        <v>-1.0604020145730586E-2</v>
      </c>
      <c r="I104" s="158">
        <v>45108</v>
      </c>
      <c r="J104" s="159">
        <v>4450.4799999999996</v>
      </c>
      <c r="K104" s="159">
        <v>4607.07</v>
      </c>
      <c r="L104" s="159">
        <v>4385.05</v>
      </c>
      <c r="M104" s="169">
        <v>4588.96</v>
      </c>
      <c r="N104" s="160">
        <f t="shared" si="4"/>
        <v>-1.771643248143373E-2</v>
      </c>
      <c r="O104" s="172">
        <f t="shared" si="6"/>
        <v>194.50875861201285</v>
      </c>
      <c r="P104" s="172">
        <f t="shared" si="7"/>
        <v>115.01210532383621</v>
      </c>
    </row>
    <row r="105" spans="1:16" x14ac:dyDescent="0.2">
      <c r="A105" s="166">
        <v>45139</v>
      </c>
      <c r="B105" s="156">
        <v>331.76001000000002</v>
      </c>
      <c r="C105" s="156">
        <v>338.17001299999998</v>
      </c>
      <c r="D105" s="156">
        <v>321.20001200000002</v>
      </c>
      <c r="E105" s="156">
        <v>330.29998799999998</v>
      </c>
      <c r="F105" s="163">
        <v>318.220642</v>
      </c>
      <c r="G105" s="156">
        <v>69775900</v>
      </c>
      <c r="H105" s="161">
        <f t="shared" si="5"/>
        <v>-7.9353504038245148E-2</v>
      </c>
      <c r="I105" s="158">
        <v>45139</v>
      </c>
      <c r="J105" s="159">
        <v>4578.83</v>
      </c>
      <c r="K105" s="159">
        <v>4584.62</v>
      </c>
      <c r="L105" s="159">
        <v>4335.3100000000004</v>
      </c>
      <c r="M105" s="169">
        <v>4507.66</v>
      </c>
      <c r="N105" s="160">
        <f t="shared" si="4"/>
        <v>-4.871929116215501E-2</v>
      </c>
      <c r="O105" s="172">
        <f t="shared" si="6"/>
        <v>192.44618381717004</v>
      </c>
      <c r="P105" s="172">
        <f t="shared" si="7"/>
        <v>112.97450112531892</v>
      </c>
    </row>
    <row r="106" spans="1:16" x14ac:dyDescent="0.2">
      <c r="A106" s="166">
        <v>45170</v>
      </c>
      <c r="B106" s="156">
        <v>332</v>
      </c>
      <c r="C106" s="156">
        <v>333.45001200000002</v>
      </c>
      <c r="D106" s="156">
        <v>299.82000699999998</v>
      </c>
      <c r="E106" s="156">
        <v>302.16000400000001</v>
      </c>
      <c r="F106" s="163">
        <v>292.96871900000002</v>
      </c>
      <c r="G106" s="156">
        <v>55801800</v>
      </c>
      <c r="H106" s="161">
        <f t="shared" si="5"/>
        <v>-5.7816984891141288E-2</v>
      </c>
      <c r="I106" s="158">
        <v>45170</v>
      </c>
      <c r="J106" s="159">
        <v>4530.6000000000004</v>
      </c>
      <c r="K106" s="159">
        <v>4541.25</v>
      </c>
      <c r="L106" s="159">
        <v>4238.63</v>
      </c>
      <c r="M106" s="169">
        <v>4288.05</v>
      </c>
      <c r="N106" s="160">
        <f t="shared" si="4"/>
        <v>-2.1979687736850106E-2</v>
      </c>
      <c r="O106" s="172">
        <f t="shared" si="6"/>
        <v>177.17490479248937</v>
      </c>
      <c r="P106" s="172">
        <f t="shared" si="7"/>
        <v>107.4704635110953</v>
      </c>
    </row>
    <row r="107" spans="1:16" x14ac:dyDescent="0.2">
      <c r="A107" s="166">
        <v>45200</v>
      </c>
      <c r="B107" s="156">
        <v>300.51998900000001</v>
      </c>
      <c r="C107" s="156">
        <v>303.45001200000002</v>
      </c>
      <c r="D107" s="156">
        <v>274.26001000000002</v>
      </c>
      <c r="E107" s="156">
        <v>284.69000199999999</v>
      </c>
      <c r="F107" s="163">
        <v>276.03015099999999</v>
      </c>
      <c r="G107" s="156">
        <v>60465900</v>
      </c>
      <c r="H107" s="161">
        <f t="shared" si="5"/>
        <v>0.10116257191048672</v>
      </c>
      <c r="I107" s="158">
        <v>45200</v>
      </c>
      <c r="J107" s="159">
        <v>4284.5200000000004</v>
      </c>
      <c r="K107" s="159">
        <v>4393.57</v>
      </c>
      <c r="L107" s="159">
        <v>4103.78</v>
      </c>
      <c r="M107" s="169">
        <v>4193.8</v>
      </c>
      <c r="N107" s="160">
        <f t="shared" si="4"/>
        <v>8.9179264628737709E-2</v>
      </c>
      <c r="O107" s="172">
        <f t="shared" si="6"/>
        <v>166.9311859990126</v>
      </c>
      <c r="P107" s="172">
        <f t="shared" si="7"/>
        <v>105.10829628218687</v>
      </c>
    </row>
    <row r="108" spans="1:16" x14ac:dyDescent="0.2">
      <c r="A108" s="166">
        <v>45231</v>
      </c>
      <c r="B108" s="156">
        <v>285.58999599999999</v>
      </c>
      <c r="C108" s="156">
        <v>314.57998700000002</v>
      </c>
      <c r="D108" s="156">
        <v>282.01998900000001</v>
      </c>
      <c r="E108" s="156">
        <v>313.48998999999998</v>
      </c>
      <c r="F108" s="163">
        <v>303.954071</v>
      </c>
      <c r="G108" s="156">
        <v>71799500</v>
      </c>
      <c r="H108" s="161">
        <f t="shared" si="5"/>
        <v>0.11288079441449561</v>
      </c>
      <c r="I108" s="158">
        <v>45231</v>
      </c>
      <c r="J108" s="159">
        <v>4201.2700000000004</v>
      </c>
      <c r="K108" s="159">
        <v>4587.6400000000003</v>
      </c>
      <c r="L108" s="159">
        <v>4197.74</v>
      </c>
      <c r="M108" s="169">
        <v>4567.8</v>
      </c>
      <c r="N108" s="160">
        <f t="shared" si="4"/>
        <v>4.4229169403213753E-2</v>
      </c>
      <c r="O108" s="172">
        <f t="shared" si="6"/>
        <v>183.81837410674055</v>
      </c>
      <c r="P108" s="172">
        <f t="shared" si="7"/>
        <v>114.4817768510118</v>
      </c>
    </row>
    <row r="109" spans="1:16" x14ac:dyDescent="0.2">
      <c r="A109" s="166">
        <v>45261</v>
      </c>
      <c r="B109" s="156">
        <v>313.82998700000002</v>
      </c>
      <c r="C109" s="156">
        <v>354.92001299999998</v>
      </c>
      <c r="D109" s="156">
        <v>313</v>
      </c>
      <c r="E109" s="156">
        <v>346.54998799999998</v>
      </c>
      <c r="F109" s="163">
        <v>338.26464800000002</v>
      </c>
      <c r="G109" s="156">
        <v>85111800</v>
      </c>
      <c r="H109" s="161">
        <f t="shared" si="5"/>
        <v>1.8496686062209999E-2</v>
      </c>
      <c r="I109" s="158">
        <v>45261</v>
      </c>
      <c r="J109" s="159">
        <v>4559.43</v>
      </c>
      <c r="K109" s="159">
        <v>4793.3</v>
      </c>
      <c r="L109" s="159">
        <v>4546.5</v>
      </c>
      <c r="M109" s="169">
        <v>4769.83</v>
      </c>
      <c r="N109" s="160">
        <f t="shared" si="4"/>
        <v>1.5895744712075555E-2</v>
      </c>
      <c r="O109" s="172">
        <f t="shared" si="6"/>
        <v>204.56793820389038</v>
      </c>
      <c r="P109" s="172">
        <f t="shared" si="7"/>
        <v>119.5452107529361</v>
      </c>
    </row>
    <row r="110" spans="1:16" x14ac:dyDescent="0.2">
      <c r="A110" s="166">
        <v>45292</v>
      </c>
      <c r="B110" s="156">
        <v>344.209991</v>
      </c>
      <c r="C110" s="156">
        <v>362.959991</v>
      </c>
      <c r="D110" s="156">
        <v>336.58999599999999</v>
      </c>
      <c r="E110" s="156">
        <v>352.959991</v>
      </c>
      <c r="F110" s="163">
        <v>344.52142300000003</v>
      </c>
      <c r="G110" s="156">
        <v>65234300</v>
      </c>
      <c r="H110" s="161">
        <f t="shared" si="5"/>
        <v>7.8337427510276836E-2</v>
      </c>
      <c r="I110" s="158">
        <v>45292</v>
      </c>
      <c r="J110" s="159">
        <v>4745.2</v>
      </c>
      <c r="K110" s="159">
        <v>4931.09</v>
      </c>
      <c r="L110" s="159">
        <v>4682.1099999999997</v>
      </c>
      <c r="M110" s="169">
        <v>4845.6499999999996</v>
      </c>
      <c r="N110" s="160">
        <f t="shared" si="4"/>
        <v>5.1720615397315317E-2</v>
      </c>
      <c r="O110" s="172">
        <f t="shared" si="6"/>
        <v>208.35176713524132</v>
      </c>
      <c r="P110" s="172">
        <f t="shared" si="7"/>
        <v>121.44547090461606</v>
      </c>
    </row>
    <row r="111" spans="1:16" x14ac:dyDescent="0.2">
      <c r="A111" s="166">
        <v>45323</v>
      </c>
      <c r="B111" s="156">
        <v>353.39999399999999</v>
      </c>
      <c r="C111" s="156">
        <v>381.77999899999998</v>
      </c>
      <c r="D111" s="156">
        <v>350.01998900000001</v>
      </c>
      <c r="E111" s="156">
        <v>380.60998499999999</v>
      </c>
      <c r="F111" s="163">
        <v>371.51034499999997</v>
      </c>
      <c r="G111" s="156">
        <v>61630600</v>
      </c>
      <c r="H111" s="161">
        <f t="shared" si="5"/>
        <v>7.8559858138003147E-3</v>
      </c>
      <c r="I111" s="158">
        <v>45323</v>
      </c>
      <c r="J111" s="159">
        <v>4861.1099999999997</v>
      </c>
      <c r="K111" s="159">
        <v>5111.0600000000004</v>
      </c>
      <c r="L111" s="159">
        <v>4853.5200000000004</v>
      </c>
      <c r="M111" s="169">
        <v>5096.2700000000004</v>
      </c>
      <c r="N111" s="160">
        <f t="shared" si="4"/>
        <v>3.1018764704381807E-2</v>
      </c>
      <c r="O111" s="172">
        <f t="shared" si="6"/>
        <v>224.67350858983642</v>
      </c>
      <c r="P111" s="172">
        <f t="shared" si="7"/>
        <v>127.72670539701953</v>
      </c>
    </row>
    <row r="112" spans="1:16" x14ac:dyDescent="0.2">
      <c r="A112" s="166">
        <v>45352</v>
      </c>
      <c r="B112" s="156">
        <v>380.35998499999999</v>
      </c>
      <c r="C112" s="156">
        <v>396.86999500000002</v>
      </c>
      <c r="D112" s="156">
        <v>368.86999500000002</v>
      </c>
      <c r="E112" s="156">
        <v>383.60000600000001</v>
      </c>
      <c r="F112" s="163">
        <v>374.42892499999999</v>
      </c>
      <c r="G112" s="156">
        <v>66830600</v>
      </c>
      <c r="H112" s="161">
        <f t="shared" si="5"/>
        <v>-0.12351695852557321</v>
      </c>
      <c r="I112" s="158">
        <v>45352</v>
      </c>
      <c r="J112" s="159">
        <v>5098.51</v>
      </c>
      <c r="K112" s="159">
        <v>5264.85</v>
      </c>
      <c r="L112" s="159">
        <v>5056.82</v>
      </c>
      <c r="M112" s="169">
        <v>5254.35</v>
      </c>
      <c r="N112" s="160">
        <f t="shared" si="4"/>
        <v>-4.1615042774082567E-2</v>
      </c>
      <c r="O112" s="172">
        <f t="shared" si="6"/>
        <v>226.4385404860549</v>
      </c>
      <c r="P112" s="172">
        <f t="shared" si="7"/>
        <v>131.6886300181956</v>
      </c>
    </row>
    <row r="113" spans="1:16" x14ac:dyDescent="0.2">
      <c r="A113" s="166">
        <v>45383</v>
      </c>
      <c r="B113" s="156">
        <v>381.47000100000002</v>
      </c>
      <c r="C113" s="156">
        <v>383.14001500000001</v>
      </c>
      <c r="D113" s="156">
        <v>326.89999399999999</v>
      </c>
      <c r="E113" s="156">
        <v>334.22000100000002</v>
      </c>
      <c r="F113" s="163">
        <v>328.18060300000002</v>
      </c>
      <c r="G113" s="156">
        <v>83562400</v>
      </c>
      <c r="H113" s="161">
        <f t="shared" si="5"/>
        <v>1.9447980598656933E-3</v>
      </c>
      <c r="I113" s="158">
        <v>45383</v>
      </c>
      <c r="J113" s="159">
        <v>5257.97</v>
      </c>
      <c r="K113" s="159">
        <v>5263.95</v>
      </c>
      <c r="L113" s="159">
        <v>4953.5600000000004</v>
      </c>
      <c r="M113" s="169">
        <v>5035.6899999999996</v>
      </c>
      <c r="N113" s="160">
        <f t="shared" si="4"/>
        <v>4.8021224499522619E-2</v>
      </c>
      <c r="O113" s="172">
        <f t="shared" si="6"/>
        <v>198.46954067224749</v>
      </c>
      <c r="P113" s="172">
        <f t="shared" si="7"/>
        <v>126.20840204712805</v>
      </c>
    </row>
    <row r="114" spans="1:16" x14ac:dyDescent="0.2">
      <c r="A114" s="166">
        <v>45413</v>
      </c>
      <c r="B114" s="156">
        <v>333.01001000000002</v>
      </c>
      <c r="C114" s="156">
        <v>350.44000199999999</v>
      </c>
      <c r="D114" s="156">
        <v>323.76998900000001</v>
      </c>
      <c r="E114" s="156">
        <v>334.86999500000002</v>
      </c>
      <c r="F114" s="163">
        <v>328.818848</v>
      </c>
      <c r="G114" s="156">
        <v>81270400</v>
      </c>
      <c r="H114" s="161">
        <f t="shared" si="5"/>
        <v>3.5127262534536907E-2</v>
      </c>
      <c r="I114" s="158">
        <v>45413</v>
      </c>
      <c r="J114" s="159">
        <v>5029.03</v>
      </c>
      <c r="K114" s="159">
        <v>5341.88</v>
      </c>
      <c r="L114" s="159">
        <v>5011.05</v>
      </c>
      <c r="M114" s="169">
        <v>5277.51</v>
      </c>
      <c r="N114" s="160">
        <f t="shared" si="4"/>
        <v>3.4669759034089864E-2</v>
      </c>
      <c r="O114" s="172">
        <f t="shared" si="6"/>
        <v>198.85552384988932</v>
      </c>
      <c r="P114" s="172">
        <f t="shared" si="7"/>
        <v>132.26908405555918</v>
      </c>
    </row>
    <row r="115" spans="1:16" x14ac:dyDescent="0.2">
      <c r="A115" s="166">
        <v>45444</v>
      </c>
      <c r="B115" s="156">
        <v>333.64999399999999</v>
      </c>
      <c r="C115" s="156">
        <v>357.69000199999999</v>
      </c>
      <c r="D115" s="156">
        <v>323.92999300000002</v>
      </c>
      <c r="E115" s="156">
        <v>344.23998999999998</v>
      </c>
      <c r="F115" s="163">
        <v>340.36935399999999</v>
      </c>
      <c r="G115" s="156">
        <v>71174400</v>
      </c>
      <c r="H115" s="161">
        <f t="shared" si="5"/>
        <v>6.9486461463272642E-2</v>
      </c>
      <c r="I115" s="158">
        <v>45444</v>
      </c>
      <c r="J115" s="159">
        <v>5297.15</v>
      </c>
      <c r="K115" s="159">
        <v>5523.64</v>
      </c>
      <c r="L115" s="159">
        <v>5234.32</v>
      </c>
      <c r="M115" s="169">
        <v>5460.48</v>
      </c>
      <c r="N115" s="160">
        <f t="shared" si="4"/>
        <v>1.1321349038912354E-2</v>
      </c>
      <c r="O115" s="172">
        <f t="shared" si="6"/>
        <v>205.84077404260728</v>
      </c>
      <c r="P115" s="172">
        <f t="shared" si="7"/>
        <v>136.85482132742519</v>
      </c>
    </row>
    <row r="116" spans="1:16" x14ac:dyDescent="0.2">
      <c r="A116" s="166">
        <v>45474</v>
      </c>
      <c r="B116" s="156">
        <v>343.92001299999998</v>
      </c>
      <c r="C116" s="156">
        <v>375.73998999999998</v>
      </c>
      <c r="D116" s="156">
        <v>331.64001500000001</v>
      </c>
      <c r="E116" s="156">
        <v>368.16000400000001</v>
      </c>
      <c r="F116" s="163">
        <v>364.02041600000001</v>
      </c>
      <c r="G116" s="156">
        <v>67270400</v>
      </c>
      <c r="H116" s="161">
        <f t="shared" si="5"/>
        <v>9.235251244810172E-4</v>
      </c>
      <c r="I116" s="158">
        <v>45474</v>
      </c>
      <c r="J116" s="159">
        <v>5471.08</v>
      </c>
      <c r="K116" s="159">
        <v>5669.67</v>
      </c>
      <c r="L116" s="159">
        <v>5390.95</v>
      </c>
      <c r="M116" s="169">
        <v>5522.3</v>
      </c>
      <c r="N116" s="160">
        <f t="shared" si="4"/>
        <v>2.2834688445031892E-2</v>
      </c>
      <c r="O116" s="172">
        <f t="shared" si="6"/>
        <v>220.14392105568911</v>
      </c>
      <c r="P116" s="172">
        <f t="shared" si="7"/>
        <v>138.40420252733097</v>
      </c>
    </row>
    <row r="117" spans="1:16" x14ac:dyDescent="0.2">
      <c r="A117" s="166">
        <v>45505</v>
      </c>
      <c r="B117" s="156">
        <v>369.98998999999998</v>
      </c>
      <c r="C117" s="156">
        <v>378.57998700000002</v>
      </c>
      <c r="D117" s="156">
        <v>339.36999500000002</v>
      </c>
      <c r="E117" s="156">
        <v>368.5</v>
      </c>
      <c r="F117" s="163">
        <v>364.35659800000002</v>
      </c>
      <c r="G117" s="156">
        <v>77006500</v>
      </c>
      <c r="H117" s="161">
        <f t="shared" si="5"/>
        <v>0.10627169979230056</v>
      </c>
      <c r="I117" s="158">
        <v>45505</v>
      </c>
      <c r="J117" s="159">
        <v>5537.84</v>
      </c>
      <c r="K117" s="159">
        <v>5651.62</v>
      </c>
      <c r="L117" s="159">
        <v>5119.26</v>
      </c>
      <c r="M117" s="169">
        <v>5648.4</v>
      </c>
      <c r="N117" s="160">
        <f t="shared" si="4"/>
        <v>2.0196869910062976E-2</v>
      </c>
      <c r="O117" s="172">
        <f t="shared" si="6"/>
        <v>220.34722949778578</v>
      </c>
      <c r="P117" s="172">
        <f t="shared" si="7"/>
        <v>141.56461937152568</v>
      </c>
    </row>
    <row r="118" spans="1:16" x14ac:dyDescent="0.2">
      <c r="A118" s="166">
        <v>45536</v>
      </c>
      <c r="B118" s="156">
        <v>367.89999399999999</v>
      </c>
      <c r="C118" s="156">
        <v>405.30999800000001</v>
      </c>
      <c r="D118" s="156">
        <v>357.57998700000002</v>
      </c>
      <c r="E118" s="156">
        <v>405.20001200000002</v>
      </c>
      <c r="F118" s="163">
        <v>403.07739299999997</v>
      </c>
      <c r="G118" s="156">
        <v>62996700</v>
      </c>
      <c r="H118" s="161">
        <f t="shared" si="5"/>
        <v>-2.8257637857650675E-2</v>
      </c>
      <c r="I118" s="158">
        <v>45536</v>
      </c>
      <c r="J118" s="159">
        <v>5623.89</v>
      </c>
      <c r="K118" s="159">
        <v>5767.37</v>
      </c>
      <c r="L118" s="159">
        <v>5402.62</v>
      </c>
      <c r="M118" s="169">
        <v>5762.48</v>
      </c>
      <c r="N118" s="160">
        <f t="shared" si="4"/>
        <v>-9.8967805528175079E-3</v>
      </c>
      <c r="O118" s="172">
        <f t="shared" si="6"/>
        <v>243.76390412103967</v>
      </c>
      <c r="P118" s="172">
        <f t="shared" si="7"/>
        <v>144.42378157283994</v>
      </c>
    </row>
    <row r="119" spans="1:16" x14ac:dyDescent="0.2">
      <c r="A119" s="166">
        <v>45566</v>
      </c>
      <c r="B119" s="156">
        <v>404.01998900000001</v>
      </c>
      <c r="C119" s="156">
        <v>421.55999800000001</v>
      </c>
      <c r="D119" s="156">
        <v>389.04998799999998</v>
      </c>
      <c r="E119" s="156">
        <v>393.75</v>
      </c>
      <c r="F119" s="163">
        <v>391.68737800000002</v>
      </c>
      <c r="G119" s="156">
        <v>70786300</v>
      </c>
      <c r="H119" s="161">
        <f t="shared" si="5"/>
        <v>8.9853985542521109E-2</v>
      </c>
      <c r="I119" s="158">
        <v>45566</v>
      </c>
      <c r="J119" s="159">
        <v>5757.73</v>
      </c>
      <c r="K119" s="159">
        <v>5878.46</v>
      </c>
      <c r="L119" s="159">
        <v>5674</v>
      </c>
      <c r="M119" s="169">
        <v>5705.45</v>
      </c>
      <c r="N119" s="160">
        <f t="shared" si="4"/>
        <v>5.7301352215863854E-2</v>
      </c>
      <c r="O119" s="172">
        <f t="shared" si="6"/>
        <v>236.87571199562024</v>
      </c>
      <c r="P119" s="172">
        <f t="shared" si="7"/>
        <v>142.99445110000551</v>
      </c>
    </row>
    <row r="120" spans="1:16" x14ac:dyDescent="0.2">
      <c r="A120" s="166">
        <v>45597</v>
      </c>
      <c r="B120" s="156">
        <v>394.79998799999998</v>
      </c>
      <c r="C120" s="156">
        <v>439.36999500000002</v>
      </c>
      <c r="D120" s="156">
        <v>381.72000100000002</v>
      </c>
      <c r="E120" s="156">
        <v>429.13000499999998</v>
      </c>
      <c r="F120" s="163">
        <v>426.88204999999999</v>
      </c>
      <c r="G120" s="156">
        <v>74404900</v>
      </c>
      <c r="H120" s="161">
        <f t="shared" si="5"/>
        <v>-8.8764706784930425E-2</v>
      </c>
      <c r="I120" s="158">
        <v>45597</v>
      </c>
      <c r="J120" s="159">
        <v>5723.22</v>
      </c>
      <c r="K120" s="159">
        <v>6044.17</v>
      </c>
      <c r="L120" s="159">
        <v>5696.51</v>
      </c>
      <c r="M120" s="169">
        <v>6032.38</v>
      </c>
      <c r="N120" s="160">
        <f t="shared" si="4"/>
        <v>-2.4990136563014964E-2</v>
      </c>
      <c r="O120" s="172">
        <f t="shared" si="6"/>
        <v>258.15993879664904</v>
      </c>
      <c r="P120" s="172">
        <f t="shared" si="7"/>
        <v>151.18822650740105</v>
      </c>
    </row>
    <row r="121" spans="1:16" ht="16" thickBot="1" x14ac:dyDescent="0.25">
      <c r="A121" s="167">
        <v>45627</v>
      </c>
      <c r="B121" s="162">
        <v>429</v>
      </c>
      <c r="C121" s="162">
        <v>436.35998499999999</v>
      </c>
      <c r="D121" s="162">
        <v>383.04998799999998</v>
      </c>
      <c r="E121" s="162">
        <v>388.98998999999998</v>
      </c>
      <c r="F121" s="164">
        <v>388.98998999999998</v>
      </c>
      <c r="G121" s="162">
        <v>65467100</v>
      </c>
      <c r="H121" s="161">
        <f t="shared" si="5"/>
        <v>-1</v>
      </c>
      <c r="I121" s="158">
        <v>45627</v>
      </c>
      <c r="J121" s="159">
        <v>6040.11</v>
      </c>
      <c r="K121" s="159">
        <v>6099.97</v>
      </c>
      <c r="L121" s="159">
        <v>5832.3</v>
      </c>
      <c r="M121" s="169">
        <v>5881.63</v>
      </c>
      <c r="N121" s="160">
        <f t="shared" si="4"/>
        <v>-1</v>
      </c>
      <c r="O121" s="172">
        <f t="shared" si="6"/>
        <v>235.24444752574891</v>
      </c>
      <c r="P121" s="172">
        <f t="shared" si="7"/>
        <v>147.41001208026105</v>
      </c>
    </row>
  </sheetData>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BB5D-420C-D34D-AC22-6A72AE7AE282}">
  <dimension ref="A4:L36"/>
  <sheetViews>
    <sheetView workbookViewId="0">
      <selection activeCell="N73" sqref="N73"/>
    </sheetView>
  </sheetViews>
  <sheetFormatPr baseColWidth="10" defaultColWidth="8.83203125" defaultRowHeight="13" x14ac:dyDescent="0.15"/>
  <cols>
    <col min="1" max="1" width="50" style="20" customWidth="1"/>
    <col min="2" max="3" width="11.6640625" style="20" bestFit="1" customWidth="1"/>
    <col min="4" max="11" width="12.6640625" style="20" bestFit="1" customWidth="1"/>
    <col min="12" max="191" width="12" style="20" customWidth="1"/>
    <col min="192" max="16384" width="8.83203125" style="20"/>
  </cols>
  <sheetData>
    <row r="4" spans="1:12" x14ac:dyDescent="0.15">
      <c r="A4" s="21" t="s">
        <v>0</v>
      </c>
    </row>
    <row r="5" spans="1:12" ht="20" x14ac:dyDescent="0.2">
      <c r="A5" s="22" t="s">
        <v>161</v>
      </c>
    </row>
    <row r="7" spans="1:12" ht="14" x14ac:dyDescent="0.15">
      <c r="A7" s="23" t="s">
        <v>2</v>
      </c>
    </row>
    <row r="10" spans="1:12" ht="14" x14ac:dyDescent="0.15">
      <c r="A10" s="24" t="s">
        <v>3</v>
      </c>
    </row>
    <row r="11" spans="1:12" ht="14" x14ac:dyDescent="0.15">
      <c r="A11" s="25" t="s">
        <v>4</v>
      </c>
      <c r="B11" s="26" t="s">
        <v>162</v>
      </c>
      <c r="C11" s="26" t="s">
        <v>163</v>
      </c>
      <c r="D11" s="26" t="s">
        <v>164</v>
      </c>
      <c r="E11" s="26" t="s">
        <v>165</v>
      </c>
      <c r="F11" s="26" t="s">
        <v>166</v>
      </c>
      <c r="G11" s="26" t="s">
        <v>167</v>
      </c>
      <c r="H11" s="26" t="s">
        <v>168</v>
      </c>
      <c r="I11" s="26" t="s">
        <v>169</v>
      </c>
      <c r="J11" s="26" t="s">
        <v>170</v>
      </c>
      <c r="K11" s="26" t="s">
        <v>171</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x14ac:dyDescent="0.15">
      <c r="A16" s="27" t="s">
        <v>23</v>
      </c>
      <c r="B16" s="72">
        <v>584588</v>
      </c>
      <c r="C16" s="72">
        <v>784012</v>
      </c>
      <c r="D16" s="72">
        <v>1050759</v>
      </c>
      <c r="E16" s="72">
        <v>1384767</v>
      </c>
      <c r="F16" s="72">
        <v>1709848</v>
      </c>
      <c r="G16" s="72">
        <v>2045456</v>
      </c>
      <c r="H16" s="72">
        <v>2425788</v>
      </c>
      <c r="I16" s="72">
        <v>3433533</v>
      </c>
      <c r="J16" s="72">
        <v>4264473</v>
      </c>
      <c r="K16" s="72">
        <v>4413884</v>
      </c>
      <c r="L16" s="27"/>
    </row>
    <row r="17" spans="1:12" s="29" customFormat="1" ht="14" x14ac:dyDescent="0.15">
      <c r="A17" s="28" t="s">
        <v>24</v>
      </c>
      <c r="B17" s="73">
        <v>584588</v>
      </c>
      <c r="C17" s="73">
        <v>784012</v>
      </c>
      <c r="D17" s="73">
        <v>1050759</v>
      </c>
      <c r="E17" s="73">
        <v>1384767</v>
      </c>
      <c r="F17" s="73">
        <v>1709848</v>
      </c>
      <c r="G17" s="73">
        <v>2045456</v>
      </c>
      <c r="H17" s="73">
        <v>2425788</v>
      </c>
      <c r="I17" s="73">
        <v>3433533</v>
      </c>
      <c r="J17" s="73">
        <v>4264473</v>
      </c>
      <c r="K17" s="73">
        <v>4413884</v>
      </c>
      <c r="L17" s="28"/>
    </row>
    <row r="18" spans="1:12" x14ac:dyDescent="0.15">
      <c r="A18" s="27" t="s">
        <v>204</v>
      </c>
      <c r="B18" s="72">
        <v>355051</v>
      </c>
      <c r="C18" s="72">
        <v>471390</v>
      </c>
      <c r="D18" s="72">
        <v>621497</v>
      </c>
      <c r="E18" s="72">
        <v>812203</v>
      </c>
      <c r="F18" s="72">
        <v>1007580</v>
      </c>
      <c r="G18" s="72">
        <v>1182442</v>
      </c>
      <c r="H18" s="72">
        <v>1390896</v>
      </c>
      <c r="I18" s="72">
        <v>2011267</v>
      </c>
      <c r="J18" s="72">
        <v>2536757</v>
      </c>
      <c r="K18" s="72">
        <v>2555536</v>
      </c>
      <c r="L18" s="27"/>
    </row>
    <row r="19" spans="1:12" s="29" customFormat="1" ht="14" x14ac:dyDescent="0.15">
      <c r="A19" s="28" t="s">
        <v>25</v>
      </c>
      <c r="B19" s="73">
        <v>229537</v>
      </c>
      <c r="C19" s="73">
        <v>312622</v>
      </c>
      <c r="D19" s="73">
        <v>429262</v>
      </c>
      <c r="E19" s="73">
        <v>572564</v>
      </c>
      <c r="F19" s="73">
        <v>702268</v>
      </c>
      <c r="G19" s="73">
        <v>863014</v>
      </c>
      <c r="H19" s="73">
        <v>1034892</v>
      </c>
      <c r="I19" s="73">
        <v>1422266</v>
      </c>
      <c r="J19" s="73">
        <v>1727716</v>
      </c>
      <c r="K19" s="73">
        <v>1858348</v>
      </c>
      <c r="L19" s="28"/>
    </row>
    <row r="20" spans="1:12" x14ac:dyDescent="0.15">
      <c r="A20" s="27" t="s">
        <v>26</v>
      </c>
      <c r="B20" s="72">
        <v>185469</v>
      </c>
      <c r="C20" s="72">
        <v>252554</v>
      </c>
      <c r="D20" s="72">
        <v>335901</v>
      </c>
      <c r="E20" s="72">
        <v>438308</v>
      </c>
      <c r="F20" s="72">
        <v>544822</v>
      </c>
      <c r="G20" s="72">
        <v>679239</v>
      </c>
      <c r="H20" s="72">
        <v>798815</v>
      </c>
      <c r="I20" s="72">
        <v>1048841</v>
      </c>
      <c r="J20" s="72">
        <v>1292314</v>
      </c>
      <c r="K20" s="72">
        <v>1491938</v>
      </c>
      <c r="L20" s="27"/>
    </row>
    <row r="21" spans="1:12" x14ac:dyDescent="0.15">
      <c r="A21" s="27" t="s">
        <v>208</v>
      </c>
      <c r="B21" s="72">
        <v>10387</v>
      </c>
      <c r="C21" s="72">
        <v>7676</v>
      </c>
      <c r="D21" s="72">
        <v>24232</v>
      </c>
      <c r="E21" s="72">
        <v>16485</v>
      </c>
      <c r="F21" s="72">
        <v>26145</v>
      </c>
      <c r="G21" s="72">
        <v>24594</v>
      </c>
      <c r="H21" s="72">
        <v>21498</v>
      </c>
      <c r="I21" s="72">
        <v>34433</v>
      </c>
      <c r="J21" s="72">
        <v>38642</v>
      </c>
      <c r="K21" s="72">
        <v>44982</v>
      </c>
      <c r="L21" s="27"/>
    </row>
    <row r="22" spans="1:12" s="29" customFormat="1" ht="14" x14ac:dyDescent="0.15">
      <c r="A22" s="28" t="s">
        <v>43</v>
      </c>
      <c r="B22" s="73">
        <v>195856</v>
      </c>
      <c r="C22" s="73">
        <v>260230</v>
      </c>
      <c r="D22" s="73">
        <v>360133</v>
      </c>
      <c r="E22" s="73">
        <v>454793</v>
      </c>
      <c r="F22" s="73">
        <v>570967</v>
      </c>
      <c r="G22" s="73">
        <v>703833</v>
      </c>
      <c r="H22" s="73">
        <v>820313</v>
      </c>
      <c r="I22" s="73">
        <v>1083274</v>
      </c>
      <c r="J22" s="73">
        <v>1330956</v>
      </c>
      <c r="K22" s="73">
        <v>1536920</v>
      </c>
      <c r="L22" s="28"/>
    </row>
    <row r="23" spans="1:12" s="29" customFormat="1" ht="14" x14ac:dyDescent="0.15">
      <c r="A23" s="28" t="s">
        <v>28</v>
      </c>
      <c r="B23" s="73">
        <v>33681</v>
      </c>
      <c r="C23" s="73">
        <v>52392</v>
      </c>
      <c r="D23" s="73">
        <v>69129</v>
      </c>
      <c r="E23" s="73">
        <v>117771</v>
      </c>
      <c r="F23" s="73">
        <v>131301</v>
      </c>
      <c r="G23" s="73">
        <v>159181</v>
      </c>
      <c r="H23" s="73">
        <v>214579</v>
      </c>
      <c r="I23" s="73">
        <v>338992</v>
      </c>
      <c r="J23" s="73">
        <v>396760</v>
      </c>
      <c r="K23" s="73">
        <v>321428</v>
      </c>
      <c r="L23" s="28"/>
    </row>
    <row r="24" spans="1:12" x14ac:dyDescent="0.15">
      <c r="A24" s="27" t="s">
        <v>206</v>
      </c>
      <c r="B24" s="72">
        <v>-8949</v>
      </c>
      <c r="C24" s="72">
        <v>-9386</v>
      </c>
      <c r="D24" s="72">
        <v>-12803</v>
      </c>
      <c r="E24" s="72">
        <v>-13777</v>
      </c>
      <c r="F24" s="72">
        <v>-8917</v>
      </c>
      <c r="G24" s="72">
        <v>-8801</v>
      </c>
      <c r="H24" s="72">
        <v>-8389</v>
      </c>
      <c r="I24" s="72">
        <v>-4924</v>
      </c>
      <c r="J24" s="72">
        <v>-11138</v>
      </c>
      <c r="K24" s="72">
        <v>-9897</v>
      </c>
      <c r="L24" s="27"/>
    </row>
    <row r="25" spans="1:12" x14ac:dyDescent="0.15">
      <c r="A25" s="27" t="s">
        <v>29</v>
      </c>
      <c r="B25" s="72">
        <v>-8949</v>
      </c>
      <c r="C25" s="72">
        <v>-9386</v>
      </c>
      <c r="D25" s="72">
        <v>-14616</v>
      </c>
      <c r="E25" s="72">
        <v>-19219</v>
      </c>
      <c r="F25" s="72">
        <v>-8917</v>
      </c>
      <c r="G25" s="72">
        <v>-8801</v>
      </c>
      <c r="H25" s="72">
        <v>-7374</v>
      </c>
      <c r="I25" s="72">
        <v>-4924</v>
      </c>
      <c r="J25" s="72">
        <v>-11138</v>
      </c>
      <c r="K25" s="72">
        <v>-9897</v>
      </c>
      <c r="L25" s="27"/>
    </row>
    <row r="26" spans="1:12" x14ac:dyDescent="0.15">
      <c r="A26" s="27" t="s">
        <v>30</v>
      </c>
      <c r="B26" s="72">
        <v>24732</v>
      </c>
      <c r="C26" s="72">
        <v>43006</v>
      </c>
      <c r="D26" s="72">
        <v>54513</v>
      </c>
      <c r="E26" s="72">
        <v>98552</v>
      </c>
      <c r="F26" s="72">
        <v>122384</v>
      </c>
      <c r="G26" s="72">
        <v>150380</v>
      </c>
      <c r="H26" s="72">
        <v>207205</v>
      </c>
      <c r="I26" s="72">
        <v>334068</v>
      </c>
      <c r="J26" s="72">
        <v>385622</v>
      </c>
      <c r="K26" s="72">
        <v>311531</v>
      </c>
      <c r="L26" s="27"/>
    </row>
    <row r="27" spans="1:12" x14ac:dyDescent="0.15">
      <c r="A27" s="27" t="s">
        <v>31</v>
      </c>
      <c r="B27" s="72">
        <v>9634</v>
      </c>
      <c r="C27" s="72">
        <v>16199</v>
      </c>
      <c r="D27" s="72">
        <v>11474</v>
      </c>
      <c r="E27" s="72">
        <v>-4236</v>
      </c>
      <c r="F27" s="72">
        <v>6197</v>
      </c>
      <c r="G27" s="72">
        <v>-251</v>
      </c>
      <c r="H27" s="72">
        <v>12224</v>
      </c>
      <c r="I27" s="72">
        <v>50838</v>
      </c>
      <c r="J27" s="72">
        <v>87427</v>
      </c>
      <c r="K27" s="72">
        <v>65551</v>
      </c>
      <c r="L27" s="27"/>
    </row>
    <row r="28" spans="1:12" s="29" customFormat="1" ht="14" x14ac:dyDescent="0.15">
      <c r="A28" s="28" t="s">
        <v>32</v>
      </c>
      <c r="B28" s="73">
        <v>15098</v>
      </c>
      <c r="C28" s="73">
        <v>26807</v>
      </c>
      <c r="D28" s="73">
        <v>43039</v>
      </c>
      <c r="E28" s="73">
        <v>102788</v>
      </c>
      <c r="F28" s="73">
        <v>116187</v>
      </c>
      <c r="G28" s="73">
        <v>150631</v>
      </c>
      <c r="H28" s="73">
        <v>194981</v>
      </c>
      <c r="I28" s="73">
        <v>283230</v>
      </c>
      <c r="J28" s="73">
        <v>298195</v>
      </c>
      <c r="K28" s="73">
        <v>245980</v>
      </c>
      <c r="L28" s="28"/>
    </row>
    <row r="29" spans="1:12" x14ac:dyDescent="0.15">
      <c r="A29" s="27" t="s">
        <v>34</v>
      </c>
      <c r="B29" s="72">
        <v>15098</v>
      </c>
      <c r="C29" s="72">
        <v>26807</v>
      </c>
      <c r="D29" s="72">
        <v>43039</v>
      </c>
      <c r="E29" s="72">
        <v>102788</v>
      </c>
      <c r="F29" s="72">
        <v>116187</v>
      </c>
      <c r="G29" s="72">
        <v>150631</v>
      </c>
      <c r="H29" s="72">
        <v>194981</v>
      </c>
      <c r="I29" s="72">
        <v>283230</v>
      </c>
      <c r="J29" s="72">
        <v>298195</v>
      </c>
      <c r="K29" s="72">
        <v>245980</v>
      </c>
      <c r="L29" s="27"/>
    </row>
    <row r="30" spans="1:12" x14ac:dyDescent="0.15">
      <c r="A30" s="27" t="s">
        <v>35</v>
      </c>
      <c r="B30" s="72">
        <v>83222.33</v>
      </c>
      <c r="C30" s="72">
        <v>83365.217999999993</v>
      </c>
      <c r="D30" s="72">
        <v>83432.157000000007</v>
      </c>
      <c r="E30" s="72">
        <v>90951</v>
      </c>
      <c r="F30" s="72">
        <v>96770</v>
      </c>
      <c r="G30" s="72">
        <v>99435</v>
      </c>
      <c r="H30" s="72">
        <v>102690</v>
      </c>
      <c r="I30" s="72">
        <v>104683</v>
      </c>
      <c r="J30" s="72">
        <v>105626</v>
      </c>
      <c r="K30" s="72">
        <v>106264</v>
      </c>
      <c r="L30" s="27"/>
    </row>
    <row r="31" spans="1:12" x14ac:dyDescent="0.15">
      <c r="A31" s="27" t="s">
        <v>36</v>
      </c>
      <c r="B31" s="72">
        <v>0.18</v>
      </c>
      <c r="C31" s="72">
        <v>0.32</v>
      </c>
      <c r="D31" s="72">
        <v>0.52</v>
      </c>
      <c r="E31" s="72">
        <v>1.1299999999999999</v>
      </c>
      <c r="F31" s="72">
        <v>1.2</v>
      </c>
      <c r="G31" s="72">
        <v>1.51</v>
      </c>
      <c r="H31" s="72">
        <v>1.9</v>
      </c>
      <c r="I31" s="72">
        <v>2.71</v>
      </c>
      <c r="J31" s="72">
        <v>2.82</v>
      </c>
      <c r="K31" s="72">
        <v>2.31</v>
      </c>
      <c r="L31" s="27"/>
    </row>
    <row r="32" spans="1:12" x14ac:dyDescent="0.15">
      <c r="A32" s="27" t="s">
        <v>37</v>
      </c>
      <c r="B32" s="72">
        <v>0.18</v>
      </c>
      <c r="C32" s="72">
        <v>0.32</v>
      </c>
      <c r="D32" s="72">
        <v>0.52</v>
      </c>
      <c r="E32" s="72">
        <v>1.1299999999999999</v>
      </c>
      <c r="F32" s="72">
        <v>1.2</v>
      </c>
      <c r="G32" s="72">
        <v>1.51</v>
      </c>
      <c r="H32" s="72">
        <v>1.9</v>
      </c>
      <c r="I32" s="72">
        <v>2.71</v>
      </c>
      <c r="J32" s="72">
        <v>2.82</v>
      </c>
      <c r="K32" s="72">
        <v>2.31</v>
      </c>
      <c r="L32" s="27"/>
    </row>
    <row r="33" spans="1:12" x14ac:dyDescent="0.15">
      <c r="A33" s="27" t="s">
        <v>38</v>
      </c>
      <c r="B33" s="72">
        <v>85651.748999999996</v>
      </c>
      <c r="C33" s="72">
        <v>86280.907000000007</v>
      </c>
      <c r="D33" s="72">
        <v>88430.986999999994</v>
      </c>
      <c r="E33" s="72">
        <v>99660</v>
      </c>
      <c r="F33" s="72">
        <v>104561</v>
      </c>
      <c r="G33" s="72">
        <v>104962</v>
      </c>
      <c r="H33" s="72">
        <v>106142</v>
      </c>
      <c r="I33" s="72">
        <v>107390</v>
      </c>
      <c r="J33" s="72">
        <v>107443</v>
      </c>
      <c r="K33" s="72">
        <v>107882</v>
      </c>
      <c r="L33" s="27"/>
    </row>
    <row r="34" spans="1:12" x14ac:dyDescent="0.15">
      <c r="A34" s="27" t="s">
        <v>39</v>
      </c>
      <c r="B34" s="72">
        <v>0.18</v>
      </c>
      <c r="C34" s="72">
        <v>0.31</v>
      </c>
      <c r="D34" s="72">
        <v>0.49</v>
      </c>
      <c r="E34" s="72">
        <v>1.03</v>
      </c>
      <c r="F34" s="72">
        <v>1.1100000000000001</v>
      </c>
      <c r="G34" s="72">
        <v>1.44</v>
      </c>
      <c r="H34" s="72">
        <v>1.84</v>
      </c>
      <c r="I34" s="72">
        <v>2.64</v>
      </c>
      <c r="J34" s="72">
        <v>2.78</v>
      </c>
      <c r="K34" s="72">
        <v>2.2799999999999998</v>
      </c>
      <c r="L34" s="27"/>
    </row>
    <row r="35" spans="1:12" x14ac:dyDescent="0.15">
      <c r="A35" s="27" t="s">
        <v>40</v>
      </c>
      <c r="B35" s="72">
        <v>0.18</v>
      </c>
      <c r="C35" s="72">
        <v>0.31</v>
      </c>
      <c r="D35" s="72">
        <v>0.49</v>
      </c>
      <c r="E35" s="72">
        <v>1.03</v>
      </c>
      <c r="F35" s="72">
        <v>1.1100000000000001</v>
      </c>
      <c r="G35" s="72">
        <v>1.44</v>
      </c>
      <c r="H35" s="72">
        <v>1.84</v>
      </c>
      <c r="I35" s="72">
        <v>2.64</v>
      </c>
      <c r="J35" s="72">
        <v>2.78</v>
      </c>
      <c r="K35" s="72">
        <v>2.2799999999999998</v>
      </c>
      <c r="L35" s="27"/>
    </row>
    <row r="36" spans="1:12" x14ac:dyDescent="0.15">
      <c r="A36" s="27" t="s">
        <v>41</v>
      </c>
      <c r="B36" s="72">
        <v>83333.717999999993</v>
      </c>
      <c r="C36" s="72">
        <v>83373.206999999995</v>
      </c>
      <c r="D36" s="72">
        <v>83518.346999999994</v>
      </c>
      <c r="E36" s="72">
        <v>95509.179000000004</v>
      </c>
      <c r="F36" s="72">
        <v>97588.539000000004</v>
      </c>
      <c r="G36" s="72">
        <v>101457.85799999999</v>
      </c>
      <c r="H36" s="72">
        <v>104368.212</v>
      </c>
      <c r="I36" s="72">
        <v>105760.65</v>
      </c>
      <c r="J36" s="72">
        <v>106150.66099999999</v>
      </c>
      <c r="K36" s="72">
        <v>106737.53200000001</v>
      </c>
      <c r="L36" s="27"/>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C74F1-5238-374B-8287-0C1562CBE7B2}">
  <dimension ref="A4:L36"/>
  <sheetViews>
    <sheetView workbookViewId="0">
      <selection activeCell="N73" sqref="N73"/>
    </sheetView>
  </sheetViews>
  <sheetFormatPr baseColWidth="10" defaultColWidth="8.83203125" defaultRowHeight="13" x14ac:dyDescent="0.15"/>
  <cols>
    <col min="1" max="1" width="50" style="20" customWidth="1"/>
    <col min="2" max="3" width="11.6640625" style="20" bestFit="1" customWidth="1"/>
    <col min="4" max="11" width="12.6640625" style="20" bestFit="1" customWidth="1"/>
    <col min="12" max="191" width="12" style="20" customWidth="1"/>
    <col min="192" max="16384" width="8.83203125" style="20"/>
  </cols>
  <sheetData>
    <row r="4" spans="1:12" x14ac:dyDescent="0.15">
      <c r="A4" s="21" t="s">
        <v>0</v>
      </c>
    </row>
    <row r="5" spans="1:12" ht="20" x14ac:dyDescent="0.2">
      <c r="A5" s="22" t="s">
        <v>161</v>
      </c>
    </row>
    <row r="7" spans="1:12" ht="14" x14ac:dyDescent="0.15">
      <c r="A7" s="23" t="s">
        <v>2</v>
      </c>
    </row>
    <row r="10" spans="1:12" ht="14" x14ac:dyDescent="0.15">
      <c r="A10" s="24" t="s">
        <v>3</v>
      </c>
    </row>
    <row r="11" spans="1:12" ht="14" x14ac:dyDescent="0.15">
      <c r="A11" s="25" t="s">
        <v>4</v>
      </c>
      <c r="B11" s="26" t="s">
        <v>162</v>
      </c>
      <c r="C11" s="26" t="s">
        <v>163</v>
      </c>
      <c r="D11" s="26" t="s">
        <v>164</v>
      </c>
      <c r="E11" s="26" t="s">
        <v>165</v>
      </c>
      <c r="F11" s="26" t="s">
        <v>166</v>
      </c>
      <c r="G11" s="26" t="s">
        <v>167</v>
      </c>
      <c r="H11" s="26" t="s">
        <v>168</v>
      </c>
      <c r="I11" s="26" t="s">
        <v>169</v>
      </c>
      <c r="J11" s="26" t="s">
        <v>170</v>
      </c>
      <c r="K11" s="26" t="s">
        <v>171</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ht="14" x14ac:dyDescent="0.15">
      <c r="A16" s="27" t="s">
        <v>23</v>
      </c>
      <c r="B16" s="32">
        <f>'FND Income Statement'!B16/'FND Income Statement'!B$17</f>
        <v>1</v>
      </c>
      <c r="C16" s="32">
        <f>'FND Income Statement'!C16/'FND Income Statement'!C$17</f>
        <v>1</v>
      </c>
      <c r="D16" s="32">
        <f>'FND Income Statement'!D16/'FND Income Statement'!D$17</f>
        <v>1</v>
      </c>
      <c r="E16" s="32">
        <f>'FND Income Statement'!E16/'FND Income Statement'!E$17</f>
        <v>1</v>
      </c>
      <c r="F16" s="32">
        <f>'FND Income Statement'!F16/'FND Income Statement'!F$17</f>
        <v>1</v>
      </c>
      <c r="G16" s="32">
        <f>'FND Income Statement'!G16/'FND Income Statement'!G$17</f>
        <v>1</v>
      </c>
      <c r="H16" s="32">
        <f>'FND Income Statement'!H16/'FND Income Statement'!H$17</f>
        <v>1</v>
      </c>
      <c r="I16" s="32">
        <f>'FND Income Statement'!I16/'FND Income Statement'!I$17</f>
        <v>1</v>
      </c>
      <c r="J16" s="32">
        <f>'FND Income Statement'!J16/'FND Income Statement'!J$17</f>
        <v>1</v>
      </c>
      <c r="K16" s="32">
        <f>'FND Income Statement'!K16/'FND Income Statement'!K$17</f>
        <v>1</v>
      </c>
      <c r="L16" s="27"/>
    </row>
    <row r="17" spans="1:12" s="29" customFormat="1" ht="14" x14ac:dyDescent="0.15">
      <c r="A17" s="28" t="s">
        <v>24</v>
      </c>
      <c r="B17" s="33">
        <f>'FND Income Statement'!B17/'FND Income Statement'!B$17</f>
        <v>1</v>
      </c>
      <c r="C17" s="33">
        <f>'FND Income Statement'!C17/'FND Income Statement'!C$17</f>
        <v>1</v>
      </c>
      <c r="D17" s="33">
        <f>'FND Income Statement'!D17/'FND Income Statement'!D$17</f>
        <v>1</v>
      </c>
      <c r="E17" s="33">
        <f>'FND Income Statement'!E17/'FND Income Statement'!E$17</f>
        <v>1</v>
      </c>
      <c r="F17" s="33">
        <f>'FND Income Statement'!F17/'FND Income Statement'!F$17</f>
        <v>1</v>
      </c>
      <c r="G17" s="33">
        <f>'FND Income Statement'!G17/'FND Income Statement'!G$17</f>
        <v>1</v>
      </c>
      <c r="H17" s="33">
        <f>'FND Income Statement'!H17/'FND Income Statement'!H$17</f>
        <v>1</v>
      </c>
      <c r="I17" s="33">
        <f>'FND Income Statement'!I17/'FND Income Statement'!I$17</f>
        <v>1</v>
      </c>
      <c r="J17" s="33">
        <f>'FND Income Statement'!J17/'FND Income Statement'!J$17</f>
        <v>1</v>
      </c>
      <c r="K17" s="33">
        <f>'FND Income Statement'!K17/'FND Income Statement'!K$17</f>
        <v>1</v>
      </c>
      <c r="L17" s="28"/>
    </row>
    <row r="18" spans="1:12" ht="14" x14ac:dyDescent="0.15">
      <c r="A18" s="27" t="s">
        <v>204</v>
      </c>
      <c r="B18" s="32">
        <f>'FND Income Statement'!B18/'FND Income Statement'!B$17</f>
        <v>0.6073525286184458</v>
      </c>
      <c r="C18" s="32">
        <f>'FND Income Statement'!C18/'FND Income Statement'!C$17</f>
        <v>0.60125355224154731</v>
      </c>
      <c r="D18" s="32">
        <f>'FND Income Statement'!D18/'FND Income Statement'!D$17</f>
        <v>0.59147435330080445</v>
      </c>
      <c r="E18" s="32">
        <f>'FND Income Statement'!E18/'FND Income Statement'!E$17</f>
        <v>0.58652683086757551</v>
      </c>
      <c r="F18" s="32">
        <f>'FND Income Statement'!F18/'FND Income Statement'!F$17</f>
        <v>0.58928045065994172</v>
      </c>
      <c r="G18" s="32">
        <f>'FND Income Statement'!G18/'FND Income Statement'!G$17</f>
        <v>0.57808234447477724</v>
      </c>
      <c r="H18" s="32">
        <f>'FND Income Statement'!H18/'FND Income Statement'!H$17</f>
        <v>0.5733790421916507</v>
      </c>
      <c r="I18" s="32">
        <f>'FND Income Statement'!I18/'FND Income Statement'!I$17</f>
        <v>0.58577185656872965</v>
      </c>
      <c r="J18" s="32">
        <f>'FND Income Statement'!J18/'FND Income Statement'!J$17</f>
        <v>0.59485826267395758</v>
      </c>
      <c r="K18" s="32">
        <f>'FND Income Statement'!K18/'FND Income Statement'!K$17</f>
        <v>0.57897670169854942</v>
      </c>
      <c r="L18" s="27"/>
    </row>
    <row r="19" spans="1:12" s="29" customFormat="1" ht="14" x14ac:dyDescent="0.15">
      <c r="A19" s="28" t="s">
        <v>25</v>
      </c>
      <c r="B19" s="33">
        <f>'FND Income Statement'!B19/'FND Income Statement'!B$17</f>
        <v>0.3926474713815542</v>
      </c>
      <c r="C19" s="33">
        <f>'FND Income Statement'!C19/'FND Income Statement'!C$17</f>
        <v>0.39874644775845269</v>
      </c>
      <c r="D19" s="33">
        <f>'FND Income Statement'!D19/'FND Income Statement'!D$17</f>
        <v>0.40852564669919555</v>
      </c>
      <c r="E19" s="33">
        <f>'FND Income Statement'!E19/'FND Income Statement'!E$17</f>
        <v>0.41347316913242443</v>
      </c>
      <c r="F19" s="33">
        <f>'FND Income Statement'!F19/'FND Income Statement'!F$17</f>
        <v>0.41071954934005828</v>
      </c>
      <c r="G19" s="33">
        <f>'FND Income Statement'!G19/'FND Income Statement'!G$17</f>
        <v>0.42191765552522276</v>
      </c>
      <c r="H19" s="33">
        <f>'FND Income Statement'!H19/'FND Income Statement'!H$17</f>
        <v>0.4266209578083493</v>
      </c>
      <c r="I19" s="33">
        <f>'FND Income Statement'!I19/'FND Income Statement'!I$17</f>
        <v>0.41422814343127035</v>
      </c>
      <c r="J19" s="33">
        <f>'FND Income Statement'!J19/'FND Income Statement'!J$17</f>
        <v>0.40514173732604242</v>
      </c>
      <c r="K19" s="33">
        <f>'FND Income Statement'!K19/'FND Income Statement'!K$17</f>
        <v>0.42102329830145058</v>
      </c>
      <c r="L19" s="28"/>
    </row>
    <row r="20" spans="1:12" ht="14" x14ac:dyDescent="0.15">
      <c r="A20" s="27" t="s">
        <v>26</v>
      </c>
      <c r="B20" s="32">
        <f>'FND Income Statement'!B20/'FND Income Statement'!B$17</f>
        <v>0.31726446659869856</v>
      </c>
      <c r="C20" s="32">
        <f>'FND Income Statement'!C20/'FND Income Statement'!C$17</f>
        <v>0.3221302735162217</v>
      </c>
      <c r="D20" s="32">
        <f>'FND Income Statement'!D20/'FND Income Statement'!D$17</f>
        <v>0.31967463519227529</v>
      </c>
      <c r="E20" s="32">
        <f>'FND Income Statement'!E20/'FND Income Statement'!E$17</f>
        <v>0.31652111871527844</v>
      </c>
      <c r="F20" s="32">
        <f>'FND Income Statement'!F20/'FND Income Statement'!F$17</f>
        <v>0.31863768007448617</v>
      </c>
      <c r="G20" s="32">
        <f>'FND Income Statement'!G20/'FND Income Statement'!G$17</f>
        <v>0.3320721638597946</v>
      </c>
      <c r="H20" s="32">
        <f>'FND Income Statement'!H20/'FND Income Statement'!H$17</f>
        <v>0.32930124149348583</v>
      </c>
      <c r="I20" s="32">
        <f>'FND Income Statement'!I20/'FND Income Statement'!I$17</f>
        <v>0.30546990519677547</v>
      </c>
      <c r="J20" s="32">
        <f>'FND Income Statement'!J20/'FND Income Statement'!J$17</f>
        <v>0.30304189990181668</v>
      </c>
      <c r="K20" s="32">
        <f>'FND Income Statement'!K20/'FND Income Statement'!K$17</f>
        <v>0.33801024222657416</v>
      </c>
      <c r="L20" s="27"/>
    </row>
    <row r="21" spans="1:12" ht="14" x14ac:dyDescent="0.15">
      <c r="A21" s="27" t="s">
        <v>208</v>
      </c>
      <c r="B21" s="32">
        <f>'FND Income Statement'!B21/'FND Income Statement'!B$17</f>
        <v>1.7768069135870049E-2</v>
      </c>
      <c r="C21" s="32">
        <f>'FND Income Statement'!C21/'FND Income Statement'!C$17</f>
        <v>9.7906664693907745E-3</v>
      </c>
      <c r="D21" s="32">
        <f>'FND Income Statement'!D21/'FND Income Statement'!D$17</f>
        <v>2.3061425122221174E-2</v>
      </c>
      <c r="E21" s="32">
        <f>'FND Income Statement'!E21/'FND Income Statement'!E$17</f>
        <v>1.1904529787321622E-2</v>
      </c>
      <c r="F21" s="32">
        <f>'FND Income Statement'!F21/'FND Income Statement'!F$17</f>
        <v>1.5290832869354469E-2</v>
      </c>
      <c r="G21" s="32">
        <f>'FND Income Statement'!G21/'FND Income Statement'!G$17</f>
        <v>1.2023724783129044E-2</v>
      </c>
      <c r="H21" s="32">
        <f>'FND Income Statement'!H21/'FND Income Statement'!H$17</f>
        <v>8.8622748566651328E-3</v>
      </c>
      <c r="I21" s="32">
        <f>'FND Income Statement'!I21/'FND Income Statement'!I$17</f>
        <v>1.0028445918533475E-2</v>
      </c>
      <c r="J21" s="32">
        <f>'FND Income Statement'!J21/'FND Income Statement'!J$17</f>
        <v>9.0613775723283971E-3</v>
      </c>
      <c r="K21" s="32">
        <f>'FND Income Statement'!K21/'FND Income Statement'!K$17</f>
        <v>1.0191024503589129E-2</v>
      </c>
      <c r="L21" s="27"/>
    </row>
    <row r="22" spans="1:12" s="29" customFormat="1" ht="14" x14ac:dyDescent="0.15">
      <c r="A22" s="28" t="s">
        <v>43</v>
      </c>
      <c r="B22" s="33">
        <f>'FND Income Statement'!B22/'FND Income Statement'!B$17</f>
        <v>0.33503253573456859</v>
      </c>
      <c r="C22" s="33">
        <f>'FND Income Statement'!C22/'FND Income Statement'!C$17</f>
        <v>0.33192093998561245</v>
      </c>
      <c r="D22" s="33">
        <f>'FND Income Statement'!D22/'FND Income Statement'!D$17</f>
        <v>0.34273606031449649</v>
      </c>
      <c r="E22" s="33">
        <f>'FND Income Statement'!E22/'FND Income Statement'!E$17</f>
        <v>0.32842564850260009</v>
      </c>
      <c r="F22" s="33">
        <f>'FND Income Statement'!F22/'FND Income Statement'!F$17</f>
        <v>0.33392851294384063</v>
      </c>
      <c r="G22" s="33">
        <f>'FND Income Statement'!G22/'FND Income Statement'!G$17</f>
        <v>0.34409588864292362</v>
      </c>
      <c r="H22" s="33">
        <f>'FND Income Statement'!H22/'FND Income Statement'!H$17</f>
        <v>0.33816351635015096</v>
      </c>
      <c r="I22" s="33">
        <f>'FND Income Statement'!I22/'FND Income Statement'!I$17</f>
        <v>0.31549835111530894</v>
      </c>
      <c r="J22" s="33">
        <f>'FND Income Statement'!J22/'FND Income Statement'!J$17</f>
        <v>0.31210327747414512</v>
      </c>
      <c r="K22" s="33">
        <f>'FND Income Statement'!K22/'FND Income Statement'!K$17</f>
        <v>0.34820126673016327</v>
      </c>
      <c r="L22" s="28"/>
    </row>
    <row r="23" spans="1:12" s="29" customFormat="1" ht="14" x14ac:dyDescent="0.15">
      <c r="A23" s="28" t="s">
        <v>28</v>
      </c>
      <c r="B23" s="33">
        <f>'FND Income Statement'!B23/'FND Income Statement'!B$17</f>
        <v>5.7614935646985568E-2</v>
      </c>
      <c r="C23" s="33">
        <f>'FND Income Statement'!C23/'FND Income Statement'!C$17</f>
        <v>6.6825507772840215E-2</v>
      </c>
      <c r="D23" s="33">
        <f>'FND Income Statement'!D23/'FND Income Statement'!D$17</f>
        <v>6.5789586384699061E-2</v>
      </c>
      <c r="E23" s="33">
        <f>'FND Income Statement'!E23/'FND Income Statement'!E$17</f>
        <v>8.5047520629824361E-2</v>
      </c>
      <c r="F23" s="33">
        <f>'FND Income Statement'!F23/'FND Income Statement'!F$17</f>
        <v>7.6791036396217677E-2</v>
      </c>
      <c r="G23" s="33">
        <f>'FND Income Statement'!G23/'FND Income Statement'!G$17</f>
        <v>7.7821766882299109E-2</v>
      </c>
      <c r="H23" s="33">
        <f>'FND Income Statement'!H23/'FND Income Statement'!H$17</f>
        <v>8.8457441458198324E-2</v>
      </c>
      <c r="I23" s="33">
        <f>'FND Income Statement'!I23/'FND Income Statement'!I$17</f>
        <v>9.8729792315961434E-2</v>
      </c>
      <c r="J23" s="33">
        <f>'FND Income Statement'!J23/'FND Income Statement'!J$17</f>
        <v>9.3038459851897293E-2</v>
      </c>
      <c r="K23" s="33">
        <f>'FND Income Statement'!K23/'FND Income Statement'!K$17</f>
        <v>7.2822031571287332E-2</v>
      </c>
      <c r="L23" s="28"/>
    </row>
    <row r="24" spans="1:12" ht="14" x14ac:dyDescent="0.15">
      <c r="A24" s="27" t="s">
        <v>206</v>
      </c>
      <c r="B24" s="32">
        <f>'FND Income Statement'!B24/'FND Income Statement'!B$17</f>
        <v>-1.5308217069115343E-2</v>
      </c>
      <c r="C24" s="32">
        <f>'FND Income Statement'!C24/'FND Income Statement'!C$17</f>
        <v>-1.1971755534354067E-2</v>
      </c>
      <c r="D24" s="32">
        <f>'FND Income Statement'!D24/'FND Income Statement'!D$17</f>
        <v>-1.2184525661926284E-2</v>
      </c>
      <c r="E24" s="32">
        <f>'FND Income Statement'!E24/'FND Income Statement'!E$17</f>
        <v>-9.9489661437628142E-3</v>
      </c>
      <c r="F24" s="32">
        <f>'FND Income Statement'!F24/'FND Income Statement'!F$17</f>
        <v>-5.2150834460139147E-3</v>
      </c>
      <c r="G24" s="32">
        <f>'FND Income Statement'!G24/'FND Income Statement'!G$17</f>
        <v>-4.3027080514076079E-3</v>
      </c>
      <c r="H24" s="32">
        <f>'FND Income Statement'!H24/'FND Income Statement'!H$17</f>
        <v>-3.4582576878111359E-3</v>
      </c>
      <c r="I24" s="32">
        <f>'FND Income Statement'!I24/'FND Income Statement'!I$17</f>
        <v>-1.4340913572113622E-3</v>
      </c>
      <c r="J24" s="32">
        <f>'FND Income Statement'!J24/'FND Income Statement'!J$17</f>
        <v>-2.6118115884424639E-3</v>
      </c>
      <c r="K24" s="32">
        <f>'FND Income Statement'!K24/'FND Income Statement'!K$17</f>
        <v>-2.2422428863105599E-3</v>
      </c>
      <c r="L24" s="27"/>
    </row>
    <row r="25" spans="1:12" ht="14" x14ac:dyDescent="0.15">
      <c r="A25" s="27" t="s">
        <v>29</v>
      </c>
      <c r="B25" s="32">
        <f>'FND Income Statement'!B25/'FND Income Statement'!B$17</f>
        <v>-1.5308217069115343E-2</v>
      </c>
      <c r="C25" s="32">
        <f>'FND Income Statement'!C25/'FND Income Statement'!C$17</f>
        <v>-1.1971755534354067E-2</v>
      </c>
      <c r="D25" s="32">
        <f>'FND Income Statement'!D25/'FND Income Statement'!D$17</f>
        <v>-1.3909945096830006E-2</v>
      </c>
      <c r="E25" s="32">
        <f>'FND Income Statement'!E25/'FND Income Statement'!E$17</f>
        <v>-1.3878869152716666E-2</v>
      </c>
      <c r="F25" s="32">
        <f>'FND Income Statement'!F25/'FND Income Statement'!F$17</f>
        <v>-5.2150834460139147E-3</v>
      </c>
      <c r="G25" s="32">
        <f>'FND Income Statement'!G25/'FND Income Statement'!G$17</f>
        <v>-4.3027080514076079E-3</v>
      </c>
      <c r="H25" s="32">
        <f>'FND Income Statement'!H25/'FND Income Statement'!H$17</f>
        <v>-3.0398369519512836E-3</v>
      </c>
      <c r="I25" s="32">
        <f>'FND Income Statement'!I25/'FND Income Statement'!I$17</f>
        <v>-1.4340913572113622E-3</v>
      </c>
      <c r="J25" s="32">
        <f>'FND Income Statement'!J25/'FND Income Statement'!J$17</f>
        <v>-2.6118115884424639E-3</v>
      </c>
      <c r="K25" s="32">
        <f>'FND Income Statement'!K25/'FND Income Statement'!K$17</f>
        <v>-2.2422428863105599E-3</v>
      </c>
      <c r="L25" s="27"/>
    </row>
    <row r="26" spans="1:12" ht="14" x14ac:dyDescent="0.15">
      <c r="A26" s="27" t="s">
        <v>30</v>
      </c>
      <c r="B26" s="32">
        <f>'FND Income Statement'!B26/'FND Income Statement'!B$17</f>
        <v>4.2306718577870224E-2</v>
      </c>
      <c r="C26" s="32">
        <f>'FND Income Statement'!C26/'FND Income Statement'!C$17</f>
        <v>5.4853752238486146E-2</v>
      </c>
      <c r="D26" s="32">
        <f>'FND Income Statement'!D26/'FND Income Statement'!D$17</f>
        <v>5.1879641287869052E-2</v>
      </c>
      <c r="E26" s="32">
        <f>'FND Income Statement'!E26/'FND Income Statement'!E$17</f>
        <v>7.11686514771077E-2</v>
      </c>
      <c r="F26" s="32">
        <f>'FND Income Statement'!F26/'FND Income Statement'!F$17</f>
        <v>7.1575952950203761E-2</v>
      </c>
      <c r="G26" s="32">
        <f>'FND Income Statement'!G26/'FND Income Statement'!G$17</f>
        <v>7.3519058830891493E-2</v>
      </c>
      <c r="H26" s="32">
        <f>'FND Income Statement'!H26/'FND Income Statement'!H$17</f>
        <v>8.5417604506247038E-2</v>
      </c>
      <c r="I26" s="32">
        <f>'FND Income Statement'!I26/'FND Income Statement'!I$17</f>
        <v>9.7295700958750064E-2</v>
      </c>
      <c r="J26" s="32">
        <f>'FND Income Statement'!J26/'FND Income Statement'!J$17</f>
        <v>9.0426648263454826E-2</v>
      </c>
      <c r="K26" s="32">
        <f>'FND Income Statement'!K26/'FND Income Statement'!K$17</f>
        <v>7.0579788684976774E-2</v>
      </c>
      <c r="L26" s="27"/>
    </row>
    <row r="27" spans="1:12" ht="14" x14ac:dyDescent="0.15">
      <c r="A27" s="27" t="s">
        <v>31</v>
      </c>
      <c r="B27" s="32">
        <f>'FND Income Statement'!B27/'FND Income Statement'!B$17</f>
        <v>1.6479982483390013E-2</v>
      </c>
      <c r="C27" s="32">
        <f>'FND Income Statement'!C27/'FND Income Statement'!C$17</f>
        <v>2.0661673545813074E-2</v>
      </c>
      <c r="D27" s="32">
        <f>'FND Income Statement'!D27/'FND Income Statement'!D$17</f>
        <v>1.0919725645937841E-2</v>
      </c>
      <c r="E27" s="32">
        <f>'FND Income Statement'!E27/'FND Income Statement'!E$17</f>
        <v>-3.0589983730114887E-3</v>
      </c>
      <c r="F27" s="32">
        <f>'FND Income Statement'!F27/'FND Income Statement'!F$17</f>
        <v>3.6242987680776303E-3</v>
      </c>
      <c r="G27" s="32">
        <f>'FND Income Statement'!G27/'FND Income Statement'!G$17</f>
        <v>-1.2271102384993858E-4</v>
      </c>
      <c r="H27" s="32">
        <f>'FND Income Statement'!H27/'FND Income Statement'!H$17</f>
        <v>5.0391872661584604E-3</v>
      </c>
      <c r="I27" s="32">
        <f>'FND Income Statement'!I27/'FND Income Statement'!I$17</f>
        <v>1.480632339925086E-2</v>
      </c>
      <c r="J27" s="32">
        <f>'FND Income Statement'!J27/'FND Income Statement'!J$17</f>
        <v>2.050124364722206E-2</v>
      </c>
      <c r="K27" s="32">
        <f>'FND Income Statement'!K27/'FND Income Statement'!K$17</f>
        <v>1.4851092597811814E-2</v>
      </c>
      <c r="L27" s="27"/>
    </row>
    <row r="28" spans="1:12" s="29" customFormat="1" ht="14" x14ac:dyDescent="0.15">
      <c r="A28" s="28" t="s">
        <v>32</v>
      </c>
      <c r="B28" s="33">
        <f>'FND Income Statement'!B28/'FND Income Statement'!B$17</f>
        <v>2.5826736094480215E-2</v>
      </c>
      <c r="C28" s="33">
        <f>'FND Income Statement'!C28/'FND Income Statement'!C$17</f>
        <v>3.4192078692673072E-2</v>
      </c>
      <c r="D28" s="33">
        <f>'FND Income Statement'!D28/'FND Income Statement'!D$17</f>
        <v>4.0959915641931216E-2</v>
      </c>
      <c r="E28" s="33">
        <f>'FND Income Statement'!E28/'FND Income Statement'!E$17</f>
        <v>7.422764985011919E-2</v>
      </c>
      <c r="F28" s="33">
        <f>'FND Income Statement'!F28/'FND Income Statement'!F$17</f>
        <v>6.7951654182126134E-2</v>
      </c>
      <c r="G28" s="33">
        <f>'FND Income Statement'!G28/'FND Income Statement'!G$17</f>
        <v>7.364176985474144E-2</v>
      </c>
      <c r="H28" s="33">
        <f>'FND Income Statement'!H28/'FND Income Statement'!H$17</f>
        <v>8.0378417240088582E-2</v>
      </c>
      <c r="I28" s="33">
        <f>'FND Income Statement'!I28/'FND Income Statement'!I$17</f>
        <v>8.2489377559499213E-2</v>
      </c>
      <c r="J28" s="33">
        <f>'FND Income Statement'!J28/'FND Income Statement'!J$17</f>
        <v>6.992540461623277E-2</v>
      </c>
      <c r="K28" s="33">
        <f>'FND Income Statement'!K28/'FND Income Statement'!K$17</f>
        <v>5.5728696087164957E-2</v>
      </c>
      <c r="L28" s="28"/>
    </row>
    <row r="29" spans="1:12" ht="14" x14ac:dyDescent="0.15">
      <c r="A29" s="27" t="s">
        <v>34</v>
      </c>
      <c r="B29" s="32">
        <f>'FND Income Statement'!B29/'FND Income Statement'!B$17</f>
        <v>2.5826736094480215E-2</v>
      </c>
      <c r="C29" s="32">
        <f>'FND Income Statement'!C29/'FND Income Statement'!C$17</f>
        <v>3.4192078692673072E-2</v>
      </c>
      <c r="D29" s="32">
        <f>'FND Income Statement'!D29/'FND Income Statement'!D$17</f>
        <v>4.0959915641931216E-2</v>
      </c>
      <c r="E29" s="32">
        <f>'FND Income Statement'!E29/'FND Income Statement'!E$17</f>
        <v>7.422764985011919E-2</v>
      </c>
      <c r="F29" s="32">
        <f>'FND Income Statement'!F29/'FND Income Statement'!F$17</f>
        <v>6.7951654182126134E-2</v>
      </c>
      <c r="G29" s="32">
        <f>'FND Income Statement'!G29/'FND Income Statement'!G$17</f>
        <v>7.364176985474144E-2</v>
      </c>
      <c r="H29" s="32">
        <f>'FND Income Statement'!H29/'FND Income Statement'!H$17</f>
        <v>8.0378417240088582E-2</v>
      </c>
      <c r="I29" s="32">
        <f>'FND Income Statement'!I29/'FND Income Statement'!I$17</f>
        <v>8.2489377559499213E-2</v>
      </c>
      <c r="J29" s="32">
        <f>'FND Income Statement'!J29/'FND Income Statement'!J$17</f>
        <v>6.992540461623277E-2</v>
      </c>
      <c r="K29" s="32">
        <f>'FND Income Statement'!K29/'FND Income Statement'!K$17</f>
        <v>5.5728696087164957E-2</v>
      </c>
      <c r="L29" s="27"/>
    </row>
    <row r="30" spans="1:12" ht="14" x14ac:dyDescent="0.15">
      <c r="A30" s="27" t="s">
        <v>35</v>
      </c>
      <c r="B30" s="32">
        <f>'FND Income Statement'!B30/'FND Income Statement'!B$17</f>
        <v>0.14236065399905576</v>
      </c>
      <c r="C30" s="32">
        <f>'FND Income Statement'!C30/'FND Income Statement'!C$17</f>
        <v>0.10633155870063213</v>
      </c>
      <c r="D30" s="32">
        <f>'FND Income Statement'!D30/'FND Income Statement'!D$17</f>
        <v>7.9401800983860238E-2</v>
      </c>
      <c r="E30" s="32">
        <f>'FND Income Statement'!E30/'FND Income Statement'!E$17</f>
        <v>6.5679641412598661E-2</v>
      </c>
      <c r="F30" s="32">
        <f>'FND Income Statement'!F30/'FND Income Statement'!F$17</f>
        <v>5.6595674001431708E-2</v>
      </c>
      <c r="G30" s="32">
        <f>'FND Income Statement'!G30/'FND Income Statement'!G$17</f>
        <v>4.8612632097683843E-2</v>
      </c>
      <c r="H30" s="32">
        <f>'FND Income Statement'!H30/'FND Income Statement'!H$17</f>
        <v>4.2332635828027841E-2</v>
      </c>
      <c r="I30" s="32">
        <f>'FND Income Statement'!I30/'FND Income Statement'!I$17</f>
        <v>3.048842111026747E-2</v>
      </c>
      <c r="J30" s="32">
        <f>'FND Income Statement'!J30/'FND Income Statement'!J$17</f>
        <v>2.4768828410919708E-2</v>
      </c>
      <c r="K30" s="32">
        <f>'FND Income Statement'!K30/'FND Income Statement'!K$17</f>
        <v>2.4074941706669229E-2</v>
      </c>
      <c r="L30" s="27"/>
    </row>
    <row r="31" spans="1:12" ht="14" x14ac:dyDescent="0.15">
      <c r="A31" s="27" t="s">
        <v>36</v>
      </c>
      <c r="B31" s="32">
        <f>'FND Income Statement'!B31/'FND Income Statement'!B$17</f>
        <v>3.0790915995538739E-7</v>
      </c>
      <c r="C31" s="32">
        <f>'FND Income Statement'!C31/'FND Income Statement'!C$17</f>
        <v>4.0815701800482645E-7</v>
      </c>
      <c r="D31" s="32">
        <f>'FND Income Statement'!D31/'FND Income Statement'!D$17</f>
        <v>4.9488036742963899E-7</v>
      </c>
      <c r="E31" s="32">
        <f>'FND Income Statement'!E31/'FND Income Statement'!E$17</f>
        <v>8.1602175672874928E-7</v>
      </c>
      <c r="F31" s="32">
        <f>'FND Income Statement'!F31/'FND Income Statement'!F$17</f>
        <v>7.0181676967777252E-7</v>
      </c>
      <c r="G31" s="32">
        <f>'FND Income Statement'!G31/'FND Income Statement'!G$17</f>
        <v>7.3822169726457086E-7</v>
      </c>
      <c r="H31" s="32">
        <f>'FND Income Statement'!H31/'FND Income Statement'!H$17</f>
        <v>7.8325063855538898E-7</v>
      </c>
      <c r="I31" s="32">
        <f>'FND Income Statement'!I31/'FND Income Statement'!I$17</f>
        <v>7.8927448782347516E-7</v>
      </c>
      <c r="J31" s="32">
        <f>'FND Income Statement'!J31/'FND Income Statement'!J$17</f>
        <v>6.612774896218126E-7</v>
      </c>
      <c r="K31" s="32">
        <f>'FND Income Statement'!K31/'FND Income Statement'!K$17</f>
        <v>5.2334859728982453E-7</v>
      </c>
      <c r="L31" s="27"/>
    </row>
    <row r="32" spans="1:12" ht="14" x14ac:dyDescent="0.15">
      <c r="A32" s="27" t="s">
        <v>37</v>
      </c>
      <c r="B32" s="32">
        <f>'FND Income Statement'!B32/'FND Income Statement'!B$17</f>
        <v>3.0790915995538739E-7</v>
      </c>
      <c r="C32" s="32">
        <f>'FND Income Statement'!C32/'FND Income Statement'!C$17</f>
        <v>4.0815701800482645E-7</v>
      </c>
      <c r="D32" s="32">
        <f>'FND Income Statement'!D32/'FND Income Statement'!D$17</f>
        <v>4.9488036742963899E-7</v>
      </c>
      <c r="E32" s="32">
        <f>'FND Income Statement'!E32/'FND Income Statement'!E$17</f>
        <v>8.1602175672874928E-7</v>
      </c>
      <c r="F32" s="32">
        <f>'FND Income Statement'!F32/'FND Income Statement'!F$17</f>
        <v>7.0181676967777252E-7</v>
      </c>
      <c r="G32" s="32">
        <f>'FND Income Statement'!G32/'FND Income Statement'!G$17</f>
        <v>7.3822169726457086E-7</v>
      </c>
      <c r="H32" s="32">
        <f>'FND Income Statement'!H32/'FND Income Statement'!H$17</f>
        <v>7.8325063855538898E-7</v>
      </c>
      <c r="I32" s="32">
        <f>'FND Income Statement'!I32/'FND Income Statement'!I$17</f>
        <v>7.8927448782347516E-7</v>
      </c>
      <c r="J32" s="32">
        <f>'FND Income Statement'!J32/'FND Income Statement'!J$17</f>
        <v>6.612774896218126E-7</v>
      </c>
      <c r="K32" s="32">
        <f>'FND Income Statement'!K32/'FND Income Statement'!K$17</f>
        <v>5.2334859728982453E-7</v>
      </c>
      <c r="L32" s="27"/>
    </row>
    <row r="33" spans="1:12" ht="14" x14ac:dyDescent="0.15">
      <c r="A33" s="27" t="s">
        <v>38</v>
      </c>
      <c r="B33" s="32">
        <f>'FND Income Statement'!B33/'FND Income Statement'!B$17</f>
        <v>0.1465164337961094</v>
      </c>
      <c r="C33" s="32">
        <f>'FND Income Statement'!C33/'FND Income Statement'!C$17</f>
        <v>0.11005049284959925</v>
      </c>
      <c r="D33" s="32">
        <f>'FND Income Statement'!D33/'FND Income Statement'!D$17</f>
        <v>8.4159152574472346E-2</v>
      </c>
      <c r="E33" s="32">
        <f>'FND Income Statement'!E33/'FND Income Statement'!E$17</f>
        <v>7.1968786084590411E-2</v>
      </c>
      <c r="F33" s="32">
        <f>'FND Income Statement'!F33/'FND Income Statement'!F$17</f>
        <v>6.1152219378564646E-2</v>
      </c>
      <c r="G33" s="32">
        <f>'FND Income Statement'!G33/'FND Income Statement'!G$17</f>
        <v>5.1314719065088665E-2</v>
      </c>
      <c r="H33" s="32">
        <f>'FND Income Statement'!H33/'FND Income Statement'!H$17</f>
        <v>4.3755678567129523E-2</v>
      </c>
      <c r="I33" s="32">
        <f>'FND Income Statement'!I33/'FND Income Statement'!I$17</f>
        <v>3.1276821862495571E-2</v>
      </c>
      <c r="J33" s="32">
        <f>'FND Income Statement'!J33/'FND Income Statement'!J$17</f>
        <v>2.5194906850154755E-2</v>
      </c>
      <c r="K33" s="32">
        <f>'FND Income Statement'!K33/'FND Income Statement'!K$17</f>
        <v>2.444151228260643E-2</v>
      </c>
      <c r="L33" s="27"/>
    </row>
    <row r="34" spans="1:12" ht="14" x14ac:dyDescent="0.15">
      <c r="A34" s="27" t="s">
        <v>39</v>
      </c>
      <c r="B34" s="32">
        <f>'FND Income Statement'!B34/'FND Income Statement'!B$17</f>
        <v>3.0790915995538739E-7</v>
      </c>
      <c r="C34" s="32">
        <f>'FND Income Statement'!C34/'FND Income Statement'!C$17</f>
        <v>3.9540211119217562E-7</v>
      </c>
      <c r="D34" s="32">
        <f>'FND Income Statement'!D34/'FND Income Statement'!D$17</f>
        <v>4.6632957700100593E-7</v>
      </c>
      <c r="E34" s="32">
        <f>'FND Income Statement'!E34/'FND Income Statement'!E$17</f>
        <v>7.4380744197399278E-7</v>
      </c>
      <c r="F34" s="32">
        <f>'FND Income Statement'!F34/'FND Income Statement'!F$17</f>
        <v>6.4918051195193967E-7</v>
      </c>
      <c r="G34" s="32">
        <f>'FND Income Statement'!G34/'FND Income Statement'!G$17</f>
        <v>7.0399949937813376E-7</v>
      </c>
      <c r="H34" s="32">
        <f>'FND Income Statement'!H34/'FND Income Statement'!H$17</f>
        <v>7.5851640786416623E-7</v>
      </c>
      <c r="I34" s="32">
        <f>'FND Income Statement'!I34/'FND Income Statement'!I$17</f>
        <v>7.6888732393135585E-7</v>
      </c>
      <c r="J34" s="32">
        <f>'FND Income Statement'!J34/'FND Income Statement'!J$17</f>
        <v>6.5189766707398543E-7</v>
      </c>
      <c r="K34" s="32">
        <f>'FND Income Statement'!K34/'FND Income Statement'!K$17</f>
        <v>5.1655186226008658E-7</v>
      </c>
      <c r="L34" s="27"/>
    </row>
    <row r="35" spans="1:12" ht="14" x14ac:dyDescent="0.15">
      <c r="A35" s="27" t="s">
        <v>40</v>
      </c>
      <c r="B35" s="32">
        <f>'FND Income Statement'!B35/'FND Income Statement'!B$17</f>
        <v>3.0790915995538739E-7</v>
      </c>
      <c r="C35" s="32">
        <f>'FND Income Statement'!C35/'FND Income Statement'!C$17</f>
        <v>3.9540211119217562E-7</v>
      </c>
      <c r="D35" s="32">
        <f>'FND Income Statement'!D35/'FND Income Statement'!D$17</f>
        <v>4.6632957700100593E-7</v>
      </c>
      <c r="E35" s="32">
        <f>'FND Income Statement'!E35/'FND Income Statement'!E$17</f>
        <v>7.4380744197399278E-7</v>
      </c>
      <c r="F35" s="32">
        <f>'FND Income Statement'!F35/'FND Income Statement'!F$17</f>
        <v>6.4918051195193967E-7</v>
      </c>
      <c r="G35" s="32">
        <f>'FND Income Statement'!G35/'FND Income Statement'!G$17</f>
        <v>7.0399949937813376E-7</v>
      </c>
      <c r="H35" s="32">
        <f>'FND Income Statement'!H35/'FND Income Statement'!H$17</f>
        <v>7.5851640786416623E-7</v>
      </c>
      <c r="I35" s="32">
        <f>'FND Income Statement'!I35/'FND Income Statement'!I$17</f>
        <v>7.6888732393135585E-7</v>
      </c>
      <c r="J35" s="32">
        <f>'FND Income Statement'!J35/'FND Income Statement'!J$17</f>
        <v>6.5189766707398543E-7</v>
      </c>
      <c r="K35" s="32">
        <f>'FND Income Statement'!K35/'FND Income Statement'!K$17</f>
        <v>5.1655186226008658E-7</v>
      </c>
      <c r="L35" s="27"/>
    </row>
    <row r="36" spans="1:12" ht="14" x14ac:dyDescent="0.15">
      <c r="A36" s="27" t="s">
        <v>41</v>
      </c>
      <c r="B36" s="32">
        <f>'FND Income Statement'!B36/'FND Income Statement'!B$17</f>
        <v>0.1425511950296619</v>
      </c>
      <c r="C36" s="32">
        <f>'FND Income Statement'!C36/'FND Income Statement'!C$17</f>
        <v>0.10634174859568475</v>
      </c>
      <c r="D36" s="32">
        <f>'FND Income Statement'!D36/'FND Income Statement'!D$17</f>
        <v>7.9483827404761689E-2</v>
      </c>
      <c r="E36" s="32">
        <f>'FND Income Statement'!E36/'FND Income Statement'!E$17</f>
        <v>6.8971299142743872E-2</v>
      </c>
      <c r="F36" s="32">
        <f>'FND Income Statement'!F36/'FND Income Statement'!F$17</f>
        <v>5.707439433212777E-2</v>
      </c>
      <c r="G36" s="32">
        <f>'FND Income Statement'!G36/'FND Income Statement'!G$17</f>
        <v>4.9601584194429012E-2</v>
      </c>
      <c r="H36" s="32">
        <f>'FND Income Statement'!H36/'FND Income Statement'!H$17</f>
        <v>4.3024457207307479E-2</v>
      </c>
      <c r="I36" s="32">
        <f>'FND Income Statement'!I36/'FND Income Statement'!I$17</f>
        <v>3.0802281498386645E-2</v>
      </c>
      <c r="J36" s="32">
        <f>'FND Income Statement'!J36/'FND Income Statement'!J$17</f>
        <v>2.4891859087863843E-2</v>
      </c>
      <c r="K36" s="32">
        <f>'FND Income Statement'!K36/'FND Income Statement'!K$17</f>
        <v>2.4182224091072627E-2</v>
      </c>
      <c r="L36" s="27"/>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77D01-D3BB-6943-A16F-B6E91417E7A3}">
  <dimension ref="A4:L44"/>
  <sheetViews>
    <sheetView workbookViewId="0">
      <selection activeCell="N73" sqref="N73"/>
    </sheetView>
  </sheetViews>
  <sheetFormatPr baseColWidth="10" defaultColWidth="8.83203125" defaultRowHeight="13" x14ac:dyDescent="0.15"/>
  <cols>
    <col min="1" max="1" width="50" style="20" customWidth="1"/>
    <col min="2" max="4" width="11.6640625" style="20" bestFit="1" customWidth="1"/>
    <col min="5" max="11" width="12.6640625" style="20" bestFit="1" customWidth="1"/>
    <col min="12" max="191" width="12" style="20" customWidth="1"/>
    <col min="192" max="16384" width="8.83203125" style="20"/>
  </cols>
  <sheetData>
    <row r="4" spans="1:12" x14ac:dyDescent="0.15">
      <c r="A4" s="21" t="s">
        <v>0</v>
      </c>
    </row>
    <row r="5" spans="1:12" ht="20" x14ac:dyDescent="0.2">
      <c r="A5" s="22" t="s">
        <v>161</v>
      </c>
    </row>
    <row r="7" spans="1:12" ht="14" x14ac:dyDescent="0.15">
      <c r="A7" s="23" t="s">
        <v>2</v>
      </c>
    </row>
    <row r="10" spans="1:12" ht="14" x14ac:dyDescent="0.15">
      <c r="A10" s="24" t="s">
        <v>47</v>
      </c>
    </row>
    <row r="11" spans="1:12" ht="14" x14ac:dyDescent="0.15">
      <c r="A11" s="25" t="s">
        <v>4</v>
      </c>
      <c r="B11" s="26" t="s">
        <v>162</v>
      </c>
      <c r="C11" s="26" t="s">
        <v>163</v>
      </c>
      <c r="D11" s="26" t="s">
        <v>164</v>
      </c>
      <c r="E11" s="26" t="s">
        <v>165</v>
      </c>
      <c r="F11" s="26" t="s">
        <v>166</v>
      </c>
      <c r="G11" s="26" t="s">
        <v>167</v>
      </c>
      <c r="H11" s="26" t="s">
        <v>168</v>
      </c>
      <c r="I11" s="26" t="s">
        <v>169</v>
      </c>
      <c r="J11" s="26" t="s">
        <v>170</v>
      </c>
      <c r="K11" s="26" t="s">
        <v>171</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x14ac:dyDescent="0.15">
      <c r="A16" s="27" t="s">
        <v>48</v>
      </c>
      <c r="B16" s="74" t="s">
        <v>159</v>
      </c>
      <c r="C16" s="72">
        <v>318</v>
      </c>
      <c r="D16" s="72">
        <v>451</v>
      </c>
      <c r="E16" s="72">
        <v>556</v>
      </c>
      <c r="F16" s="72">
        <v>644</v>
      </c>
      <c r="G16" s="72">
        <v>27037</v>
      </c>
      <c r="H16" s="72">
        <v>307772</v>
      </c>
      <c r="I16" s="72">
        <v>139444</v>
      </c>
      <c r="J16" s="72">
        <v>9794</v>
      </c>
      <c r="K16" s="72">
        <v>34382</v>
      </c>
      <c r="L16" s="27"/>
    </row>
    <row r="17" spans="1:12" x14ac:dyDescent="0.15">
      <c r="A17" s="27" t="s">
        <v>49</v>
      </c>
      <c r="B17" s="74" t="s">
        <v>159</v>
      </c>
      <c r="C17" s="72">
        <v>318</v>
      </c>
      <c r="D17" s="72">
        <v>451</v>
      </c>
      <c r="E17" s="72">
        <v>556</v>
      </c>
      <c r="F17" s="72">
        <v>644</v>
      </c>
      <c r="G17" s="72">
        <v>27037</v>
      </c>
      <c r="H17" s="72">
        <v>307772</v>
      </c>
      <c r="I17" s="72">
        <v>139444</v>
      </c>
      <c r="J17" s="72">
        <v>9794</v>
      </c>
      <c r="K17" s="72">
        <v>34382</v>
      </c>
      <c r="L17" s="27"/>
    </row>
    <row r="18" spans="1:12" x14ac:dyDescent="0.15">
      <c r="A18" s="27" t="s">
        <v>50</v>
      </c>
      <c r="B18" s="74" t="s">
        <v>159</v>
      </c>
      <c r="C18" s="72">
        <v>23740</v>
      </c>
      <c r="D18" s="72">
        <v>34533</v>
      </c>
      <c r="E18" s="72">
        <v>54041</v>
      </c>
      <c r="F18" s="72">
        <v>67527</v>
      </c>
      <c r="G18" s="72">
        <v>69301</v>
      </c>
      <c r="H18" s="72">
        <v>50427</v>
      </c>
      <c r="I18" s="72">
        <v>81463</v>
      </c>
      <c r="J18" s="72">
        <v>94732</v>
      </c>
      <c r="K18" s="72">
        <v>99513</v>
      </c>
      <c r="L18" s="27"/>
    </row>
    <row r="19" spans="1:12" x14ac:dyDescent="0.15">
      <c r="A19" s="27" t="s">
        <v>51</v>
      </c>
      <c r="B19" s="74" t="s">
        <v>159</v>
      </c>
      <c r="C19" s="72">
        <v>272569</v>
      </c>
      <c r="D19" s="72">
        <v>293702</v>
      </c>
      <c r="E19" s="72">
        <v>427950</v>
      </c>
      <c r="F19" s="72">
        <v>471014</v>
      </c>
      <c r="G19" s="72">
        <v>581865</v>
      </c>
      <c r="H19" s="72">
        <v>654000</v>
      </c>
      <c r="I19" s="72">
        <v>1008151</v>
      </c>
      <c r="J19" s="72">
        <v>1292336</v>
      </c>
      <c r="K19" s="72">
        <v>1106150</v>
      </c>
      <c r="L19" s="27"/>
    </row>
    <row r="20" spans="1:12" x14ac:dyDescent="0.15">
      <c r="A20" s="27" t="s">
        <v>172</v>
      </c>
      <c r="B20" s="74" t="s">
        <v>159</v>
      </c>
      <c r="C20" s="72">
        <v>2484</v>
      </c>
      <c r="D20" s="74" t="s">
        <v>159</v>
      </c>
      <c r="E20" s="72">
        <v>12472</v>
      </c>
      <c r="F20" s="72">
        <v>4324</v>
      </c>
      <c r="G20" s="72">
        <v>2868</v>
      </c>
      <c r="H20" s="74" t="s">
        <v>159</v>
      </c>
      <c r="I20" s="72">
        <v>3507</v>
      </c>
      <c r="J20" s="72">
        <v>7325</v>
      </c>
      <c r="K20" s="72">
        <v>27870</v>
      </c>
      <c r="L20" s="27"/>
    </row>
    <row r="21" spans="1:12" x14ac:dyDescent="0.15">
      <c r="A21" s="27" t="s">
        <v>52</v>
      </c>
      <c r="B21" s="74" t="s">
        <v>159</v>
      </c>
      <c r="C21" s="72">
        <v>6079</v>
      </c>
      <c r="D21" s="72">
        <v>7529</v>
      </c>
      <c r="E21" s="72">
        <v>8193</v>
      </c>
      <c r="F21" s="72">
        <v>15949</v>
      </c>
      <c r="G21" s="72">
        <v>20415</v>
      </c>
      <c r="H21" s="72">
        <v>28257</v>
      </c>
      <c r="I21" s="72">
        <v>40780</v>
      </c>
      <c r="J21" s="72">
        <v>53298</v>
      </c>
      <c r="K21" s="72">
        <v>48725</v>
      </c>
      <c r="L21" s="27"/>
    </row>
    <row r="22" spans="1:12" s="29" customFormat="1" ht="14" x14ac:dyDescent="0.15">
      <c r="A22" s="28" t="s">
        <v>53</v>
      </c>
      <c r="B22" s="184" t="s">
        <v>159</v>
      </c>
      <c r="C22" s="73">
        <v>305190</v>
      </c>
      <c r="D22" s="73">
        <v>336215</v>
      </c>
      <c r="E22" s="73">
        <v>503212</v>
      </c>
      <c r="F22" s="73">
        <v>559458</v>
      </c>
      <c r="G22" s="73">
        <v>701486</v>
      </c>
      <c r="H22" s="73">
        <v>1040456</v>
      </c>
      <c r="I22" s="73">
        <v>1273345</v>
      </c>
      <c r="J22" s="73">
        <v>1457485</v>
      </c>
      <c r="K22" s="73">
        <v>1316640</v>
      </c>
      <c r="L22" s="28"/>
    </row>
    <row r="23" spans="1:12" x14ac:dyDescent="0.15">
      <c r="A23" s="27" t="s">
        <v>54</v>
      </c>
      <c r="B23" s="74" t="s">
        <v>159</v>
      </c>
      <c r="C23" s="72">
        <v>149387</v>
      </c>
      <c r="D23" s="72">
        <v>220712</v>
      </c>
      <c r="E23" s="72">
        <v>325658</v>
      </c>
      <c r="F23" s="72">
        <v>480049</v>
      </c>
      <c r="G23" s="72">
        <v>680579</v>
      </c>
      <c r="H23" s="72">
        <v>874971</v>
      </c>
      <c r="I23" s="72">
        <v>1339769</v>
      </c>
      <c r="J23" s="72">
        <v>1710205</v>
      </c>
      <c r="K23" s="72">
        <v>2252288</v>
      </c>
      <c r="L23" s="27"/>
    </row>
    <row r="24" spans="1:12" x14ac:dyDescent="0.15">
      <c r="A24" s="27" t="s">
        <v>55</v>
      </c>
      <c r="B24" s="74" t="s">
        <v>159</v>
      </c>
      <c r="C24" s="72">
        <v>46404</v>
      </c>
      <c r="D24" s="72">
        <v>70241</v>
      </c>
      <c r="E24" s="72">
        <v>104706</v>
      </c>
      <c r="F24" s="72">
        <v>151683</v>
      </c>
      <c r="G24" s="72">
        <v>224290</v>
      </c>
      <c r="H24" s="72">
        <v>295612</v>
      </c>
      <c r="I24" s="72">
        <v>410686</v>
      </c>
      <c r="J24" s="72">
        <v>452149</v>
      </c>
      <c r="K24" s="72">
        <v>622371</v>
      </c>
      <c r="L24" s="27"/>
    </row>
    <row r="25" spans="1:12" x14ac:dyDescent="0.15">
      <c r="A25" s="27" t="s">
        <v>56</v>
      </c>
      <c r="B25" s="74" t="s">
        <v>159</v>
      </c>
      <c r="C25" s="72">
        <v>102983</v>
      </c>
      <c r="D25" s="72">
        <v>150471</v>
      </c>
      <c r="E25" s="72">
        <v>220952</v>
      </c>
      <c r="F25" s="72">
        <v>328366</v>
      </c>
      <c r="G25" s="72">
        <v>456289</v>
      </c>
      <c r="H25" s="72">
        <v>579359</v>
      </c>
      <c r="I25" s="72">
        <v>929083</v>
      </c>
      <c r="J25" s="72">
        <v>1258056</v>
      </c>
      <c r="K25" s="72">
        <v>1629917</v>
      </c>
      <c r="L25" s="27"/>
    </row>
    <row r="26" spans="1:12" x14ac:dyDescent="0.15">
      <c r="A26" s="27" t="s">
        <v>57</v>
      </c>
      <c r="B26" s="74" t="s">
        <v>159</v>
      </c>
      <c r="C26" s="72">
        <v>336873</v>
      </c>
      <c r="D26" s="72">
        <v>336841</v>
      </c>
      <c r="E26" s="72">
        <v>336809</v>
      </c>
      <c r="F26" s="72">
        <v>336777</v>
      </c>
      <c r="G26" s="72">
        <v>336746</v>
      </c>
      <c r="H26" s="72">
        <v>336716</v>
      </c>
      <c r="I26" s="72">
        <v>407408</v>
      </c>
      <c r="J26" s="72">
        <v>407826</v>
      </c>
      <c r="K26" s="72">
        <v>411809</v>
      </c>
      <c r="L26" s="27"/>
    </row>
    <row r="27" spans="1:12" x14ac:dyDescent="0.15">
      <c r="A27" s="27" t="s">
        <v>58</v>
      </c>
      <c r="B27" s="74" t="s">
        <v>159</v>
      </c>
      <c r="C27" s="72">
        <v>3842</v>
      </c>
      <c r="D27" s="72">
        <v>7639</v>
      </c>
      <c r="E27" s="72">
        <v>7019</v>
      </c>
      <c r="F27" s="72">
        <v>9490</v>
      </c>
      <c r="G27" s="72">
        <v>829788</v>
      </c>
      <c r="H27" s="72">
        <v>923894</v>
      </c>
      <c r="I27" s="72">
        <v>1111027</v>
      </c>
      <c r="J27" s="72">
        <v>1216610</v>
      </c>
      <c r="K27" s="72">
        <v>1289957</v>
      </c>
      <c r="L27" s="27"/>
    </row>
    <row r="28" spans="1:12" s="29" customFormat="1" ht="14" x14ac:dyDescent="0.15">
      <c r="A28" s="28" t="s">
        <v>59</v>
      </c>
      <c r="B28" s="184" t="s">
        <v>159</v>
      </c>
      <c r="C28" s="73">
        <v>748888</v>
      </c>
      <c r="D28" s="73">
        <v>831166</v>
      </c>
      <c r="E28" s="73">
        <v>1067992</v>
      </c>
      <c r="F28" s="73">
        <v>1234091</v>
      </c>
      <c r="G28" s="73">
        <v>2324309</v>
      </c>
      <c r="H28" s="73">
        <v>2880425</v>
      </c>
      <c r="I28" s="73">
        <v>3730695</v>
      </c>
      <c r="J28" s="73">
        <v>4351242</v>
      </c>
      <c r="K28" s="73">
        <v>4662550</v>
      </c>
      <c r="L28" s="28"/>
    </row>
    <row r="29" spans="1:12" x14ac:dyDescent="0.15">
      <c r="A29" s="27" t="s">
        <v>60</v>
      </c>
      <c r="B29" s="74" t="s">
        <v>159</v>
      </c>
      <c r="C29" s="72">
        <v>183162</v>
      </c>
      <c r="D29" s="72">
        <v>219971</v>
      </c>
      <c r="E29" s="72">
        <v>333277</v>
      </c>
      <c r="F29" s="72">
        <v>387312</v>
      </c>
      <c r="G29" s="72">
        <v>461867</v>
      </c>
      <c r="H29" s="72">
        <v>566670</v>
      </c>
      <c r="I29" s="72">
        <v>896048</v>
      </c>
      <c r="J29" s="72">
        <v>856185</v>
      </c>
      <c r="K29" s="72">
        <v>990555</v>
      </c>
      <c r="L29" s="27"/>
    </row>
    <row r="30" spans="1:12" x14ac:dyDescent="0.15">
      <c r="A30" s="27" t="s">
        <v>61</v>
      </c>
      <c r="B30" s="74" t="s">
        <v>159</v>
      </c>
      <c r="C30" s="72">
        <v>147321</v>
      </c>
      <c r="D30" s="72">
        <v>158466</v>
      </c>
      <c r="E30" s="72">
        <v>258730</v>
      </c>
      <c r="F30" s="72">
        <v>313503</v>
      </c>
      <c r="G30" s="72">
        <v>368459</v>
      </c>
      <c r="H30" s="72">
        <v>417898</v>
      </c>
      <c r="I30" s="72">
        <v>661883</v>
      </c>
      <c r="J30" s="72">
        <v>590883</v>
      </c>
      <c r="K30" s="72">
        <v>679265</v>
      </c>
      <c r="L30" s="27"/>
    </row>
    <row r="31" spans="1:12" x14ac:dyDescent="0.15">
      <c r="A31" s="27" t="s">
        <v>62</v>
      </c>
      <c r="B31" s="74" t="s">
        <v>159</v>
      </c>
      <c r="C31" s="72">
        <v>35841</v>
      </c>
      <c r="D31" s="72">
        <v>61505</v>
      </c>
      <c r="E31" s="72">
        <v>74547</v>
      </c>
      <c r="F31" s="72">
        <v>73809</v>
      </c>
      <c r="G31" s="72">
        <v>93408</v>
      </c>
      <c r="H31" s="72">
        <v>148772</v>
      </c>
      <c r="I31" s="72">
        <v>234165</v>
      </c>
      <c r="J31" s="72">
        <v>265302</v>
      </c>
      <c r="K31" s="72">
        <v>311290</v>
      </c>
      <c r="L31" s="27"/>
    </row>
    <row r="32" spans="1:12" x14ac:dyDescent="0.15">
      <c r="A32" s="27" t="s">
        <v>63</v>
      </c>
      <c r="B32" s="74" t="s">
        <v>159</v>
      </c>
      <c r="C32" s="72">
        <v>1267</v>
      </c>
      <c r="D32" s="72">
        <v>3500</v>
      </c>
      <c r="E32" s="72">
        <v>3500</v>
      </c>
      <c r="F32" s="72">
        <v>3500</v>
      </c>
      <c r="G32" s="74" t="s">
        <v>159</v>
      </c>
      <c r="H32" s="72">
        <v>1647</v>
      </c>
      <c r="I32" s="72">
        <v>2103</v>
      </c>
      <c r="J32" s="72">
        <v>2103</v>
      </c>
      <c r="K32" s="72">
        <v>2103</v>
      </c>
      <c r="L32" s="27"/>
    </row>
    <row r="33" spans="1:12" x14ac:dyDescent="0.15">
      <c r="A33" s="27" t="s">
        <v>64</v>
      </c>
      <c r="B33" s="74" t="s">
        <v>159</v>
      </c>
      <c r="C33" s="72">
        <v>12145</v>
      </c>
      <c r="D33" s="72">
        <v>20243</v>
      </c>
      <c r="E33" s="72">
        <v>22523</v>
      </c>
      <c r="F33" s="72">
        <v>13473</v>
      </c>
      <c r="G33" s="72">
        <v>90674</v>
      </c>
      <c r="H33" s="72">
        <v>130519</v>
      </c>
      <c r="I33" s="72">
        <v>133864</v>
      </c>
      <c r="J33" s="72">
        <v>148470</v>
      </c>
      <c r="K33" s="72">
        <v>159355</v>
      </c>
      <c r="L33" s="27"/>
    </row>
    <row r="34" spans="1:12" s="29" customFormat="1" ht="14" x14ac:dyDescent="0.15">
      <c r="A34" s="28" t="s">
        <v>65</v>
      </c>
      <c r="B34" s="184" t="s">
        <v>159</v>
      </c>
      <c r="C34" s="73">
        <v>196574</v>
      </c>
      <c r="D34" s="73">
        <v>243714</v>
      </c>
      <c r="E34" s="73">
        <v>359300</v>
      </c>
      <c r="F34" s="73">
        <v>404285</v>
      </c>
      <c r="G34" s="73">
        <v>552541</v>
      </c>
      <c r="H34" s="73">
        <v>698836</v>
      </c>
      <c r="I34" s="73">
        <v>1032015</v>
      </c>
      <c r="J34" s="73">
        <v>1006758</v>
      </c>
      <c r="K34" s="73">
        <v>1152013</v>
      </c>
      <c r="L34" s="28"/>
    </row>
    <row r="35" spans="1:12" x14ac:dyDescent="0.15">
      <c r="A35" s="27" t="s">
        <v>66</v>
      </c>
      <c r="B35" s="74" t="s">
        <v>159</v>
      </c>
      <c r="C35" s="72">
        <v>176323</v>
      </c>
      <c r="D35" s="72">
        <v>387243</v>
      </c>
      <c r="E35" s="72">
        <v>185562</v>
      </c>
      <c r="F35" s="72">
        <v>141834</v>
      </c>
      <c r="G35" s="72">
        <v>142606</v>
      </c>
      <c r="H35" s="72">
        <v>207157</v>
      </c>
      <c r="I35" s="72">
        <v>195762</v>
      </c>
      <c r="J35" s="72">
        <v>405551</v>
      </c>
      <c r="K35" s="72">
        <v>194939</v>
      </c>
      <c r="L35" s="27"/>
    </row>
    <row r="36" spans="1:12" x14ac:dyDescent="0.15">
      <c r="A36" s="27" t="s">
        <v>67</v>
      </c>
      <c r="B36" s="74" t="s">
        <v>159</v>
      </c>
      <c r="C36" s="72">
        <v>46798</v>
      </c>
      <c r="D36" s="72">
        <v>45015</v>
      </c>
      <c r="E36" s="72">
        <v>52788</v>
      </c>
      <c r="F36" s="72">
        <v>63818</v>
      </c>
      <c r="G36" s="72">
        <v>18378</v>
      </c>
      <c r="H36" s="72">
        <v>27990</v>
      </c>
      <c r="I36" s="72">
        <v>40958</v>
      </c>
      <c r="J36" s="72">
        <v>41520</v>
      </c>
      <c r="K36" s="72">
        <v>67188</v>
      </c>
      <c r="L36" s="27"/>
    </row>
    <row r="37" spans="1:12" x14ac:dyDescent="0.15">
      <c r="A37" s="27" t="s">
        <v>68</v>
      </c>
      <c r="B37" s="74" t="s">
        <v>159</v>
      </c>
      <c r="C37" s="72">
        <v>16828</v>
      </c>
      <c r="D37" s="72">
        <v>20911</v>
      </c>
      <c r="E37" s="72">
        <v>27482</v>
      </c>
      <c r="F37" s="72">
        <v>39845</v>
      </c>
      <c r="G37" s="72">
        <v>846448</v>
      </c>
      <c r="H37" s="72">
        <v>949054</v>
      </c>
      <c r="I37" s="72">
        <v>1138761</v>
      </c>
      <c r="J37" s="72">
        <v>1240237</v>
      </c>
      <c r="K37" s="72">
        <v>1317420</v>
      </c>
      <c r="L37" s="27"/>
    </row>
    <row r="38" spans="1:12" s="29" customFormat="1" ht="14" x14ac:dyDescent="0.15">
      <c r="A38" s="28" t="s">
        <v>69</v>
      </c>
      <c r="B38" s="184" t="s">
        <v>159</v>
      </c>
      <c r="C38" s="73">
        <v>436523</v>
      </c>
      <c r="D38" s="73">
        <v>696883</v>
      </c>
      <c r="E38" s="73">
        <v>625132</v>
      </c>
      <c r="F38" s="73">
        <v>649782</v>
      </c>
      <c r="G38" s="73">
        <v>1559973</v>
      </c>
      <c r="H38" s="73">
        <v>1883037</v>
      </c>
      <c r="I38" s="73">
        <v>2407496</v>
      </c>
      <c r="J38" s="73">
        <v>2694066</v>
      </c>
      <c r="K38" s="73">
        <v>2731560</v>
      </c>
      <c r="L38" s="28"/>
    </row>
    <row r="39" spans="1:12" x14ac:dyDescent="0.15">
      <c r="A39" s="27" t="s">
        <v>70</v>
      </c>
      <c r="B39" s="74" t="s">
        <v>159</v>
      </c>
      <c r="C39" s="72">
        <v>83</v>
      </c>
      <c r="D39" s="72">
        <v>83</v>
      </c>
      <c r="E39" s="72">
        <v>96</v>
      </c>
      <c r="F39" s="72">
        <v>98</v>
      </c>
      <c r="G39" s="72">
        <v>101</v>
      </c>
      <c r="H39" s="72">
        <v>104</v>
      </c>
      <c r="I39" s="72">
        <v>106</v>
      </c>
      <c r="J39" s="72">
        <v>106</v>
      </c>
      <c r="K39" s="72">
        <v>107</v>
      </c>
      <c r="L39" s="27"/>
    </row>
    <row r="40" spans="1:12" x14ac:dyDescent="0.15">
      <c r="A40" s="27" t="s">
        <v>71</v>
      </c>
      <c r="B40" s="74" t="s">
        <v>159</v>
      </c>
      <c r="C40" s="72">
        <v>264288</v>
      </c>
      <c r="D40" s="72">
        <v>117270</v>
      </c>
      <c r="E40" s="72">
        <v>323419</v>
      </c>
      <c r="F40" s="72">
        <v>340462</v>
      </c>
      <c r="G40" s="72">
        <v>370413</v>
      </c>
      <c r="H40" s="72">
        <v>408124</v>
      </c>
      <c r="I40" s="72">
        <v>450332</v>
      </c>
      <c r="J40" s="72">
        <v>482312</v>
      </c>
      <c r="K40" s="72">
        <v>513060</v>
      </c>
      <c r="L40" s="27"/>
    </row>
    <row r="41" spans="1:12" x14ac:dyDescent="0.15">
      <c r="A41" s="27" t="s">
        <v>72</v>
      </c>
      <c r="B41" s="74" t="s">
        <v>159</v>
      </c>
      <c r="C41" s="72">
        <v>48094</v>
      </c>
      <c r="D41" s="72">
        <v>16754</v>
      </c>
      <c r="E41" s="72">
        <v>119550</v>
      </c>
      <c r="F41" s="72">
        <v>243563</v>
      </c>
      <c r="G41" s="72">
        <v>394015</v>
      </c>
      <c r="H41" s="72">
        <v>588996</v>
      </c>
      <c r="I41" s="72">
        <v>872226</v>
      </c>
      <c r="J41" s="72">
        <v>1170421</v>
      </c>
      <c r="K41" s="72">
        <v>1416401</v>
      </c>
      <c r="L41" s="27"/>
    </row>
    <row r="42" spans="1:12" x14ac:dyDescent="0.15">
      <c r="A42" s="27" t="s">
        <v>73</v>
      </c>
      <c r="B42" s="74" t="s">
        <v>159</v>
      </c>
      <c r="C42" s="72">
        <v>-100</v>
      </c>
      <c r="D42" s="72">
        <v>176</v>
      </c>
      <c r="E42" s="72">
        <v>-205</v>
      </c>
      <c r="F42" s="72">
        <v>186</v>
      </c>
      <c r="G42" s="72">
        <v>-193</v>
      </c>
      <c r="H42" s="72">
        <v>164</v>
      </c>
      <c r="I42" s="72">
        <v>535</v>
      </c>
      <c r="J42" s="72">
        <v>4337</v>
      </c>
      <c r="K42" s="72">
        <v>1422</v>
      </c>
      <c r="L42" s="27"/>
    </row>
    <row r="43" spans="1:12" x14ac:dyDescent="0.15">
      <c r="A43" s="27" t="s">
        <v>75</v>
      </c>
      <c r="B43" s="74" t="s">
        <v>159</v>
      </c>
      <c r="C43" s="72">
        <v>312365</v>
      </c>
      <c r="D43" s="72">
        <v>134283</v>
      </c>
      <c r="E43" s="72">
        <v>442860</v>
      </c>
      <c r="F43" s="72">
        <v>584309</v>
      </c>
      <c r="G43" s="72">
        <v>764336</v>
      </c>
      <c r="H43" s="72">
        <v>997388</v>
      </c>
      <c r="I43" s="72">
        <v>1323199</v>
      </c>
      <c r="J43" s="72">
        <v>1657176</v>
      </c>
      <c r="K43" s="72">
        <v>1930990</v>
      </c>
      <c r="L43" s="27"/>
    </row>
    <row r="44" spans="1:12" s="29" customFormat="1" ht="14" x14ac:dyDescent="0.15">
      <c r="A44" s="28" t="s">
        <v>76</v>
      </c>
      <c r="B44" s="184" t="s">
        <v>159</v>
      </c>
      <c r="C44" s="73">
        <v>748888</v>
      </c>
      <c r="D44" s="73">
        <v>831166</v>
      </c>
      <c r="E44" s="73">
        <v>1067992</v>
      </c>
      <c r="F44" s="73">
        <v>1234091</v>
      </c>
      <c r="G44" s="73">
        <v>2324309</v>
      </c>
      <c r="H44" s="73">
        <v>2880425</v>
      </c>
      <c r="I44" s="73">
        <v>3730695</v>
      </c>
      <c r="J44" s="73">
        <v>4351242</v>
      </c>
      <c r="K44" s="73">
        <v>4662550</v>
      </c>
      <c r="L44" s="28"/>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22949-373A-8447-905B-46D855EFA956}">
  <dimension ref="A4:L63"/>
  <sheetViews>
    <sheetView topLeftCell="A2" workbookViewId="0">
      <selection activeCell="N73" sqref="N73"/>
    </sheetView>
  </sheetViews>
  <sheetFormatPr baseColWidth="10" defaultColWidth="8.83203125" defaultRowHeight="13" x14ac:dyDescent="0.15"/>
  <cols>
    <col min="1" max="1" width="50" style="20" customWidth="1"/>
    <col min="2" max="11" width="20.33203125" style="20" bestFit="1" customWidth="1"/>
    <col min="12" max="191" width="12" style="20" customWidth="1"/>
    <col min="192" max="16384" width="8.83203125" style="20"/>
  </cols>
  <sheetData>
    <row r="4" spans="1:12" x14ac:dyDescent="0.15">
      <c r="A4" s="21" t="s">
        <v>0</v>
      </c>
    </row>
    <row r="5" spans="1:12" ht="20" x14ac:dyDescent="0.2">
      <c r="A5" s="22" t="s">
        <v>161</v>
      </c>
    </row>
    <row r="7" spans="1:12" ht="14" x14ac:dyDescent="0.15">
      <c r="A7" s="23" t="s">
        <v>2</v>
      </c>
    </row>
    <row r="10" spans="1:12" ht="14" x14ac:dyDescent="0.15">
      <c r="A10" s="24" t="s">
        <v>47</v>
      </c>
    </row>
    <row r="11" spans="1:12" ht="14" x14ac:dyDescent="0.15">
      <c r="A11" s="25" t="s">
        <v>4</v>
      </c>
      <c r="B11" s="26" t="s">
        <v>162</v>
      </c>
      <c r="C11" s="26" t="s">
        <v>163</v>
      </c>
      <c r="D11" s="26" t="s">
        <v>164</v>
      </c>
      <c r="E11" s="26" t="s">
        <v>165</v>
      </c>
      <c r="F11" s="26" t="s">
        <v>166</v>
      </c>
      <c r="G11" s="26" t="s">
        <v>167</v>
      </c>
      <c r="H11" s="26" t="s">
        <v>168</v>
      </c>
      <c r="I11" s="26" t="s">
        <v>169</v>
      </c>
      <c r="J11" s="26" t="s">
        <v>170</v>
      </c>
      <c r="K11" s="26" t="s">
        <v>171</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ht="14" x14ac:dyDescent="0.15">
      <c r="A16" s="27" t="s">
        <v>48</v>
      </c>
      <c r="B16" s="185" t="e">
        <f>'FND Balance Sheet'!B16/'FND Income Statement'!B$17</f>
        <v>#VALUE!</v>
      </c>
      <c r="C16" s="185">
        <f>'FND Balance Sheet'!C16/'FND Income Statement'!C$17</f>
        <v>4.0560603664229627E-4</v>
      </c>
      <c r="D16" s="185">
        <f>'FND Balance Sheet'!D16/'FND Income Statement'!D$17</f>
        <v>4.2921354944378302E-4</v>
      </c>
      <c r="E16" s="185">
        <f>'FND Balance Sheet'!E16/'FND Income Statement'!E$17</f>
        <v>4.0151159003644658E-4</v>
      </c>
      <c r="F16" s="185">
        <f>'FND Balance Sheet'!F16/'FND Income Statement'!F$17</f>
        <v>3.7664166639373792E-4</v>
      </c>
      <c r="G16" s="185">
        <f>'FND Balance Sheet'!G16/'FND Income Statement'!G$17</f>
        <v>1.3218079489365696E-2</v>
      </c>
      <c r="H16" s="185">
        <f>'FND Balance Sheet'!H16/'FND Income Statement'!H$17</f>
        <v>0.12687506080498379</v>
      </c>
      <c r="I16" s="185">
        <f>'FND Balance Sheet'!I16/'FND Income Statement'!I$17</f>
        <v>4.0612395453895452E-2</v>
      </c>
      <c r="J16" s="185">
        <f>'FND Balance Sheet'!J16/'FND Income Statement'!J$17</f>
        <v>2.2966495508354727E-3</v>
      </c>
      <c r="K16" s="185">
        <f>'FND Balance Sheet'!K16/'FND Income Statement'!K$17</f>
        <v>7.7895114597483755E-3</v>
      </c>
      <c r="L16" s="27"/>
    </row>
    <row r="17" spans="1:12" ht="14" x14ac:dyDescent="0.15">
      <c r="A17" s="27" t="s">
        <v>49</v>
      </c>
      <c r="B17" s="185" t="e">
        <f>'FND Balance Sheet'!B17/'FND Income Statement'!B$17</f>
        <v>#VALUE!</v>
      </c>
      <c r="C17" s="185">
        <f>'FND Balance Sheet'!C17/'FND Income Statement'!C$17</f>
        <v>4.0560603664229627E-4</v>
      </c>
      <c r="D17" s="185">
        <f>'FND Balance Sheet'!D17/'FND Income Statement'!D$17</f>
        <v>4.2921354944378302E-4</v>
      </c>
      <c r="E17" s="185">
        <f>'FND Balance Sheet'!E17/'FND Income Statement'!E$17</f>
        <v>4.0151159003644658E-4</v>
      </c>
      <c r="F17" s="185">
        <f>'FND Balance Sheet'!F17/'FND Income Statement'!F$17</f>
        <v>3.7664166639373792E-4</v>
      </c>
      <c r="G17" s="185">
        <f>'FND Balance Sheet'!G17/'FND Income Statement'!G$17</f>
        <v>1.3218079489365696E-2</v>
      </c>
      <c r="H17" s="185">
        <f>'FND Balance Sheet'!H17/'FND Income Statement'!H$17</f>
        <v>0.12687506080498379</v>
      </c>
      <c r="I17" s="185">
        <f>'FND Balance Sheet'!I17/'FND Income Statement'!I$17</f>
        <v>4.0612395453895452E-2</v>
      </c>
      <c r="J17" s="185">
        <f>'FND Balance Sheet'!J17/'FND Income Statement'!J$17</f>
        <v>2.2966495508354727E-3</v>
      </c>
      <c r="K17" s="185">
        <f>'FND Balance Sheet'!K17/'FND Income Statement'!K$17</f>
        <v>7.7895114597483755E-3</v>
      </c>
      <c r="L17" s="27"/>
    </row>
    <row r="18" spans="1:12" ht="14" x14ac:dyDescent="0.15">
      <c r="A18" s="27" t="s">
        <v>50</v>
      </c>
      <c r="B18" s="185" t="e">
        <f>'FND Balance Sheet'!B18/'FND Income Statement'!B$17</f>
        <v>#VALUE!</v>
      </c>
      <c r="C18" s="185">
        <f>'FND Balance Sheet'!C18/'FND Income Statement'!C$17</f>
        <v>3.0280148773233064E-2</v>
      </c>
      <c r="D18" s="185">
        <f>'FND Balance Sheet'!D18/'FND Income Statement'!D$17</f>
        <v>3.2864814862399463E-2</v>
      </c>
      <c r="E18" s="185">
        <f>'FND Balance Sheet'!E18/'FND Income Statement'!E$17</f>
        <v>3.9025337836618004E-2</v>
      </c>
      <c r="F18" s="185">
        <f>'FND Balance Sheet'!F18/'FND Income Statement'!F$17</f>
        <v>3.9492984171692454E-2</v>
      </c>
      <c r="G18" s="185">
        <f>'FND Balance Sheet'!G18/'FND Income Statement'!G$17</f>
        <v>3.3880464796113924E-2</v>
      </c>
      <c r="H18" s="185">
        <f>'FND Balance Sheet'!H18/'FND Income Statement'!H$17</f>
        <v>2.0787884184438211E-2</v>
      </c>
      <c r="I18" s="185">
        <f>'FND Balance Sheet'!I18/'FND Income Statement'!I$17</f>
        <v>2.3725707602053045E-2</v>
      </c>
      <c r="J18" s="185">
        <f>'FND Balance Sheet'!J18/'FND Income Statement'!J$17</f>
        <v>2.221423374001899E-2</v>
      </c>
      <c r="K18" s="185">
        <f>'FND Balance Sheet'!K18/'FND Income Statement'!K$17</f>
        <v>2.2545449767143858E-2</v>
      </c>
      <c r="L18" s="27"/>
    </row>
    <row r="19" spans="1:12" ht="14" x14ac:dyDescent="0.15">
      <c r="A19" s="27" t="s">
        <v>51</v>
      </c>
      <c r="B19" s="185" t="e">
        <f>'FND Balance Sheet'!B19/'FND Income Statement'!B$17</f>
        <v>#VALUE!</v>
      </c>
      <c r="C19" s="185">
        <f>'FND Balance Sheet'!C19/'FND Income Statement'!C$17</f>
        <v>0.34765921950174233</v>
      </c>
      <c r="D19" s="185">
        <f>'FND Balance Sheet'!D19/'FND Income Statement'!D$17</f>
        <v>0.27951414168234578</v>
      </c>
      <c r="E19" s="185">
        <f>'FND Balance Sheet'!E19/'FND Income Statement'!E$17</f>
        <v>0.30904115999298076</v>
      </c>
      <c r="F19" s="185">
        <f>'FND Balance Sheet'!F19/'FND Income Statement'!F$17</f>
        <v>0.27547126996083865</v>
      </c>
      <c r="G19" s="185">
        <f>'FND Balance Sheet'!G19/'FND Income Statement'!G$17</f>
        <v>0.28446713104559568</v>
      </c>
      <c r="H19" s="185">
        <f>'FND Balance Sheet'!H19/'FND Income Statement'!H$17</f>
        <v>0.26960311453432861</v>
      </c>
      <c r="I19" s="185">
        <f>'FND Balance Sheet'!I19/'FND Income Statement'!I$17</f>
        <v>0.29361913807148499</v>
      </c>
      <c r="J19" s="185">
        <f>'FND Balance Sheet'!J19/'FND Income Statement'!J$17</f>
        <v>0.30304705880421801</v>
      </c>
      <c r="K19" s="185">
        <f>'FND Balance Sheet'!K19/'FND Income Statement'!K$17</f>
        <v>0.25060694843815562</v>
      </c>
      <c r="L19" s="27"/>
    </row>
    <row r="20" spans="1:12" ht="14" x14ac:dyDescent="0.15">
      <c r="A20" s="27" t="s">
        <v>172</v>
      </c>
      <c r="B20" s="185" t="e">
        <f>'FND Balance Sheet'!B20/'FND Income Statement'!B$17</f>
        <v>#VALUE!</v>
      </c>
      <c r="C20" s="185">
        <f>'FND Balance Sheet'!C20/'FND Income Statement'!C$17</f>
        <v>3.1683188522624653E-3</v>
      </c>
      <c r="D20" s="185" t="e">
        <f>'FND Balance Sheet'!D20/'FND Income Statement'!D$17</f>
        <v>#VALUE!</v>
      </c>
      <c r="E20" s="185">
        <f>'FND Balance Sheet'!E20/'FND Income Statement'!E$17</f>
        <v>9.0065693362132403E-3</v>
      </c>
      <c r="F20" s="185">
        <f>'FND Balance Sheet'!F20/'FND Income Statement'!F$17</f>
        <v>2.5288797600722403E-3</v>
      </c>
      <c r="G20" s="185">
        <f>'FND Balance Sheet'!G20/'FND Income Statement'!G$17</f>
        <v>1.4021323362614498E-3</v>
      </c>
      <c r="H20" s="185" t="e">
        <f>'FND Balance Sheet'!H20/'FND Income Statement'!H$17</f>
        <v>#VALUE!</v>
      </c>
      <c r="I20" s="185">
        <f>'FND Balance Sheet'!I20/'FND Income Statement'!I$17</f>
        <v>1.0213969109951761E-3</v>
      </c>
      <c r="J20" s="185">
        <f>'FND Balance Sheet'!J20/'FND Income Statement'!J$17</f>
        <v>1.7176800040708429E-3</v>
      </c>
      <c r="K20" s="185">
        <f>'FND Balance Sheet'!K20/'FND Income Statement'!K$17</f>
        <v>6.3141668426265844E-3</v>
      </c>
      <c r="L20" s="27"/>
    </row>
    <row r="21" spans="1:12" ht="14" x14ac:dyDescent="0.15">
      <c r="A21" s="27" t="s">
        <v>52</v>
      </c>
      <c r="B21" s="185" t="e">
        <f>'FND Balance Sheet'!B21/'FND Income Statement'!B$17</f>
        <v>#VALUE!</v>
      </c>
      <c r="C21" s="185">
        <f>'FND Balance Sheet'!C21/'FND Income Statement'!C$17</f>
        <v>7.7537078514104373E-3</v>
      </c>
      <c r="D21" s="185">
        <f>'FND Balance Sheet'!D21/'FND Income Statement'!D$17</f>
        <v>7.1652967045725997E-3</v>
      </c>
      <c r="E21" s="185">
        <f>'FND Balance Sheet'!E21/'FND Income Statement'!E$17</f>
        <v>5.9165188078572064E-3</v>
      </c>
      <c r="F21" s="185">
        <f>'FND Balance Sheet'!F21/'FND Income Statement'!F$17</f>
        <v>9.3277297163256619E-3</v>
      </c>
      <c r="G21" s="185">
        <f>'FND Balance Sheet'!G21/'FND Income Statement'!G$17</f>
        <v>9.9806595693087505E-3</v>
      </c>
      <c r="H21" s="185">
        <f>'FND Balance Sheet'!H21/'FND Income Statement'!H$17</f>
        <v>1.1648585944031382E-2</v>
      </c>
      <c r="I21" s="185">
        <f>'FND Balance Sheet'!I21/'FND Income Statement'!I$17</f>
        <v>1.1876979193151777E-2</v>
      </c>
      <c r="J21" s="185">
        <f>'FND Balance Sheet'!J21/'FND Income Statement'!J$17</f>
        <v>1.2498144553852258E-2</v>
      </c>
      <c r="K21" s="185">
        <f>'FND Balance Sheet'!K21/'FND Income Statement'!K$17</f>
        <v>1.1039030477466105E-2</v>
      </c>
      <c r="L21" s="27"/>
    </row>
    <row r="22" spans="1:12" s="29" customFormat="1" ht="14" x14ac:dyDescent="0.15">
      <c r="A22" s="28" t="s">
        <v>53</v>
      </c>
      <c r="B22" s="186" t="e">
        <f>'FND Balance Sheet'!B22/'FND Income Statement'!B$17</f>
        <v>#VALUE!</v>
      </c>
      <c r="C22" s="186">
        <f>'FND Balance Sheet'!C22/'FND Income Statement'!C$17</f>
        <v>0.3892670010152906</v>
      </c>
      <c r="D22" s="186">
        <f>'FND Balance Sheet'!D22/'FND Income Statement'!D$17</f>
        <v>0.31997346679876165</v>
      </c>
      <c r="E22" s="186">
        <f>'FND Balance Sheet'!E22/'FND Income Statement'!E$17</f>
        <v>0.36339109756370569</v>
      </c>
      <c r="F22" s="186">
        <f>'FND Balance Sheet'!F22/'FND Income Statement'!F$17</f>
        <v>0.32719750527532271</v>
      </c>
      <c r="G22" s="186">
        <f>'FND Balance Sheet'!G22/'FND Income Statement'!G$17</f>
        <v>0.34294846723664552</v>
      </c>
      <c r="H22" s="186">
        <f>'FND Balance Sheet'!H22/'FND Income Statement'!H$17</f>
        <v>0.42891464546778202</v>
      </c>
      <c r="I22" s="186">
        <f>'FND Balance Sheet'!I22/'FND Income Statement'!I$17</f>
        <v>0.37085561723158039</v>
      </c>
      <c r="J22" s="186">
        <f>'FND Balance Sheet'!J22/'FND Income Statement'!J$17</f>
        <v>0.34177376665299558</v>
      </c>
      <c r="K22" s="186">
        <f>'FND Balance Sheet'!K22/'FND Income Statement'!K$17</f>
        <v>0.2982951069851405</v>
      </c>
      <c r="L22" s="28"/>
    </row>
    <row r="23" spans="1:12" ht="14" x14ac:dyDescent="0.15">
      <c r="A23" s="27" t="s">
        <v>54</v>
      </c>
      <c r="B23" s="185" t="e">
        <f>'FND Balance Sheet'!B23/'FND Income Statement'!B$17</f>
        <v>#VALUE!</v>
      </c>
      <c r="C23" s="185">
        <f>'FND Balance Sheet'!C23/'FND Income Statement'!C$17</f>
        <v>0.19054172640214689</v>
      </c>
      <c r="D23" s="185">
        <f>'FND Balance Sheet'!D23/'FND Income Statement'!D$17</f>
        <v>0.21005006856948169</v>
      </c>
      <c r="E23" s="185">
        <f>'FND Balance Sheet'!E23/'FND Income Statement'!E$17</f>
        <v>0.23517169314404518</v>
      </c>
      <c r="F23" s="185">
        <f>'FND Balance Sheet'!F23/'FND Income Statement'!F$17</f>
        <v>0.2807553653892042</v>
      </c>
      <c r="G23" s="185">
        <f>'FND Balance Sheet'!G23/'FND Income Statement'!G$17</f>
        <v>0.33272727450504924</v>
      </c>
      <c r="H23" s="185">
        <f>'FND Balance Sheet'!H23/'FND Income Statement'!H$17</f>
        <v>0.36069557603549857</v>
      </c>
      <c r="I23" s="185">
        <f>'FND Balance Sheet'!I23/'FND Income Statement'!I$17</f>
        <v>0.39020128829401085</v>
      </c>
      <c r="J23" s="185">
        <f>'FND Balance Sheet'!J23/'FND Income Statement'!J$17</f>
        <v>0.40103548551016738</v>
      </c>
      <c r="K23" s="185">
        <f>'FND Balance Sheet'!K23/'FND Income Statement'!K$17</f>
        <v>0.51027349155528323</v>
      </c>
      <c r="L23" s="27"/>
    </row>
    <row r="24" spans="1:12" ht="14" x14ac:dyDescent="0.15">
      <c r="A24" s="27" t="s">
        <v>55</v>
      </c>
      <c r="B24" s="185" t="e">
        <f>'FND Balance Sheet'!B24/'FND Income Statement'!B$17</f>
        <v>#VALUE!</v>
      </c>
      <c r="C24" s="185">
        <f>'FND Balance Sheet'!C24/'FND Income Statement'!C$17</f>
        <v>5.9187869573424895E-2</v>
      </c>
      <c r="D24" s="185">
        <f>'FND Balance Sheet'!D24/'FND Income Statement'!D$17</f>
        <v>6.6847869016587055E-2</v>
      </c>
      <c r="E24" s="185">
        <f>'FND Balance Sheet'!E24/'FND Income Statement'!E$17</f>
        <v>7.5612720407115419E-2</v>
      </c>
      <c r="F24" s="185">
        <f>'FND Balance Sheet'!F24/'FND Income Statement'!F$17</f>
        <v>8.8711394229194648E-2</v>
      </c>
      <c r="G24" s="185">
        <f>'FND Balance Sheet'!G24/'FND Income Statement'!G$17</f>
        <v>0.10965281091355668</v>
      </c>
      <c r="H24" s="185">
        <f>'FND Balance Sheet'!H24/'FND Income Statement'!H$17</f>
        <v>0.1218622567182293</v>
      </c>
      <c r="I24" s="185">
        <f>'FND Balance Sheet'!I24/'FND Income Statement'!I$17</f>
        <v>0.11961032557427</v>
      </c>
      <c r="J24" s="185">
        <f>'FND Balance Sheet'!J24/'FND Income Statement'!J$17</f>
        <v>0.10602693462943721</v>
      </c>
      <c r="K24" s="185">
        <f>'FND Balance Sheet'!K24/'FND Income Statement'!K$17</f>
        <v>0.14100302590643524</v>
      </c>
      <c r="L24" s="27"/>
    </row>
    <row r="25" spans="1:12" ht="14" x14ac:dyDescent="0.15">
      <c r="A25" s="27" t="s">
        <v>56</v>
      </c>
      <c r="B25" s="185" t="e">
        <f>'FND Balance Sheet'!B25/'FND Income Statement'!B$17</f>
        <v>#VALUE!</v>
      </c>
      <c r="C25" s="185">
        <f>'FND Balance Sheet'!C25/'FND Income Statement'!C$17</f>
        <v>0.131353856828722</v>
      </c>
      <c r="D25" s="185">
        <f>'FND Balance Sheet'!D25/'FND Income Statement'!D$17</f>
        <v>0.14320219955289462</v>
      </c>
      <c r="E25" s="185">
        <f>'FND Balance Sheet'!E25/'FND Income Statement'!E$17</f>
        <v>0.15955897273692976</v>
      </c>
      <c r="F25" s="185">
        <f>'FND Balance Sheet'!F25/'FND Income Statement'!F$17</f>
        <v>0.19204397116000954</v>
      </c>
      <c r="G25" s="185">
        <f>'FND Balance Sheet'!G25/'FND Income Statement'!G$17</f>
        <v>0.22307446359149255</v>
      </c>
      <c r="H25" s="185">
        <f>'FND Balance Sheet'!H25/'FND Income Statement'!H$17</f>
        <v>0.23883331931726928</v>
      </c>
      <c r="I25" s="185">
        <f>'FND Balance Sheet'!I25/'FND Income Statement'!I$17</f>
        <v>0.27059096271974087</v>
      </c>
      <c r="J25" s="185">
        <f>'FND Balance Sheet'!J25/'FND Income Statement'!J$17</f>
        <v>0.29500855088073014</v>
      </c>
      <c r="K25" s="185">
        <f>'FND Balance Sheet'!K25/'FND Income Statement'!K$17</f>
        <v>0.36927046564884802</v>
      </c>
      <c r="L25" s="27"/>
    </row>
    <row r="26" spans="1:12" ht="14" x14ac:dyDescent="0.15">
      <c r="A26" s="27" t="s">
        <v>57</v>
      </c>
      <c r="B26" s="185" t="e">
        <f>'FND Balance Sheet'!B26/'FND Income Statement'!B$17</f>
        <v>#VALUE!</v>
      </c>
      <c r="C26" s="185">
        <f>'FND Balance Sheet'!C26/'FND Income Statement'!C$17</f>
        <v>0.4296783722698122</v>
      </c>
      <c r="D26" s="185">
        <f>'FND Balance Sheet'!D26/'FND Income Statement'!D$17</f>
        <v>0.32056922662570581</v>
      </c>
      <c r="E26" s="185">
        <f>'FND Balance Sheet'!E26/'FND Income Statement'!E$17</f>
        <v>0.24322431138234807</v>
      </c>
      <c r="F26" s="185">
        <f>'FND Balance Sheet'!F26/'FND Income Statement'!F$17</f>
        <v>0.19696312186814266</v>
      </c>
      <c r="G26" s="185">
        <f>'FND Balance Sheet'!G26/'FND Income Statement'!G$17</f>
        <v>0.16463126070665907</v>
      </c>
      <c r="H26" s="185">
        <f>'FND Balance Sheet'!H26/'FND Income Statement'!H$17</f>
        <v>0.13880685369042967</v>
      </c>
      <c r="I26" s="185">
        <f>'FND Balance Sheet'!I26/'FND Income Statement'!I$17</f>
        <v>0.1186556238137219</v>
      </c>
      <c r="J26" s="185">
        <f>'FND Balance Sheet'!J26/'FND Income Statement'!J$17</f>
        <v>9.5633387759753663E-2</v>
      </c>
      <c r="K26" s="185">
        <f>'FND Balance Sheet'!K26/'FND Income Statement'!K$17</f>
        <v>9.329855519537894E-2</v>
      </c>
      <c r="L26" s="27"/>
    </row>
    <row r="27" spans="1:12" ht="14" x14ac:dyDescent="0.15">
      <c r="A27" s="27" t="s">
        <v>58</v>
      </c>
      <c r="B27" s="185" t="e">
        <f>'FND Balance Sheet'!B27/'FND Income Statement'!B$17</f>
        <v>#VALUE!</v>
      </c>
      <c r="C27" s="185">
        <f>'FND Balance Sheet'!C27/'FND Income Statement'!C$17</f>
        <v>4.9004351974204479E-3</v>
      </c>
      <c r="D27" s="185">
        <f>'FND Balance Sheet'!D27/'FND Income Statement'!D$17</f>
        <v>7.2699829361442536E-3</v>
      </c>
      <c r="E27" s="185">
        <f>'FND Balance Sheet'!E27/'FND Income Statement'!E$17</f>
        <v>5.0687227526363642E-3</v>
      </c>
      <c r="F27" s="185">
        <f>'FND Balance Sheet'!F27/'FND Income Statement'!F$17</f>
        <v>5.5502009535350512E-3</v>
      </c>
      <c r="G27" s="185">
        <f>'FND Balance Sheet'!G27/'FND Income Statement'!G$17</f>
        <v>0.40567384485415475</v>
      </c>
      <c r="H27" s="185">
        <f>'FND Balance Sheet'!H27/'FND Income Statement'!H$17</f>
        <v>0.38086345550394346</v>
      </c>
      <c r="I27" s="185">
        <f>'FND Balance Sheet'!I27/'FND Income Statement'!I$17</f>
        <v>0.32358127910813728</v>
      </c>
      <c r="J27" s="185">
        <f>'FND Balance Sheet'!J27/'FND Income Statement'!J$17</f>
        <v>0.28528964774779908</v>
      </c>
      <c r="K27" s="185">
        <f>'FND Balance Sheet'!K27/'FND Income Statement'!K$17</f>
        <v>0.29224986429185723</v>
      </c>
      <c r="L27" s="27"/>
    </row>
    <row r="28" spans="1:12" s="29" customFormat="1" ht="14" x14ac:dyDescent="0.15">
      <c r="A28" s="28" t="s">
        <v>59</v>
      </c>
      <c r="B28" s="186" t="e">
        <f>'FND Balance Sheet'!B28/'FND Income Statement'!B$17</f>
        <v>#VALUE!</v>
      </c>
      <c r="C28" s="186">
        <f>'FND Balance Sheet'!C28/'FND Income Statement'!C$17</f>
        <v>0.95519966531124523</v>
      </c>
      <c r="D28" s="186">
        <f>'FND Balance Sheet'!D28/'FND Income Statement'!D$17</f>
        <v>0.79101487591350628</v>
      </c>
      <c r="E28" s="186">
        <f>'FND Balance Sheet'!E28/'FND Income Statement'!E$17</f>
        <v>0.77124310443561983</v>
      </c>
      <c r="F28" s="186">
        <f>'FND Balance Sheet'!F28/'FND Income Statement'!F$17</f>
        <v>0.72175479925701003</v>
      </c>
      <c r="G28" s="186">
        <f>'FND Balance Sheet'!G28/'FND Income Statement'!G$17</f>
        <v>1.1363280363889519</v>
      </c>
      <c r="H28" s="186">
        <f>'FND Balance Sheet'!H28/'FND Income Statement'!H$17</f>
        <v>1.1874182739794243</v>
      </c>
      <c r="I28" s="186">
        <f>'FND Balance Sheet'!I28/'FND Income Statement'!I$17</f>
        <v>1.086547005664428</v>
      </c>
      <c r="J28" s="186">
        <f>'FND Balance Sheet'!J28/'FND Income Statement'!J$17</f>
        <v>1.0203469455663103</v>
      </c>
      <c r="K28" s="186">
        <f>'FND Balance Sheet'!K28/'FND Income Statement'!K$17</f>
        <v>1.0563372304301608</v>
      </c>
      <c r="L28" s="28"/>
    </row>
    <row r="29" spans="1:12" ht="14" x14ac:dyDescent="0.15">
      <c r="A29" s="27" t="s">
        <v>60</v>
      </c>
      <c r="B29" s="185" t="e">
        <f>'FND Balance Sheet'!B29/'FND Income Statement'!B$17</f>
        <v>#VALUE!</v>
      </c>
      <c r="C29" s="185">
        <f>'FND Balance Sheet'!C29/'FND Income Statement'!C$17</f>
        <v>0.23362142416187506</v>
      </c>
      <c r="D29" s="185">
        <f>'FND Balance Sheet'!D29/'FND Income Statement'!D$17</f>
        <v>0.20934486404589445</v>
      </c>
      <c r="E29" s="185">
        <f>'FND Balance Sheet'!E29/'FND Income Statement'!E$17</f>
        <v>0.24067370178521008</v>
      </c>
      <c r="F29" s="185">
        <f>'FND Balance Sheet'!F29/'FND Income Statement'!F$17</f>
        <v>0.22651838058119786</v>
      </c>
      <c r="G29" s="185">
        <f>'FND Balance Sheet'!G29/'FND Income Statement'!G$17</f>
        <v>0.22580148387450036</v>
      </c>
      <c r="H29" s="185">
        <f>'FND Balance Sheet'!H29/'FND Income Statement'!H$17</f>
        <v>0.23360244176325384</v>
      </c>
      <c r="I29" s="185">
        <f>'FND Balance Sheet'!I29/'FND Income Statement'!I$17</f>
        <v>0.26096967758865286</v>
      </c>
      <c r="J29" s="185">
        <f>'FND Balance Sheet'!J29/'FND Income Statement'!J$17</f>
        <v>0.20077158420278426</v>
      </c>
      <c r="K29" s="185">
        <f>'FND Balance Sheet'!K29/'FND Income Statement'!K$17</f>
        <v>0.22441799557940353</v>
      </c>
      <c r="L29" s="27"/>
    </row>
    <row r="30" spans="1:12" ht="14" x14ac:dyDescent="0.15">
      <c r="A30" s="27" t="s">
        <v>61</v>
      </c>
      <c r="B30" s="185" t="e">
        <f>'FND Balance Sheet'!B30/'FND Income Statement'!B$17</f>
        <v>#VALUE!</v>
      </c>
      <c r="C30" s="185">
        <f>'FND Balance Sheet'!C30/'FND Income Statement'!C$17</f>
        <v>0.18790656265465325</v>
      </c>
      <c r="D30" s="185">
        <f>'FND Balance Sheet'!D30/'FND Income Statement'!D$17</f>
        <v>0.15081098520212532</v>
      </c>
      <c r="E30" s="185">
        <f>'FND Balance Sheet'!E30/'FND Income Statement'!E$17</f>
        <v>0.18684009656498168</v>
      </c>
      <c r="F30" s="185">
        <f>'FND Balance Sheet'!F30/'FND Income Statement'!F$17</f>
        <v>0.18335138562024228</v>
      </c>
      <c r="G30" s="185">
        <f>'FND Balance Sheet'!G30/'FND Income Statement'!G$17</f>
        <v>0.18013538301483875</v>
      </c>
      <c r="H30" s="185">
        <f>'FND Balance Sheet'!H30/'FND Income Statement'!H$17</f>
        <v>0.1722730922900105</v>
      </c>
      <c r="I30" s="185">
        <f>'FND Balance Sheet'!I30/'FND Income Statement'!I$17</f>
        <v>0.19277024569153697</v>
      </c>
      <c r="J30" s="185">
        <f>'FND Balance Sheet'!J30/'FND Income Statement'!J$17</f>
        <v>0.13855944216319344</v>
      </c>
      <c r="K30" s="185">
        <f>'FND Balance Sheet'!K30/'FND Income Statement'!K$17</f>
        <v>0.15389280733249899</v>
      </c>
      <c r="L30" s="27"/>
    </row>
    <row r="31" spans="1:12" ht="14" x14ac:dyDescent="0.15">
      <c r="A31" s="27" t="s">
        <v>62</v>
      </c>
      <c r="B31" s="185" t="e">
        <f>'FND Balance Sheet'!B31/'FND Income Statement'!B$17</f>
        <v>#VALUE!</v>
      </c>
      <c r="C31" s="185">
        <f>'FND Balance Sheet'!C31/'FND Income Statement'!C$17</f>
        <v>4.571486150722183E-2</v>
      </c>
      <c r="D31" s="185">
        <f>'FND Balance Sheet'!D31/'FND Income Statement'!D$17</f>
        <v>5.8533878843769122E-2</v>
      </c>
      <c r="E31" s="185">
        <f>'FND Balance Sheet'!E31/'FND Income Statement'!E$17</f>
        <v>5.3833605220228384E-2</v>
      </c>
      <c r="F31" s="185">
        <f>'FND Balance Sheet'!F31/'FND Income Statement'!F$17</f>
        <v>4.3166994960955593E-2</v>
      </c>
      <c r="G31" s="185">
        <f>'FND Balance Sheet'!G31/'FND Income Statement'!G$17</f>
        <v>4.5666100859661614E-2</v>
      </c>
      <c r="H31" s="185">
        <f>'FND Balance Sheet'!H31/'FND Income Statement'!H$17</f>
        <v>6.1329349473243332E-2</v>
      </c>
      <c r="I31" s="185">
        <f>'FND Balance Sheet'!I31/'FND Income Statement'!I$17</f>
        <v>6.8199431897115886E-2</v>
      </c>
      <c r="J31" s="185">
        <f>'FND Balance Sheet'!J31/'FND Income Statement'!J$17</f>
        <v>6.2212142039590822E-2</v>
      </c>
      <c r="K31" s="185">
        <f>'FND Balance Sheet'!K31/'FND Income Statement'!K$17</f>
        <v>7.0525188246904541E-2</v>
      </c>
      <c r="L31" s="27"/>
    </row>
    <row r="32" spans="1:12" ht="14" x14ac:dyDescent="0.15">
      <c r="A32" s="27" t="s">
        <v>63</v>
      </c>
      <c r="B32" s="185" t="e">
        <f>'FND Balance Sheet'!B32/'FND Income Statement'!B$17</f>
        <v>#VALUE!</v>
      </c>
      <c r="C32" s="185">
        <f>'FND Balance Sheet'!C32/'FND Income Statement'!C$17</f>
        <v>1.6160466931628597E-3</v>
      </c>
      <c r="D32" s="185">
        <f>'FND Balance Sheet'!D32/'FND Income Statement'!D$17</f>
        <v>3.3309255500071854E-3</v>
      </c>
      <c r="E32" s="185">
        <f>'FND Balance Sheet'!E32/'FND Income Statement'!E$17</f>
        <v>2.5275010164164803E-3</v>
      </c>
      <c r="F32" s="185">
        <f>'FND Balance Sheet'!F32/'FND Income Statement'!F$17</f>
        <v>2.0469655782268366E-3</v>
      </c>
      <c r="G32" s="185" t="e">
        <f>'FND Balance Sheet'!G32/'FND Income Statement'!G$17</f>
        <v>#VALUE!</v>
      </c>
      <c r="H32" s="185">
        <f>'FND Balance Sheet'!H32/'FND Income Statement'!H$17</f>
        <v>6.7895463247406613E-4</v>
      </c>
      <c r="I32" s="185">
        <f>'FND Balance Sheet'!I32/'FND Income Statement'!I$17</f>
        <v>6.1248865235895506E-4</v>
      </c>
      <c r="J32" s="185">
        <f>'FND Balance Sheet'!J32/'FND Income Statement'!J$17</f>
        <v>4.9314417045201128E-4</v>
      </c>
      <c r="K32" s="185">
        <f>'FND Balance Sheet'!K32/'FND Income Statement'!K$17</f>
        <v>4.7645112558463251E-4</v>
      </c>
      <c r="L32" s="27"/>
    </row>
    <row r="33" spans="1:12" ht="14" x14ac:dyDescent="0.15">
      <c r="A33" s="27" t="s">
        <v>64</v>
      </c>
      <c r="B33" s="185" t="e">
        <f>'FND Balance Sheet'!B33/'FND Income Statement'!B$17</f>
        <v>#VALUE!</v>
      </c>
      <c r="C33" s="185">
        <f>'FND Balance Sheet'!C33/'FND Income Statement'!C$17</f>
        <v>1.5490834323964428E-2</v>
      </c>
      <c r="D33" s="185">
        <f>'FND Balance Sheet'!D33/'FND Income Statement'!D$17</f>
        <v>1.9265121688227273E-2</v>
      </c>
      <c r="E33" s="185">
        <f>'FND Balance Sheet'!E33/'FND Income Statement'!E$17</f>
        <v>1.6264830112213823E-2</v>
      </c>
      <c r="F33" s="185">
        <f>'FND Balance Sheet'!F33/'FND Income Statement'!F$17</f>
        <v>7.8796477815571905E-3</v>
      </c>
      <c r="G33" s="185">
        <f>'FND Balance Sheet'!G33/'FND Income Statement'!G$17</f>
        <v>4.432947958792563E-2</v>
      </c>
      <c r="H33" s="185">
        <f>'FND Balance Sheet'!H33/'FND Income Statement'!H$17</f>
        <v>5.3804784259795166E-2</v>
      </c>
      <c r="I33" s="185">
        <f>'FND Balance Sheet'!I33/'FND Income Statement'!I$17</f>
        <v>3.8987247246495084E-2</v>
      </c>
      <c r="J33" s="185">
        <f>'FND Balance Sheet'!J33/'FND Income Statement'!J$17</f>
        <v>3.4815556341897348E-2</v>
      </c>
      <c r="K33" s="185">
        <f>'FND Balance Sheet'!K33/'FND Income Statement'!K$17</f>
        <v>3.6103123688796535E-2</v>
      </c>
      <c r="L33" s="27"/>
    </row>
    <row r="34" spans="1:12" s="29" customFormat="1" ht="14" x14ac:dyDescent="0.15">
      <c r="A34" s="28" t="s">
        <v>65</v>
      </c>
      <c r="B34" s="186" t="e">
        <f>'FND Balance Sheet'!B34/'FND Income Statement'!B$17</f>
        <v>#VALUE!</v>
      </c>
      <c r="C34" s="186">
        <f>'FND Balance Sheet'!C34/'FND Income Statement'!C$17</f>
        <v>0.25072830517900235</v>
      </c>
      <c r="D34" s="186">
        <f>'FND Balance Sheet'!D34/'FND Income Statement'!D$17</f>
        <v>0.23194091128412891</v>
      </c>
      <c r="E34" s="186">
        <f>'FND Balance Sheet'!E34/'FND Income Statement'!E$17</f>
        <v>0.25946603291384041</v>
      </c>
      <c r="F34" s="186">
        <f>'FND Balance Sheet'!F34/'FND Income Statement'!F$17</f>
        <v>0.2364449939409819</v>
      </c>
      <c r="G34" s="186">
        <f>'FND Balance Sheet'!G34/'FND Income Statement'!G$17</f>
        <v>0.27013096346242599</v>
      </c>
      <c r="H34" s="186">
        <f>'FND Balance Sheet'!H34/'FND Income Statement'!H$17</f>
        <v>0.28808618065552305</v>
      </c>
      <c r="I34" s="186">
        <f>'FND Balance Sheet'!I34/'FND Income Statement'!I$17</f>
        <v>0.30056941348750688</v>
      </c>
      <c r="J34" s="186">
        <f>'FND Balance Sheet'!J34/'FND Income Statement'!J$17</f>
        <v>0.23608028471513362</v>
      </c>
      <c r="K34" s="186">
        <f>'FND Balance Sheet'!K34/'FND Income Statement'!K$17</f>
        <v>0.26099757039378468</v>
      </c>
      <c r="L34" s="28"/>
    </row>
    <row r="35" spans="1:12" ht="14" x14ac:dyDescent="0.15">
      <c r="A35" s="27" t="s">
        <v>66</v>
      </c>
      <c r="B35" s="185" t="e">
        <f>'FND Balance Sheet'!B35/'FND Income Statement'!B$17</f>
        <v>#VALUE!</v>
      </c>
      <c r="C35" s="185">
        <f>'FND Balance Sheet'!C35/'FND Income Statement'!C$17</f>
        <v>0.22489834339270318</v>
      </c>
      <c r="D35" s="185">
        <f>'FND Balance Sheet'!D35/'FND Income Statement'!D$17</f>
        <v>0.36853645793183787</v>
      </c>
      <c r="E35" s="185">
        <f>'FND Balance Sheet'!E35/'FND Income Statement'!E$17</f>
        <v>0.13400232674522139</v>
      </c>
      <c r="F35" s="185">
        <f>'FND Balance Sheet'!F35/'FND Income Statement'!F$17</f>
        <v>8.2951233092064328E-2</v>
      </c>
      <c r="G35" s="185">
        <f>'FND Balance Sheet'!G35/'FND Income Statement'!G$17</f>
        <v>6.9718439311332051E-2</v>
      </c>
      <c r="H35" s="185">
        <f>'FND Balance Sheet'!H35/'FND Income Statement'!H$17</f>
        <v>8.5397817121694058E-2</v>
      </c>
      <c r="I35" s="185">
        <f>'FND Balance Sheet'!I35/'FND Income Statement'!I$17</f>
        <v>5.701474254070079E-2</v>
      </c>
      <c r="J35" s="185">
        <f>'FND Balance Sheet'!J35/'FND Income Statement'!J$17</f>
        <v>9.5099910352345995E-2</v>
      </c>
      <c r="K35" s="185">
        <f>'FND Balance Sheet'!K35/'FND Income Statement'!K$17</f>
        <v>4.4164957665403078E-2</v>
      </c>
      <c r="L35" s="27"/>
    </row>
    <row r="36" spans="1:12" ht="14" x14ac:dyDescent="0.15">
      <c r="A36" s="27" t="s">
        <v>67</v>
      </c>
      <c r="B36" s="185" t="e">
        <f>'FND Balance Sheet'!B36/'FND Income Statement'!B$17</f>
        <v>#VALUE!</v>
      </c>
      <c r="C36" s="185">
        <f>'FND Balance Sheet'!C36/'FND Income Statement'!C$17</f>
        <v>5.9690412901843341E-2</v>
      </c>
      <c r="D36" s="185">
        <f>'FND Balance Sheet'!D36/'FND Income Statement'!D$17</f>
        <v>4.2840461038163843E-2</v>
      </c>
      <c r="E36" s="185">
        <f>'FND Balance Sheet'!E36/'FND Income Statement'!E$17</f>
        <v>3.8120492472740901E-2</v>
      </c>
      <c r="F36" s="185">
        <f>'FND Balance Sheet'!F36/'FND Income Statement'!F$17</f>
        <v>3.7323785506080072E-2</v>
      </c>
      <c r="G36" s="185">
        <f>'FND Balance Sheet'!G36/'FND Income Statement'!G$17</f>
        <v>8.9847936108134324E-3</v>
      </c>
      <c r="H36" s="185">
        <f>'FND Balance Sheet'!H36/'FND Income Statement'!H$17</f>
        <v>1.1538518617455442E-2</v>
      </c>
      <c r="I36" s="185">
        <f>'FND Balance Sheet'!I36/'FND Income Statement'!I$17</f>
        <v>1.1928820838477452E-2</v>
      </c>
      <c r="J36" s="185">
        <f>'FND Balance Sheet'!J36/'FND Income Statement'!J$17</f>
        <v>9.7362558046445603E-3</v>
      </c>
      <c r="K36" s="185">
        <f>'FND Balance Sheet'!K36/'FND Income Statement'!K$17</f>
        <v>1.5221967772601184E-2</v>
      </c>
      <c r="L36" s="27"/>
    </row>
    <row r="37" spans="1:12" ht="14" x14ac:dyDescent="0.15">
      <c r="A37" s="27" t="s">
        <v>68</v>
      </c>
      <c r="B37" s="185" t="e">
        <f>'FND Balance Sheet'!B37/'FND Income Statement'!B$17</f>
        <v>#VALUE!</v>
      </c>
      <c r="C37" s="185">
        <f>'FND Balance Sheet'!C37/'FND Income Statement'!C$17</f>
        <v>2.1463957184328811E-2</v>
      </c>
      <c r="D37" s="185">
        <f>'FND Balance Sheet'!D37/'FND Income Statement'!D$17</f>
        <v>1.9900852621771499E-2</v>
      </c>
      <c r="E37" s="185">
        <f>'FND Balance Sheet'!E37/'FND Income Statement'!E$17</f>
        <v>1.9845937980902201E-2</v>
      </c>
      <c r="F37" s="185">
        <f>'FND Balance Sheet'!F37/'FND Income Statement'!F$17</f>
        <v>2.3303240989842371E-2</v>
      </c>
      <c r="G37" s="185">
        <f>'FND Balance Sheet'!G37/'FND Income Statement'!G$17</f>
        <v>0.41381872795112679</v>
      </c>
      <c r="H37" s="185">
        <f>'FND Balance Sheet'!H37/'FND Income Statement'!H$17</f>
        <v>0.39123534290712958</v>
      </c>
      <c r="I37" s="185">
        <f>'FND Balance Sheet'!I37/'FND Income Statement'!I$17</f>
        <v>0.33165867344219496</v>
      </c>
      <c r="J37" s="185">
        <f>'FND Balance Sheet'!J37/'FND Income Statement'!J$17</f>
        <v>0.29083007443123687</v>
      </c>
      <c r="K37" s="185">
        <f>'FND Balance Sheet'!K37/'FND Income Statement'!K$17</f>
        <v>0.29847182209591372</v>
      </c>
      <c r="L37" s="27"/>
    </row>
    <row r="38" spans="1:12" s="29" customFormat="1" ht="14" x14ac:dyDescent="0.15">
      <c r="A38" s="28" t="s">
        <v>69</v>
      </c>
      <c r="B38" s="186" t="e">
        <f>'FND Balance Sheet'!B38/'FND Income Statement'!B$17</f>
        <v>#VALUE!</v>
      </c>
      <c r="C38" s="186">
        <f>'FND Balance Sheet'!C38/'FND Income Statement'!C$17</f>
        <v>0.55678101865787766</v>
      </c>
      <c r="D38" s="186">
        <f>'FND Balance Sheet'!D38/'FND Income Statement'!D$17</f>
        <v>0.66321868287590213</v>
      </c>
      <c r="E38" s="186">
        <f>'FND Balance Sheet'!E38/'FND Income Statement'!E$17</f>
        <v>0.45143479011270488</v>
      </c>
      <c r="F38" s="186">
        <f>'FND Balance Sheet'!F38/'FND Income Statement'!F$17</f>
        <v>0.38002325352896865</v>
      </c>
      <c r="G38" s="186">
        <f>'FND Balance Sheet'!G38/'FND Income Statement'!G$17</f>
        <v>0.7626529243356982</v>
      </c>
      <c r="H38" s="186">
        <f>'FND Balance Sheet'!H38/'FND Income Statement'!H$17</f>
        <v>0.77625785930180213</v>
      </c>
      <c r="I38" s="186">
        <f>'FND Balance Sheet'!I38/'FND Income Statement'!I$17</f>
        <v>0.70117165030888007</v>
      </c>
      <c r="J38" s="186">
        <f>'FND Balance Sheet'!J38/'FND Income Statement'!J$17</f>
        <v>0.63174652530336106</v>
      </c>
      <c r="K38" s="186">
        <f>'FND Balance Sheet'!K38/'FND Income Statement'!K$17</f>
        <v>0.61885631792770268</v>
      </c>
      <c r="L38" s="28"/>
    </row>
    <row r="39" spans="1:12" ht="14" x14ac:dyDescent="0.15">
      <c r="A39" s="27" t="s">
        <v>70</v>
      </c>
      <c r="B39" s="185" t="e">
        <f>'FND Balance Sheet'!B39/'FND Income Statement'!B$17</f>
        <v>#VALUE!</v>
      </c>
      <c r="C39" s="185">
        <f>'FND Balance Sheet'!C39/'FND Income Statement'!C$17</f>
        <v>1.0586572654500186E-4</v>
      </c>
      <c r="D39" s="185">
        <f>'FND Balance Sheet'!D39/'FND Income Statement'!D$17</f>
        <v>7.8990520185884684E-5</v>
      </c>
      <c r="E39" s="185">
        <f>'FND Balance Sheet'!E39/'FND Income Statement'!E$17</f>
        <v>6.9325742164566312E-5</v>
      </c>
      <c r="F39" s="185">
        <f>'FND Balance Sheet'!F39/'FND Income Statement'!F$17</f>
        <v>5.7315036190351425E-5</v>
      </c>
      <c r="G39" s="185">
        <f>'FND Balance Sheet'!G39/'FND Income Statement'!G$17</f>
        <v>4.937774266471633E-5</v>
      </c>
      <c r="H39" s="185">
        <f>'FND Balance Sheet'!H39/'FND Income Statement'!H$17</f>
        <v>4.2872666531452873E-5</v>
      </c>
      <c r="I39" s="185">
        <f>'FND Balance Sheet'!I39/'FND Income Statement'!I$17</f>
        <v>3.0871991036637774E-5</v>
      </c>
      <c r="J39" s="185">
        <f>'FND Balance Sheet'!J39/'FND Income Statement'!J$17</f>
        <v>2.4856529751741891E-5</v>
      </c>
      <c r="K39" s="185">
        <f>'FND Balance Sheet'!K39/'FND Income Statement'!K$17</f>
        <v>2.4241688272732133E-5</v>
      </c>
      <c r="L39" s="27"/>
    </row>
    <row r="40" spans="1:12" ht="14" x14ac:dyDescent="0.15">
      <c r="A40" s="27" t="s">
        <v>71</v>
      </c>
      <c r="B40" s="185" t="e">
        <f>'FND Balance Sheet'!B40/'FND Income Statement'!B$17</f>
        <v>#VALUE!</v>
      </c>
      <c r="C40" s="185">
        <f>'FND Balance Sheet'!C40/'FND Income Statement'!C$17</f>
        <v>0.33709688117018616</v>
      </c>
      <c r="D40" s="185">
        <f>'FND Balance Sheet'!D40/'FND Income Statement'!D$17</f>
        <v>0.11160503978552647</v>
      </c>
      <c r="E40" s="185">
        <f>'FND Balance Sheet'!E40/'FND Income Statement'!E$17</f>
        <v>0.23355481463668618</v>
      </c>
      <c r="F40" s="185">
        <f>'FND Balance Sheet'!F40/'FND Income Statement'!F$17</f>
        <v>0.1991182841983615</v>
      </c>
      <c r="G40" s="185">
        <f>'FND Balance Sheet'!G40/'FND Income Statement'!G$17</f>
        <v>0.18109067122441158</v>
      </c>
      <c r="H40" s="185">
        <f>'FND Balance Sheet'!H40/'FND Income Statement'!H$17</f>
        <v>0.1682438861104103</v>
      </c>
      <c r="I40" s="185">
        <f>'FND Balance Sheet'!I40/'FND Income Statement'!I$17</f>
        <v>0.13115703271236945</v>
      </c>
      <c r="J40" s="185">
        <f>'FND Balance Sheet'!J40/'FND Income Statement'!J$17</f>
        <v>0.11310002431718995</v>
      </c>
      <c r="K40" s="185">
        <f>'FND Balance Sheet'!K40/'FND Income Statement'!K$17</f>
        <v>0.11623776247857896</v>
      </c>
      <c r="L40" s="27"/>
    </row>
    <row r="41" spans="1:12" ht="14" x14ac:dyDescent="0.15">
      <c r="A41" s="27" t="s">
        <v>72</v>
      </c>
      <c r="B41" s="185" t="e">
        <f>'FND Balance Sheet'!B41/'FND Income Statement'!B$17</f>
        <v>#VALUE!</v>
      </c>
      <c r="C41" s="185">
        <f>'FND Balance Sheet'!C41/'FND Income Statement'!C$17</f>
        <v>6.1343448824762885E-2</v>
      </c>
      <c r="D41" s="185">
        <f>'FND Balance Sheet'!D41/'FND Income Statement'!D$17</f>
        <v>1.5944664761377254E-2</v>
      </c>
      <c r="E41" s="185">
        <f>'FND Balance Sheet'!E41/'FND Income Statement'!E$17</f>
        <v>8.6332213289311482E-2</v>
      </c>
      <c r="F41" s="185">
        <f>'FND Balance Sheet'!F41/'FND Income Statement'!F$17</f>
        <v>0.14244716489418943</v>
      </c>
      <c r="G41" s="185">
        <f>'FND Balance Sheet'!G41/'FND Income Statement'!G$17</f>
        <v>0.19262941857463567</v>
      </c>
      <c r="H41" s="185">
        <f>'FND Balance Sheet'!H41/'FND Income Statement'!H$17</f>
        <v>0.24280604900345784</v>
      </c>
      <c r="I41" s="185">
        <f>'FND Balance Sheet'!I41/'FND Income Statement'!I$17</f>
        <v>0.25403163447096622</v>
      </c>
      <c r="J41" s="185">
        <f>'FND Balance Sheet'!J41/'FND Income Statement'!J$17</f>
        <v>0.27445853215625943</v>
      </c>
      <c r="K41" s="185">
        <f>'FND Balance Sheet'!K41/'FND Income Statement'!K$17</f>
        <v>0.32089674309519689</v>
      </c>
      <c r="L41" s="27"/>
    </row>
    <row r="42" spans="1:12" ht="14" x14ac:dyDescent="0.15">
      <c r="A42" s="27" t="s">
        <v>73</v>
      </c>
      <c r="B42" s="185" t="e">
        <f>'FND Balance Sheet'!B42/'FND Income Statement'!B$17</f>
        <v>#VALUE!</v>
      </c>
      <c r="C42" s="185">
        <f>'FND Balance Sheet'!C42/'FND Income Statement'!C$17</f>
        <v>-1.2754906812650825E-4</v>
      </c>
      <c r="D42" s="185">
        <f>'FND Balance Sheet'!D42/'FND Income Statement'!D$17</f>
        <v>1.6749797051464704E-4</v>
      </c>
      <c r="E42" s="185">
        <f>'FND Balance Sheet'!E42/'FND Income Statement'!E$17</f>
        <v>-1.4803934524725099E-4</v>
      </c>
      <c r="F42" s="185">
        <f>'FND Balance Sheet'!F42/'FND Income Statement'!F$17</f>
        <v>1.0878159930005475E-4</v>
      </c>
      <c r="G42" s="185">
        <f>'FND Balance Sheet'!G42/'FND Income Statement'!G$17</f>
        <v>-9.4355488458319325E-5</v>
      </c>
      <c r="H42" s="185">
        <f>'FND Balance Sheet'!H42/'FND Income Statement'!H$17</f>
        <v>6.7606897222675688E-5</v>
      </c>
      <c r="I42" s="185">
        <f>'FND Balance Sheet'!I42/'FND Income Statement'!I$17</f>
        <v>1.5581618117548309E-4</v>
      </c>
      <c r="J42" s="185">
        <f>'FND Balance Sheet'!J42/'FND Income Statement'!J$17</f>
        <v>1.0170072597481565E-3</v>
      </c>
      <c r="K42" s="185">
        <f>'FND Balance Sheet'!K42/'FND Income Statement'!K$17</f>
        <v>3.2216524040958033E-4</v>
      </c>
      <c r="L42" s="27"/>
    </row>
    <row r="43" spans="1:12" ht="14" x14ac:dyDescent="0.15">
      <c r="A43" s="27" t="s">
        <v>75</v>
      </c>
      <c r="B43" s="185" t="e">
        <f>'FND Balance Sheet'!B43/'FND Income Statement'!B$17</f>
        <v>#VALUE!</v>
      </c>
      <c r="C43" s="185">
        <f>'FND Balance Sheet'!C43/'FND Income Statement'!C$17</f>
        <v>0.39841864665336757</v>
      </c>
      <c r="D43" s="185">
        <f>'FND Balance Sheet'!D43/'FND Income Statement'!D$17</f>
        <v>0.12779619303760426</v>
      </c>
      <c r="E43" s="185">
        <f>'FND Balance Sheet'!E43/'FND Income Statement'!E$17</f>
        <v>0.31980831432291495</v>
      </c>
      <c r="F43" s="185">
        <f>'FND Balance Sheet'!F43/'FND Income Statement'!F$17</f>
        <v>0.34173154572804132</v>
      </c>
      <c r="G43" s="185">
        <f>'FND Balance Sheet'!G43/'FND Income Statement'!G$17</f>
        <v>0.37367511205325366</v>
      </c>
      <c r="H43" s="185">
        <f>'FND Balance Sheet'!H43/'FND Income Statement'!H$17</f>
        <v>0.41116041467762227</v>
      </c>
      <c r="I43" s="185">
        <f>'FND Balance Sheet'!I43/'FND Income Statement'!I$17</f>
        <v>0.38537535535554779</v>
      </c>
      <c r="J43" s="185">
        <f>'FND Balance Sheet'!J43/'FND Income Statement'!J$17</f>
        <v>0.38860042026294928</v>
      </c>
      <c r="K43" s="185">
        <f>'FND Balance Sheet'!K43/'FND Income Statement'!K$17</f>
        <v>0.43748091250245813</v>
      </c>
      <c r="L43" s="27"/>
    </row>
    <row r="44" spans="1:12" s="29" customFormat="1" ht="14" x14ac:dyDescent="0.15">
      <c r="A44" s="28" t="s">
        <v>76</v>
      </c>
      <c r="B44" s="186" t="e">
        <f>'FND Balance Sheet'!B44/'FND Income Statement'!B$17</f>
        <v>#VALUE!</v>
      </c>
      <c r="C44" s="186">
        <f>'FND Balance Sheet'!C44/'FND Income Statement'!C$17</f>
        <v>0.95519966531124523</v>
      </c>
      <c r="D44" s="186">
        <f>'FND Balance Sheet'!D44/'FND Income Statement'!D$17</f>
        <v>0.79101487591350628</v>
      </c>
      <c r="E44" s="186">
        <f>'FND Balance Sheet'!E44/'FND Income Statement'!E$17</f>
        <v>0.77124310443561983</v>
      </c>
      <c r="F44" s="186">
        <f>'FND Balance Sheet'!F44/'FND Income Statement'!F$17</f>
        <v>0.72175479925701003</v>
      </c>
      <c r="G44" s="186">
        <f>'FND Balance Sheet'!G44/'FND Income Statement'!G$17</f>
        <v>1.1363280363889519</v>
      </c>
      <c r="H44" s="186">
        <f>'FND Balance Sheet'!H44/'FND Income Statement'!H$17</f>
        <v>1.1874182739794243</v>
      </c>
      <c r="I44" s="186">
        <f>'FND Balance Sheet'!I44/'FND Income Statement'!I$17</f>
        <v>1.086547005664428</v>
      </c>
      <c r="J44" s="186">
        <f>'FND Balance Sheet'!J44/'FND Income Statement'!J$17</f>
        <v>1.0203469455663103</v>
      </c>
      <c r="K44" s="186">
        <f>'FND Balance Sheet'!K44/'FND Income Statement'!K$17</f>
        <v>1.0563372304301608</v>
      </c>
      <c r="L44" s="28"/>
    </row>
    <row r="47" spans="1:12" x14ac:dyDescent="0.15">
      <c r="A47" s="35" t="s">
        <v>79</v>
      </c>
    </row>
    <row r="48" spans="1:12" x14ac:dyDescent="0.15">
      <c r="A48" s="20" t="s">
        <v>77</v>
      </c>
      <c r="B48" s="20" t="e">
        <f>B22/B34</f>
        <v>#VALUE!</v>
      </c>
      <c r="C48" s="34">
        <f t="shared" ref="C48:K48" si="0">C22/C34</f>
        <v>1.5525450975205268</v>
      </c>
      <c r="D48" s="34">
        <f t="shared" si="0"/>
        <v>1.3795473382735501</v>
      </c>
      <c r="E48" s="34">
        <f t="shared" si="0"/>
        <v>1.4005343723907597</v>
      </c>
      <c r="F48" s="34">
        <f t="shared" si="0"/>
        <v>1.3838208194714123</v>
      </c>
      <c r="G48" s="34">
        <f t="shared" si="0"/>
        <v>1.2695637065846697</v>
      </c>
      <c r="H48" s="34">
        <f t="shared" si="0"/>
        <v>1.4888414449169765</v>
      </c>
      <c r="I48" s="34">
        <f t="shared" si="0"/>
        <v>1.2338435003367199</v>
      </c>
      <c r="J48" s="34">
        <f t="shared" si="0"/>
        <v>1.4477014337109813</v>
      </c>
      <c r="K48" s="34">
        <f t="shared" si="0"/>
        <v>1.1429037693151032</v>
      </c>
    </row>
    <row r="49" spans="1:11" x14ac:dyDescent="0.15">
      <c r="A49" s="20" t="s">
        <v>78</v>
      </c>
      <c r="B49" s="20" t="e">
        <f>(B22-B19)/B34</f>
        <v>#VALUE!</v>
      </c>
      <c r="C49" s="34">
        <f t="shared" ref="C49:K49" si="1">(C22-C19)/C34</f>
        <v>0.16594768382390351</v>
      </c>
      <c r="D49" s="34">
        <f t="shared" si="1"/>
        <v>0.17443807085354152</v>
      </c>
      <c r="E49" s="34">
        <f t="shared" si="1"/>
        <v>0.20946841079877551</v>
      </c>
      <c r="F49" s="34">
        <f t="shared" si="1"/>
        <v>0.21876646425170346</v>
      </c>
      <c r="G49" s="34">
        <f t="shared" si="1"/>
        <v>0.21649253177592256</v>
      </c>
      <c r="H49" s="34">
        <f t="shared" si="1"/>
        <v>0.5529995592671243</v>
      </c>
      <c r="I49" s="34">
        <f t="shared" si="1"/>
        <v>0.25696719524425504</v>
      </c>
      <c r="J49" s="34">
        <f t="shared" si="1"/>
        <v>0.16404041487626625</v>
      </c>
      <c r="K49" s="34">
        <f t="shared" si="1"/>
        <v>0.18271495200140955</v>
      </c>
    </row>
    <row r="50" spans="1:11" x14ac:dyDescent="0.15">
      <c r="A50" s="20" t="s">
        <v>80</v>
      </c>
      <c r="B50" s="20" t="e">
        <f>B17/B34</f>
        <v>#VALUE!</v>
      </c>
      <c r="C50" s="34">
        <f t="shared" ref="C50:K50" si="2">C17/C34</f>
        <v>1.6177113962172007E-3</v>
      </c>
      <c r="D50" s="34">
        <f t="shared" si="2"/>
        <v>1.850529719261101E-3</v>
      </c>
      <c r="E50" s="34">
        <f t="shared" si="2"/>
        <v>1.5474533815752851E-3</v>
      </c>
      <c r="F50" s="34">
        <f t="shared" si="2"/>
        <v>1.5929356765647996E-3</v>
      </c>
      <c r="G50" s="34">
        <f t="shared" si="2"/>
        <v>4.8932115444826715E-2</v>
      </c>
      <c r="H50" s="34">
        <f t="shared" si="2"/>
        <v>0.44040661900646222</v>
      </c>
      <c r="I50" s="34">
        <f t="shared" si="2"/>
        <v>0.13511819111156331</v>
      </c>
      <c r="J50" s="34">
        <f t="shared" si="2"/>
        <v>9.728256442958487E-3</v>
      </c>
      <c r="K50" s="34">
        <f t="shared" si="2"/>
        <v>2.984514931689139E-2</v>
      </c>
    </row>
    <row r="52" spans="1:11" x14ac:dyDescent="0.15">
      <c r="A52" s="35" t="s">
        <v>81</v>
      </c>
    </row>
    <row r="53" spans="1:11" x14ac:dyDescent="0.15">
      <c r="A53" s="20" t="s">
        <v>82</v>
      </c>
      <c r="B53" s="20" t="e">
        <f>B38/B28</f>
        <v>#VALUE!</v>
      </c>
      <c r="C53" s="34">
        <f t="shared" ref="C53:K53" si="3">C38/C28</f>
        <v>0.58289490551324097</v>
      </c>
      <c r="D53" s="34">
        <f t="shared" si="3"/>
        <v>0.83844021531198354</v>
      </c>
      <c r="E53" s="34">
        <f t="shared" si="3"/>
        <v>0.58533397253912012</v>
      </c>
      <c r="F53" s="34">
        <f t="shared" si="3"/>
        <v>0.52652681204222374</v>
      </c>
      <c r="G53" s="34">
        <f t="shared" si="3"/>
        <v>0.67115559936307956</v>
      </c>
      <c r="H53" s="34">
        <f t="shared" si="3"/>
        <v>0.65373582023486121</v>
      </c>
      <c r="I53" s="34">
        <f t="shared" si="3"/>
        <v>0.64532104607854557</v>
      </c>
      <c r="J53" s="34">
        <f t="shared" si="3"/>
        <v>0.61914873960124484</v>
      </c>
      <c r="K53" s="34">
        <f t="shared" si="3"/>
        <v>0.58585109006873926</v>
      </c>
    </row>
    <row r="54" spans="1:11" x14ac:dyDescent="0.15">
      <c r="A54" s="20" t="s">
        <v>83</v>
      </c>
      <c r="B54" s="20" t="e">
        <f>B38/B43</f>
        <v>#VALUE!</v>
      </c>
      <c r="C54" s="34">
        <f t="shared" ref="C54:K54" si="4">C38/C43</f>
        <v>1.3974773101980054</v>
      </c>
      <c r="D54" s="34">
        <f t="shared" si="4"/>
        <v>5.1896591526850013</v>
      </c>
      <c r="E54" s="34">
        <f t="shared" si="4"/>
        <v>1.4115792801336766</v>
      </c>
      <c r="F54" s="34">
        <f t="shared" si="4"/>
        <v>1.1120520135750092</v>
      </c>
      <c r="G54" s="34">
        <f t="shared" si="4"/>
        <v>2.0409518850348536</v>
      </c>
      <c r="H54" s="34">
        <f t="shared" si="4"/>
        <v>1.8879683733912982</v>
      </c>
      <c r="I54" s="34">
        <f t="shared" si="4"/>
        <v>1.8194511936602127</v>
      </c>
      <c r="J54" s="34">
        <f t="shared" si="4"/>
        <v>1.6256969688192442</v>
      </c>
      <c r="K54" s="34">
        <f t="shared" si="4"/>
        <v>1.4145904432441392</v>
      </c>
    </row>
    <row r="56" spans="1:11" x14ac:dyDescent="0.15">
      <c r="A56" s="35" t="s">
        <v>85</v>
      </c>
    </row>
    <row r="57" spans="1:11" x14ac:dyDescent="0.15">
      <c r="A57" s="20" t="s">
        <v>86</v>
      </c>
      <c r="B57" s="20" t="e">
        <f>'FND CS Income Statement'!B18/'FND CS Balance Sheet'!B19</f>
        <v>#VALUE!</v>
      </c>
      <c r="C57" s="34">
        <f>'FND CS Income Statement'!C18/'FND CS Balance Sheet'!C19</f>
        <v>1.7294336479937189</v>
      </c>
      <c r="D57" s="34">
        <f>'FND CS Income Statement'!D18/'FND CS Balance Sheet'!D19</f>
        <v>2.1160802446016711</v>
      </c>
      <c r="E57" s="34">
        <f>'FND CS Income Statement'!E18/'FND CS Balance Sheet'!E19</f>
        <v>1.8978922771351792</v>
      </c>
      <c r="F57" s="34">
        <f>'FND CS Income Statement'!F18/'FND CS Balance Sheet'!F19</f>
        <v>2.1391720840569493</v>
      </c>
      <c r="G57" s="34">
        <f>'FND CS Income Statement'!G18/'FND CS Balance Sheet'!G19</f>
        <v>2.0321586622326486</v>
      </c>
      <c r="H57" s="34">
        <f>'FND CS Income Statement'!H18/'FND CS Balance Sheet'!H19</f>
        <v>2.1267522935779817</v>
      </c>
      <c r="I57" s="34">
        <f>'FND CS Income Statement'!I18/'FND CS Balance Sheet'!I19</f>
        <v>1.9950057084702588</v>
      </c>
      <c r="J57" s="34">
        <f>'FND CS Income Statement'!J18/'FND CS Balance Sheet'!J19</f>
        <v>1.9629237288135593</v>
      </c>
      <c r="K57" s="34">
        <f>'FND CS Income Statement'!K18/'FND CS Balance Sheet'!K19</f>
        <v>2.3102978800343532</v>
      </c>
    </row>
    <row r="58" spans="1:11" x14ac:dyDescent="0.15">
      <c r="A58" s="20" t="s">
        <v>87</v>
      </c>
      <c r="B58" s="20" t="e">
        <f>365/B57</f>
        <v>#VALUE!</v>
      </c>
      <c r="C58" s="34">
        <f t="shared" ref="C58:K58" si="5">365/C57</f>
        <v>211.0517512038864</v>
      </c>
      <c r="D58" s="34">
        <f t="shared" si="5"/>
        <v>172.48873284987698</v>
      </c>
      <c r="E58" s="34">
        <f t="shared" si="5"/>
        <v>192.31860754023319</v>
      </c>
      <c r="F58" s="34">
        <f t="shared" si="5"/>
        <v>170.62675916552533</v>
      </c>
      <c r="G58" s="34">
        <f t="shared" si="5"/>
        <v>179.61195982551362</v>
      </c>
      <c r="H58" s="34">
        <f t="shared" si="5"/>
        <v>171.62318390447595</v>
      </c>
      <c r="I58" s="34">
        <f t="shared" si="5"/>
        <v>182.95686997300709</v>
      </c>
      <c r="J58" s="34">
        <f t="shared" si="5"/>
        <v>185.94711279007015</v>
      </c>
      <c r="K58" s="34">
        <f t="shared" si="5"/>
        <v>157.98828504078989</v>
      </c>
    </row>
    <row r="59" spans="1:11" x14ac:dyDescent="0.15">
      <c r="A59" s="20" t="s">
        <v>88</v>
      </c>
      <c r="B59" s="20" t="e">
        <f>'FND CS Income Statement'!B17/'FND CS Balance Sheet'!B28</f>
        <v>#VALUE!</v>
      </c>
      <c r="C59" s="34">
        <f>'FND CS Income Statement'!C17/'FND CS Balance Sheet'!C28</f>
        <v>1.0469015393490082</v>
      </c>
      <c r="D59" s="34">
        <f>'FND CS Income Statement'!D17/'FND CS Balance Sheet'!D28</f>
        <v>1.2641987280519176</v>
      </c>
      <c r="E59" s="34">
        <f>'FND CS Income Statement'!E17/'FND CS Balance Sheet'!E28</f>
        <v>1.2966080270264198</v>
      </c>
      <c r="F59" s="34">
        <f>'FND CS Income Statement'!F17/'FND CS Balance Sheet'!F28</f>
        <v>1.3855120894650395</v>
      </c>
      <c r="G59" s="34">
        <f>'FND CS Income Statement'!G17/'FND CS Balance Sheet'!G28</f>
        <v>0.88002756948409189</v>
      </c>
      <c r="H59" s="34">
        <f>'FND CS Income Statement'!H17/'FND CS Balance Sheet'!H28</f>
        <v>0.84216322244113284</v>
      </c>
      <c r="I59" s="34">
        <f>'FND CS Income Statement'!I17/'FND CS Balance Sheet'!I28</f>
        <v>0.92034674504348379</v>
      </c>
      <c r="J59" s="34">
        <f>'FND CS Income Statement'!J17/'FND CS Balance Sheet'!J28</f>
        <v>0.98005879700554455</v>
      </c>
      <c r="K59" s="34">
        <f>'FND CS Income Statement'!K17/'FND CS Balance Sheet'!K28</f>
        <v>0.94666738158303931</v>
      </c>
    </row>
    <row r="62" spans="1:11" x14ac:dyDescent="0.15">
      <c r="A62" s="35" t="s">
        <v>89</v>
      </c>
    </row>
    <row r="63" spans="1:11" x14ac:dyDescent="0.15">
      <c r="A63" s="20" t="s">
        <v>90</v>
      </c>
      <c r="B63" s="187">
        <f>'FND CS Income Statement'!B28/'FND CS Income Statement'!B17</f>
        <v>2.5826736094480215E-2</v>
      </c>
      <c r="C63" s="187">
        <f>'FND CS Income Statement'!C28/'FND CS Income Statement'!C17</f>
        <v>3.4192078692673072E-2</v>
      </c>
      <c r="D63" s="187">
        <f>'FND CS Income Statement'!D28/'FND CS Income Statement'!D17</f>
        <v>4.0959915641931216E-2</v>
      </c>
      <c r="E63" s="187">
        <f>'FND CS Income Statement'!E28/'FND CS Income Statement'!E17</f>
        <v>7.422764985011919E-2</v>
      </c>
      <c r="F63" s="187">
        <f>'FND CS Income Statement'!F28/'FND CS Income Statement'!F17</f>
        <v>6.7951654182126134E-2</v>
      </c>
      <c r="G63" s="187">
        <f>'FND CS Income Statement'!G28/'FND CS Income Statement'!G17</f>
        <v>7.364176985474144E-2</v>
      </c>
      <c r="H63" s="187">
        <f>'FND CS Income Statement'!H28/'FND CS Income Statement'!H17</f>
        <v>8.0378417240088582E-2</v>
      </c>
      <c r="I63" s="187">
        <f>'FND CS Income Statement'!I28/'FND CS Income Statement'!I17</f>
        <v>8.2489377559499213E-2</v>
      </c>
      <c r="J63" s="187">
        <f>'FND CS Income Statement'!J28/'FND CS Income Statement'!J17</f>
        <v>6.992540461623277E-2</v>
      </c>
      <c r="K63" s="187">
        <f>'FND CS Income Statement'!K28/'FND CS Income Statement'!K17</f>
        <v>5.5728696087164957E-2</v>
      </c>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8F7CF-1F8D-EA4E-A3D4-C6B5098924B8}">
  <dimension ref="A4:L37"/>
  <sheetViews>
    <sheetView workbookViewId="0">
      <selection activeCell="N73" sqref="N73"/>
    </sheetView>
  </sheetViews>
  <sheetFormatPr baseColWidth="10" defaultColWidth="8.83203125" defaultRowHeight="13" x14ac:dyDescent="0.15"/>
  <cols>
    <col min="1" max="1" width="50" style="20" customWidth="1"/>
    <col min="2" max="11" width="13.6640625" style="20" bestFit="1" customWidth="1"/>
    <col min="12" max="191" width="12" style="20" customWidth="1"/>
    <col min="192" max="16384" width="8.83203125" style="20"/>
  </cols>
  <sheetData>
    <row r="4" spans="1:12" x14ac:dyDescent="0.15">
      <c r="A4" s="21" t="s">
        <v>0</v>
      </c>
    </row>
    <row r="5" spans="1:12" ht="20" x14ac:dyDescent="0.2">
      <c r="A5" s="22" t="s">
        <v>147</v>
      </c>
    </row>
    <row r="7" spans="1:12" ht="14" x14ac:dyDescent="0.15">
      <c r="A7" s="23" t="s">
        <v>2</v>
      </c>
    </row>
    <row r="10" spans="1:12" ht="14" x14ac:dyDescent="0.15">
      <c r="A10" s="24" t="s">
        <v>3</v>
      </c>
    </row>
    <row r="11" spans="1:12" ht="14" x14ac:dyDescent="0.15">
      <c r="A11" s="25" t="s">
        <v>4</v>
      </c>
      <c r="B11" s="26" t="s">
        <v>148</v>
      </c>
      <c r="C11" s="26" t="s">
        <v>149</v>
      </c>
      <c r="D11" s="26" t="s">
        <v>150</v>
      </c>
      <c r="E11" s="26" t="s">
        <v>151</v>
      </c>
      <c r="F11" s="26" t="s">
        <v>152</v>
      </c>
      <c r="G11" s="26" t="s">
        <v>139</v>
      </c>
      <c r="H11" s="26" t="s">
        <v>153</v>
      </c>
      <c r="I11" s="26" t="s">
        <v>154</v>
      </c>
      <c r="J11" s="26" t="s">
        <v>155</v>
      </c>
      <c r="K11" s="26" t="s">
        <v>156</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x14ac:dyDescent="0.15">
      <c r="A16" s="27" t="s">
        <v>23</v>
      </c>
      <c r="B16" s="72">
        <v>56223000</v>
      </c>
      <c r="C16" s="72">
        <v>59074000</v>
      </c>
      <c r="D16" s="72">
        <v>65017000</v>
      </c>
      <c r="E16" s="72">
        <v>68619000</v>
      </c>
      <c r="F16" s="72">
        <v>71309000</v>
      </c>
      <c r="G16" s="72">
        <v>72148000</v>
      </c>
      <c r="H16" s="72">
        <v>89597000</v>
      </c>
      <c r="I16" s="72">
        <v>96250000</v>
      </c>
      <c r="J16" s="72">
        <v>97059000</v>
      </c>
      <c r="K16" s="72">
        <v>86377000</v>
      </c>
      <c r="L16" s="27"/>
    </row>
    <row r="17" spans="1:12" s="29" customFormat="1" ht="14" x14ac:dyDescent="0.15">
      <c r="A17" s="28" t="s">
        <v>24</v>
      </c>
      <c r="B17" s="73">
        <v>56223000</v>
      </c>
      <c r="C17" s="73">
        <v>59074000</v>
      </c>
      <c r="D17" s="73">
        <v>65017000</v>
      </c>
      <c r="E17" s="73">
        <v>68619000</v>
      </c>
      <c r="F17" s="73">
        <v>71309000</v>
      </c>
      <c r="G17" s="73">
        <v>72148000</v>
      </c>
      <c r="H17" s="73">
        <v>89597000</v>
      </c>
      <c r="I17" s="73">
        <v>96250000</v>
      </c>
      <c r="J17" s="73">
        <v>97059000</v>
      </c>
      <c r="K17" s="73">
        <v>86377000</v>
      </c>
      <c r="L17" s="28"/>
    </row>
    <row r="18" spans="1:12" x14ac:dyDescent="0.15">
      <c r="A18" s="27" t="s">
        <v>204</v>
      </c>
      <c r="B18" s="72">
        <v>36665000</v>
      </c>
      <c r="C18" s="72">
        <v>38504000</v>
      </c>
      <c r="D18" s="72">
        <v>42553000</v>
      </c>
      <c r="E18" s="72">
        <v>45210000</v>
      </c>
      <c r="F18" s="72">
        <v>48401000</v>
      </c>
      <c r="G18" s="72">
        <v>49205000</v>
      </c>
      <c r="H18" s="72">
        <v>60025000</v>
      </c>
      <c r="I18" s="72">
        <v>64194000</v>
      </c>
      <c r="J18" s="72">
        <v>64802000</v>
      </c>
      <c r="K18" s="72">
        <v>57533000</v>
      </c>
      <c r="L18" s="27"/>
    </row>
    <row r="19" spans="1:12" x14ac:dyDescent="0.15">
      <c r="A19" s="27" t="s">
        <v>25</v>
      </c>
      <c r="B19" s="72">
        <v>19558000</v>
      </c>
      <c r="C19" s="72">
        <v>20570000</v>
      </c>
      <c r="D19" s="72">
        <v>22464000</v>
      </c>
      <c r="E19" s="72">
        <v>23409000</v>
      </c>
      <c r="F19" s="72">
        <v>22908000</v>
      </c>
      <c r="G19" s="72">
        <v>22943000</v>
      </c>
      <c r="H19" s="72">
        <v>29572000</v>
      </c>
      <c r="I19" s="72">
        <v>32056000</v>
      </c>
      <c r="J19" s="72">
        <v>32257000</v>
      </c>
      <c r="K19" s="72">
        <v>28844000</v>
      </c>
      <c r="L19" s="27"/>
    </row>
    <row r="20" spans="1:12" x14ac:dyDescent="0.15">
      <c r="A20" s="27" t="s">
        <v>26</v>
      </c>
      <c r="B20" s="72">
        <v>13281000</v>
      </c>
      <c r="C20" s="72">
        <v>14115000</v>
      </c>
      <c r="D20" s="72">
        <v>15129000</v>
      </c>
      <c r="E20" s="72">
        <v>15376000</v>
      </c>
      <c r="F20" s="72">
        <v>17413000</v>
      </c>
      <c r="G20" s="72">
        <v>15367000</v>
      </c>
      <c r="H20" s="72">
        <v>18526000</v>
      </c>
      <c r="I20" s="72">
        <v>18301000</v>
      </c>
      <c r="J20" s="72">
        <v>20332000</v>
      </c>
      <c r="K20" s="72">
        <v>15570000</v>
      </c>
      <c r="L20" s="27"/>
    </row>
    <row r="21" spans="1:12" x14ac:dyDescent="0.15">
      <c r="A21" s="27" t="s">
        <v>27</v>
      </c>
      <c r="B21" s="72">
        <v>1485000</v>
      </c>
      <c r="C21" s="72">
        <v>1484000</v>
      </c>
      <c r="D21" s="72">
        <v>1489000</v>
      </c>
      <c r="E21" s="72">
        <v>1447000</v>
      </c>
      <c r="F21" s="72">
        <v>1477000</v>
      </c>
      <c r="G21" s="72">
        <v>1262000</v>
      </c>
      <c r="H21" s="72">
        <v>1399000</v>
      </c>
      <c r="I21" s="72">
        <v>1662000</v>
      </c>
      <c r="J21" s="72">
        <v>1766000</v>
      </c>
      <c r="K21" s="72">
        <v>1717000</v>
      </c>
      <c r="L21" s="27"/>
    </row>
    <row r="22" spans="1:12" s="29" customFormat="1" ht="14" x14ac:dyDescent="0.15">
      <c r="A22" s="28" t="s">
        <v>43</v>
      </c>
      <c r="B22" s="73">
        <v>14766000</v>
      </c>
      <c r="C22" s="73">
        <v>15599000</v>
      </c>
      <c r="D22" s="73">
        <v>16618000</v>
      </c>
      <c r="E22" s="73">
        <v>16823000</v>
      </c>
      <c r="F22" s="73">
        <v>18890000</v>
      </c>
      <c r="G22" s="73">
        <v>16629000</v>
      </c>
      <c r="H22" s="73">
        <v>19925000</v>
      </c>
      <c r="I22" s="73">
        <v>19963000</v>
      </c>
      <c r="J22" s="73">
        <v>22098000</v>
      </c>
      <c r="K22" s="73">
        <v>17287000</v>
      </c>
      <c r="L22" s="28"/>
    </row>
    <row r="23" spans="1:12" s="29" customFormat="1" ht="14" x14ac:dyDescent="0.15">
      <c r="A23" s="28" t="s">
        <v>28</v>
      </c>
      <c r="B23" s="73">
        <v>4792000</v>
      </c>
      <c r="C23" s="73">
        <v>4971000</v>
      </c>
      <c r="D23" s="73">
        <v>5846000</v>
      </c>
      <c r="E23" s="73">
        <v>6586000</v>
      </c>
      <c r="F23" s="73">
        <v>4018000</v>
      </c>
      <c r="G23" s="73">
        <v>6314000</v>
      </c>
      <c r="H23" s="73">
        <v>9647000</v>
      </c>
      <c r="I23" s="73">
        <v>12093000</v>
      </c>
      <c r="J23" s="73">
        <v>10159000</v>
      </c>
      <c r="K23" s="73">
        <v>11557000</v>
      </c>
      <c r="L23" s="28"/>
    </row>
    <row r="24" spans="1:12" x14ac:dyDescent="0.15">
      <c r="A24" s="27" t="s">
        <v>206</v>
      </c>
      <c r="B24" s="72">
        <v>-516000</v>
      </c>
      <c r="C24" s="72">
        <v>-552000</v>
      </c>
      <c r="D24" s="72">
        <v>-645000</v>
      </c>
      <c r="E24" s="72">
        <v>-633000</v>
      </c>
      <c r="F24" s="72">
        <v>-624000</v>
      </c>
      <c r="G24" s="72">
        <v>-691000</v>
      </c>
      <c r="H24" s="72">
        <v>-848000</v>
      </c>
      <c r="I24" s="72">
        <v>-885000</v>
      </c>
      <c r="J24" s="72">
        <v>-1123000</v>
      </c>
      <c r="K24" s="72">
        <v>-1373000</v>
      </c>
      <c r="L24" s="27"/>
    </row>
    <row r="25" spans="1:12" x14ac:dyDescent="0.15">
      <c r="A25" s="27" t="s">
        <v>29</v>
      </c>
      <c r="B25" s="72">
        <v>-516000</v>
      </c>
      <c r="C25" s="72">
        <v>-552000</v>
      </c>
      <c r="D25" s="72">
        <v>-645000</v>
      </c>
      <c r="E25" s="72">
        <v>-1097000</v>
      </c>
      <c r="F25" s="72">
        <v>-624000</v>
      </c>
      <c r="G25" s="72">
        <v>-691000</v>
      </c>
      <c r="H25" s="72">
        <v>-1908000</v>
      </c>
      <c r="I25" s="72">
        <v>-885000</v>
      </c>
      <c r="J25" s="72">
        <v>-1123000</v>
      </c>
      <c r="K25" s="72">
        <v>-1382000</v>
      </c>
      <c r="L25" s="27"/>
    </row>
    <row r="26" spans="1:12" x14ac:dyDescent="0.15">
      <c r="A26" s="27" t="s">
        <v>30</v>
      </c>
      <c r="B26" s="72">
        <v>4276000</v>
      </c>
      <c r="C26" s="72">
        <v>4419000</v>
      </c>
      <c r="D26" s="72">
        <v>5201000</v>
      </c>
      <c r="E26" s="72">
        <v>5489000</v>
      </c>
      <c r="F26" s="72">
        <v>3394000</v>
      </c>
      <c r="G26" s="72">
        <v>5623000</v>
      </c>
      <c r="H26" s="72">
        <v>7739000</v>
      </c>
      <c r="I26" s="72">
        <v>11208000</v>
      </c>
      <c r="J26" s="72">
        <v>9036000</v>
      </c>
      <c r="K26" s="72">
        <v>10175000</v>
      </c>
      <c r="L26" s="27"/>
    </row>
    <row r="27" spans="1:12" x14ac:dyDescent="0.15">
      <c r="A27" s="27" t="s">
        <v>31</v>
      </c>
      <c r="B27" s="72">
        <v>1578000</v>
      </c>
      <c r="C27" s="72">
        <v>1873000</v>
      </c>
      <c r="D27" s="72">
        <v>2108000</v>
      </c>
      <c r="E27" s="72">
        <v>2042000</v>
      </c>
      <c r="F27" s="72">
        <v>1080000</v>
      </c>
      <c r="G27" s="72">
        <v>1342000</v>
      </c>
      <c r="H27" s="72">
        <v>1904000</v>
      </c>
      <c r="I27" s="72">
        <v>2766000</v>
      </c>
      <c r="J27" s="72">
        <v>2599000</v>
      </c>
      <c r="K27" s="72">
        <v>2449000</v>
      </c>
      <c r="L27" s="27"/>
    </row>
    <row r="28" spans="1:12" s="29" customFormat="1" ht="14" x14ac:dyDescent="0.15">
      <c r="A28" s="28" t="s">
        <v>32</v>
      </c>
      <c r="B28" s="73">
        <v>2698000</v>
      </c>
      <c r="C28" s="73">
        <v>2546000</v>
      </c>
      <c r="D28" s="73">
        <v>3093000</v>
      </c>
      <c r="E28" s="73">
        <v>3447000</v>
      </c>
      <c r="F28" s="73">
        <v>2314000</v>
      </c>
      <c r="G28" s="73">
        <v>4281000</v>
      </c>
      <c r="H28" s="73">
        <v>5835000</v>
      </c>
      <c r="I28" s="73">
        <v>8442000</v>
      </c>
      <c r="J28" s="73">
        <v>6437000</v>
      </c>
      <c r="K28" s="73">
        <v>7726000</v>
      </c>
      <c r="L28" s="28"/>
    </row>
    <row r="29" spans="1:12" x14ac:dyDescent="0.15">
      <c r="A29" s="27" t="s">
        <v>33</v>
      </c>
      <c r="B29" s="72">
        <v>-16000</v>
      </c>
      <c r="C29" s="72">
        <v>-12000</v>
      </c>
      <c r="D29" s="72">
        <v>-29000</v>
      </c>
      <c r="E29" s="72">
        <v>-11000</v>
      </c>
      <c r="F29" s="72">
        <v>-7000</v>
      </c>
      <c r="G29" s="72">
        <v>-13000</v>
      </c>
      <c r="H29" s="72">
        <v>-24000</v>
      </c>
      <c r="I29" s="72">
        <v>-33000</v>
      </c>
      <c r="J29" s="72">
        <v>-21000</v>
      </c>
      <c r="K29" s="72">
        <v>-20000</v>
      </c>
      <c r="L29" s="27"/>
    </row>
    <row r="30" spans="1:12" x14ac:dyDescent="0.15">
      <c r="A30" s="27" t="s">
        <v>34</v>
      </c>
      <c r="B30" s="72">
        <v>2682000</v>
      </c>
      <c r="C30" s="72">
        <v>2534000</v>
      </c>
      <c r="D30" s="72">
        <v>3062000</v>
      </c>
      <c r="E30" s="72">
        <v>3436000</v>
      </c>
      <c r="F30" s="72">
        <v>2307000</v>
      </c>
      <c r="G30" s="72">
        <v>4268000</v>
      </c>
      <c r="H30" s="72">
        <v>5811000</v>
      </c>
      <c r="I30" s="72">
        <v>8409000</v>
      </c>
      <c r="J30" s="72">
        <v>6416000</v>
      </c>
      <c r="K30" s="72">
        <v>7706000</v>
      </c>
      <c r="L30" s="27"/>
    </row>
    <row r="31" spans="1:12" x14ac:dyDescent="0.15">
      <c r="A31" s="27" t="s">
        <v>35</v>
      </c>
      <c r="B31" s="72">
        <v>988000</v>
      </c>
      <c r="C31" s="72">
        <v>927000</v>
      </c>
      <c r="D31" s="72">
        <v>880000</v>
      </c>
      <c r="E31" s="72">
        <v>839000</v>
      </c>
      <c r="F31" s="72">
        <v>811000</v>
      </c>
      <c r="G31" s="72">
        <v>777000</v>
      </c>
      <c r="H31" s="72">
        <v>748000</v>
      </c>
      <c r="I31" s="72">
        <v>696000</v>
      </c>
      <c r="J31" s="72">
        <v>629000</v>
      </c>
      <c r="K31" s="72">
        <v>582000</v>
      </c>
      <c r="L31" s="27"/>
    </row>
    <row r="32" spans="1:12" x14ac:dyDescent="0.15">
      <c r="A32" s="27" t="s">
        <v>36</v>
      </c>
      <c r="B32" s="72">
        <v>2.71</v>
      </c>
      <c r="C32" s="72">
        <v>2.73</v>
      </c>
      <c r="D32" s="72">
        <v>3.48</v>
      </c>
      <c r="E32" s="72">
        <v>4.09</v>
      </c>
      <c r="F32" s="72">
        <v>2.84</v>
      </c>
      <c r="G32" s="72">
        <v>5.49</v>
      </c>
      <c r="H32" s="72">
        <v>7.77</v>
      </c>
      <c r="I32" s="72">
        <v>12.07</v>
      </c>
      <c r="J32" s="72">
        <v>10.199999999999999</v>
      </c>
      <c r="K32" s="72">
        <v>13.23</v>
      </c>
      <c r="L32" s="27"/>
    </row>
    <row r="33" spans="1:12" x14ac:dyDescent="0.15">
      <c r="A33" s="27" t="s">
        <v>37</v>
      </c>
      <c r="B33" s="72">
        <v>2.71</v>
      </c>
      <c r="C33" s="72">
        <v>2.73</v>
      </c>
      <c r="D33" s="72">
        <v>3.48</v>
      </c>
      <c r="E33" s="72">
        <v>4.09</v>
      </c>
      <c r="F33" s="72">
        <v>2.84</v>
      </c>
      <c r="G33" s="72">
        <v>5.49</v>
      </c>
      <c r="H33" s="72">
        <v>7.77</v>
      </c>
      <c r="I33" s="72">
        <v>12.07</v>
      </c>
      <c r="J33" s="72">
        <v>10.199999999999999</v>
      </c>
      <c r="K33" s="72">
        <v>13.23</v>
      </c>
      <c r="L33" s="27"/>
    </row>
    <row r="34" spans="1:12" x14ac:dyDescent="0.15">
      <c r="A34" s="27" t="s">
        <v>38</v>
      </c>
      <c r="B34" s="72">
        <v>990000</v>
      </c>
      <c r="C34" s="72">
        <v>929000</v>
      </c>
      <c r="D34" s="72">
        <v>881000</v>
      </c>
      <c r="E34" s="72">
        <v>840000</v>
      </c>
      <c r="F34" s="72">
        <v>812000</v>
      </c>
      <c r="G34" s="72">
        <v>778000</v>
      </c>
      <c r="H34" s="72">
        <v>750000</v>
      </c>
      <c r="I34" s="72">
        <v>699000</v>
      </c>
      <c r="J34" s="72">
        <v>631000</v>
      </c>
      <c r="K34" s="72">
        <v>584000</v>
      </c>
      <c r="L34" s="27"/>
    </row>
    <row r="35" spans="1:12" x14ac:dyDescent="0.15">
      <c r="A35" s="27" t="s">
        <v>39</v>
      </c>
      <c r="B35" s="72">
        <v>2.71</v>
      </c>
      <c r="C35" s="72">
        <v>2.73</v>
      </c>
      <c r="D35" s="72">
        <v>3.47</v>
      </c>
      <c r="E35" s="72">
        <v>4.09</v>
      </c>
      <c r="F35" s="72">
        <v>2.84</v>
      </c>
      <c r="G35" s="72">
        <v>5.49</v>
      </c>
      <c r="H35" s="72">
        <v>7.75</v>
      </c>
      <c r="I35" s="72">
        <v>12.04</v>
      </c>
      <c r="J35" s="72">
        <v>10.17</v>
      </c>
      <c r="K35" s="72">
        <v>13.2</v>
      </c>
      <c r="L35" s="27"/>
    </row>
    <row r="36" spans="1:12" x14ac:dyDescent="0.15">
      <c r="A36" s="27" t="s">
        <v>40</v>
      </c>
      <c r="B36" s="72">
        <v>2.71</v>
      </c>
      <c r="C36" s="72">
        <v>2.73</v>
      </c>
      <c r="D36" s="72">
        <v>3.47</v>
      </c>
      <c r="E36" s="72">
        <v>4.09</v>
      </c>
      <c r="F36" s="72">
        <v>2.84</v>
      </c>
      <c r="G36" s="72">
        <v>5.49</v>
      </c>
      <c r="H36" s="72">
        <v>7.75</v>
      </c>
      <c r="I36" s="72">
        <v>12.04</v>
      </c>
      <c r="J36" s="72">
        <v>10.17</v>
      </c>
      <c r="K36" s="72">
        <v>13.2</v>
      </c>
      <c r="L36" s="27"/>
    </row>
    <row r="37" spans="1:12" x14ac:dyDescent="0.15">
      <c r="A37" s="27" t="s">
        <v>41</v>
      </c>
      <c r="B37" s="72">
        <v>960000</v>
      </c>
      <c r="C37" s="72">
        <v>910000</v>
      </c>
      <c r="D37" s="72">
        <v>866000</v>
      </c>
      <c r="E37" s="72">
        <v>830000</v>
      </c>
      <c r="F37" s="72">
        <v>801000</v>
      </c>
      <c r="G37" s="72">
        <v>763000</v>
      </c>
      <c r="H37" s="72">
        <v>731000</v>
      </c>
      <c r="I37" s="72">
        <v>670000</v>
      </c>
      <c r="J37" s="72">
        <v>601000</v>
      </c>
      <c r="K37" s="72">
        <v>574000</v>
      </c>
      <c r="L37" s="27"/>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43847-80C5-8B48-9667-E77B42F6B332}">
  <dimension ref="A4:L37"/>
  <sheetViews>
    <sheetView workbookViewId="0">
      <selection activeCell="N73" sqref="N73"/>
    </sheetView>
  </sheetViews>
  <sheetFormatPr baseColWidth="10" defaultColWidth="8.83203125" defaultRowHeight="13" x14ac:dyDescent="0.15"/>
  <cols>
    <col min="1" max="1" width="50" style="20" customWidth="1"/>
    <col min="2" max="11" width="13.6640625" style="20" bestFit="1" customWidth="1"/>
    <col min="12" max="191" width="12" style="20" customWidth="1"/>
    <col min="192" max="16384" width="8.83203125" style="20"/>
  </cols>
  <sheetData>
    <row r="4" spans="1:12" x14ac:dyDescent="0.15">
      <c r="A4" s="21" t="s">
        <v>0</v>
      </c>
    </row>
    <row r="5" spans="1:12" ht="20" x14ac:dyDescent="0.2">
      <c r="A5" s="22" t="s">
        <v>147</v>
      </c>
    </row>
    <row r="7" spans="1:12" ht="14" x14ac:dyDescent="0.15">
      <c r="A7" s="23" t="s">
        <v>2</v>
      </c>
    </row>
    <row r="10" spans="1:12" ht="14" x14ac:dyDescent="0.15">
      <c r="A10" s="24" t="s">
        <v>3</v>
      </c>
    </row>
    <row r="11" spans="1:12" ht="14" x14ac:dyDescent="0.15">
      <c r="A11" s="25" t="s">
        <v>4</v>
      </c>
      <c r="B11" s="26" t="s">
        <v>148</v>
      </c>
      <c r="C11" s="26" t="s">
        <v>149</v>
      </c>
      <c r="D11" s="26" t="s">
        <v>150</v>
      </c>
      <c r="E11" s="26" t="s">
        <v>151</v>
      </c>
      <c r="F11" s="26" t="s">
        <v>152</v>
      </c>
      <c r="G11" s="26" t="s">
        <v>139</v>
      </c>
      <c r="H11" s="26" t="s">
        <v>153</v>
      </c>
      <c r="I11" s="26" t="s">
        <v>154</v>
      </c>
      <c r="J11" s="26" t="s">
        <v>155</v>
      </c>
      <c r="K11" s="26" t="s">
        <v>156</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x14ac:dyDescent="0.15">
      <c r="A16" s="27" t="s">
        <v>23</v>
      </c>
      <c r="B16" s="187">
        <f>'LOW Income Statement'!B16/'LOW Income Statement'!B$17</f>
        <v>1</v>
      </c>
      <c r="C16" s="187">
        <f>'LOW Income Statement'!C16/'LOW Income Statement'!C$17</f>
        <v>1</v>
      </c>
      <c r="D16" s="187">
        <f>'LOW Income Statement'!D16/'LOW Income Statement'!D$17</f>
        <v>1</v>
      </c>
      <c r="E16" s="187">
        <f>'LOW Income Statement'!E16/'LOW Income Statement'!E$17</f>
        <v>1</v>
      </c>
      <c r="F16" s="187">
        <f>'LOW Income Statement'!F16/'LOW Income Statement'!F$17</f>
        <v>1</v>
      </c>
      <c r="G16" s="187">
        <f>'LOW Income Statement'!G16/'LOW Income Statement'!G$17</f>
        <v>1</v>
      </c>
      <c r="H16" s="187">
        <f>'LOW Income Statement'!H16/'LOW Income Statement'!H$17</f>
        <v>1</v>
      </c>
      <c r="I16" s="187">
        <f>'LOW Income Statement'!I16/'LOW Income Statement'!I$17</f>
        <v>1</v>
      </c>
      <c r="J16" s="187">
        <f>'LOW Income Statement'!J16/'LOW Income Statement'!J$17</f>
        <v>1</v>
      </c>
      <c r="K16" s="187">
        <f>'LOW Income Statement'!K16/'LOW Income Statement'!K$17</f>
        <v>1</v>
      </c>
      <c r="L16" s="27"/>
    </row>
    <row r="17" spans="1:12" s="29" customFormat="1" ht="14" x14ac:dyDescent="0.15">
      <c r="A17" s="28" t="s">
        <v>24</v>
      </c>
      <c r="B17" s="188">
        <f>'LOW Income Statement'!B17/'LOW Income Statement'!B$17</f>
        <v>1</v>
      </c>
      <c r="C17" s="188">
        <f>'LOW Income Statement'!C17/'LOW Income Statement'!C$17</f>
        <v>1</v>
      </c>
      <c r="D17" s="188">
        <f>'LOW Income Statement'!D17/'LOW Income Statement'!D$17</f>
        <v>1</v>
      </c>
      <c r="E17" s="188">
        <f>'LOW Income Statement'!E17/'LOW Income Statement'!E$17</f>
        <v>1</v>
      </c>
      <c r="F17" s="188">
        <f>'LOW Income Statement'!F17/'LOW Income Statement'!F$17</f>
        <v>1</v>
      </c>
      <c r="G17" s="188">
        <f>'LOW Income Statement'!G17/'LOW Income Statement'!G$17</f>
        <v>1</v>
      </c>
      <c r="H17" s="188">
        <f>'LOW Income Statement'!H17/'LOW Income Statement'!H$17</f>
        <v>1</v>
      </c>
      <c r="I17" s="188">
        <f>'LOW Income Statement'!I17/'LOW Income Statement'!I$17</f>
        <v>1</v>
      </c>
      <c r="J17" s="188">
        <f>'LOW Income Statement'!J17/'LOW Income Statement'!J$17</f>
        <v>1</v>
      </c>
      <c r="K17" s="188">
        <f>'LOW Income Statement'!K17/'LOW Income Statement'!K$17</f>
        <v>1</v>
      </c>
      <c r="L17" s="28"/>
    </row>
    <row r="18" spans="1:12" x14ac:dyDescent="0.15">
      <c r="A18" s="27" t="s">
        <v>204</v>
      </c>
      <c r="B18" s="187">
        <f>'LOW Income Statement'!B18/'LOW Income Statement'!B$17</f>
        <v>0.65213524714084981</v>
      </c>
      <c r="C18" s="187">
        <f>'LOW Income Statement'!C18/'LOW Income Statement'!C$17</f>
        <v>0.65179266682466064</v>
      </c>
      <c r="D18" s="187">
        <f>'LOW Income Statement'!D18/'LOW Income Statement'!D$17</f>
        <v>0.65449036405863081</v>
      </c>
      <c r="E18" s="187">
        <f>'LOW Income Statement'!E18/'LOW Income Statement'!E$17</f>
        <v>0.65885541905303191</v>
      </c>
      <c r="F18" s="187">
        <f>'LOW Income Statement'!F18/'LOW Income Statement'!F$17</f>
        <v>0.67875022788147354</v>
      </c>
      <c r="G18" s="187">
        <f>'LOW Income Statement'!G18/'LOW Income Statement'!G$17</f>
        <v>0.68200088706547657</v>
      </c>
      <c r="H18" s="187">
        <f>'LOW Income Statement'!H18/'LOW Income Statement'!H$17</f>
        <v>0.66994430617096556</v>
      </c>
      <c r="I18" s="187">
        <f>'LOW Income Statement'!I18/'LOW Income Statement'!I$17</f>
        <v>0.6669506493506494</v>
      </c>
      <c r="J18" s="187">
        <f>'LOW Income Statement'!J18/'LOW Income Statement'!J$17</f>
        <v>0.66765575577741376</v>
      </c>
      <c r="K18" s="187">
        <f>'LOW Income Statement'!K18/'LOW Income Statement'!K$17</f>
        <v>0.66606851360894681</v>
      </c>
      <c r="L18" s="27"/>
    </row>
    <row r="19" spans="1:12" x14ac:dyDescent="0.15">
      <c r="A19" s="27" t="s">
        <v>25</v>
      </c>
      <c r="B19" s="187">
        <f>'LOW Income Statement'!B19/'LOW Income Statement'!B$17</f>
        <v>0.34786475285915019</v>
      </c>
      <c r="C19" s="187">
        <f>'LOW Income Statement'!C19/'LOW Income Statement'!C$17</f>
        <v>0.34820733317533942</v>
      </c>
      <c r="D19" s="187">
        <f>'LOW Income Statement'!D19/'LOW Income Statement'!D$17</f>
        <v>0.34550963594136919</v>
      </c>
      <c r="E19" s="187">
        <f>'LOW Income Statement'!E19/'LOW Income Statement'!E$17</f>
        <v>0.34114458094696803</v>
      </c>
      <c r="F19" s="187">
        <f>'LOW Income Statement'!F19/'LOW Income Statement'!F$17</f>
        <v>0.3212497721185264</v>
      </c>
      <c r="G19" s="187">
        <f>'LOW Income Statement'!G19/'LOW Income Statement'!G$17</f>
        <v>0.31799911293452349</v>
      </c>
      <c r="H19" s="187">
        <f>'LOW Income Statement'!H19/'LOW Income Statement'!H$17</f>
        <v>0.33005569382903444</v>
      </c>
      <c r="I19" s="187">
        <f>'LOW Income Statement'!I19/'LOW Income Statement'!I$17</f>
        <v>0.33304935064935065</v>
      </c>
      <c r="J19" s="187">
        <f>'LOW Income Statement'!J19/'LOW Income Statement'!J$17</f>
        <v>0.33234424422258624</v>
      </c>
      <c r="K19" s="187">
        <f>'LOW Income Statement'!K19/'LOW Income Statement'!K$17</f>
        <v>0.33393148639105319</v>
      </c>
      <c r="L19" s="27"/>
    </row>
    <row r="20" spans="1:12" x14ac:dyDescent="0.15">
      <c r="A20" s="27" t="s">
        <v>26</v>
      </c>
      <c r="B20" s="187">
        <f>'LOW Income Statement'!B20/'LOW Income Statement'!B$17</f>
        <v>0.23622005229176671</v>
      </c>
      <c r="C20" s="187">
        <f>'LOW Income Statement'!C20/'LOW Income Statement'!C$17</f>
        <v>0.2389376036835156</v>
      </c>
      <c r="D20" s="187">
        <f>'LOW Income Statement'!D20/'LOW Income Statement'!D$17</f>
        <v>0.23269298798775706</v>
      </c>
      <c r="E20" s="187">
        <f>'LOW Income Statement'!E20/'LOW Income Statement'!E$17</f>
        <v>0.2240778793045658</v>
      </c>
      <c r="F20" s="187">
        <f>'LOW Income Statement'!F20/'LOW Income Statement'!F$17</f>
        <v>0.2441907753579492</v>
      </c>
      <c r="G20" s="187">
        <f>'LOW Income Statement'!G20/'LOW Income Statement'!G$17</f>
        <v>0.21299273715141098</v>
      </c>
      <c r="H20" s="187">
        <f>'LOW Income Statement'!H20/'LOW Income Statement'!H$17</f>
        <v>0.2067703159704008</v>
      </c>
      <c r="I20" s="187">
        <f>'LOW Income Statement'!I20/'LOW Income Statement'!I$17</f>
        <v>0.19014025974025975</v>
      </c>
      <c r="J20" s="187">
        <f>'LOW Income Statement'!J20/'LOW Income Statement'!J$17</f>
        <v>0.2094808312469735</v>
      </c>
      <c r="K20" s="187">
        <f>'LOW Income Statement'!K20/'LOW Income Statement'!K$17</f>
        <v>0.18025631823286292</v>
      </c>
      <c r="L20" s="27"/>
    </row>
    <row r="21" spans="1:12" x14ac:dyDescent="0.15">
      <c r="A21" s="27" t="s">
        <v>27</v>
      </c>
      <c r="B21" s="187">
        <f>'LOW Income Statement'!B21/'LOW Income Statement'!B$17</f>
        <v>2.641267808548103E-2</v>
      </c>
      <c r="C21" s="187">
        <f>'LOW Income Statement'!C21/'LOW Income Statement'!C$17</f>
        <v>2.5121034634526189E-2</v>
      </c>
      <c r="D21" s="187">
        <f>'LOW Income Statement'!D21/'LOW Income Statement'!D$17</f>
        <v>2.2901702631619423E-2</v>
      </c>
      <c r="E21" s="187">
        <f>'LOW Income Statement'!E21/'LOW Income Statement'!E$17</f>
        <v>2.1087453912181756E-2</v>
      </c>
      <c r="F21" s="187">
        <f>'LOW Income Statement'!F21/'LOW Income Statement'!F$17</f>
        <v>2.0712673014626485E-2</v>
      </c>
      <c r="G21" s="187">
        <f>'LOW Income Statement'!G21/'LOW Income Statement'!G$17</f>
        <v>1.7491822365138326E-2</v>
      </c>
      <c r="H21" s="187">
        <f>'LOW Income Statement'!H21/'LOW Income Statement'!H$17</f>
        <v>1.561436208801634E-2</v>
      </c>
      <c r="I21" s="187">
        <f>'LOW Income Statement'!I21/'LOW Income Statement'!I$17</f>
        <v>1.7267532467532466E-2</v>
      </c>
      <c r="J21" s="187">
        <f>'LOW Income Statement'!J21/'LOW Income Statement'!J$17</f>
        <v>1.8195118433118E-2</v>
      </c>
      <c r="K21" s="187">
        <f>'LOW Income Statement'!K21/'LOW Income Statement'!K$17</f>
        <v>1.9877976776225152E-2</v>
      </c>
      <c r="L21" s="27"/>
    </row>
    <row r="22" spans="1:12" s="29" customFormat="1" ht="14" x14ac:dyDescent="0.15">
      <c r="A22" s="28" t="s">
        <v>43</v>
      </c>
      <c r="B22" s="188">
        <f>'LOW Income Statement'!B22/'LOW Income Statement'!B$17</f>
        <v>0.26263273037724777</v>
      </c>
      <c r="C22" s="188">
        <f>'LOW Income Statement'!C22/'LOW Income Statement'!C$17</f>
        <v>0.26405863831804177</v>
      </c>
      <c r="D22" s="188">
        <f>'LOW Income Statement'!D22/'LOW Income Statement'!D$17</f>
        <v>0.25559469061937645</v>
      </c>
      <c r="E22" s="188">
        <f>'LOW Income Statement'!E22/'LOW Income Statement'!E$17</f>
        <v>0.24516533321674755</v>
      </c>
      <c r="F22" s="188">
        <f>'LOW Income Statement'!F22/'LOW Income Statement'!F$17</f>
        <v>0.26490344837257568</v>
      </c>
      <c r="G22" s="188">
        <f>'LOW Income Statement'!G22/'LOW Income Statement'!G$17</f>
        <v>0.23048455951654931</v>
      </c>
      <c r="H22" s="188">
        <f>'LOW Income Statement'!H22/'LOW Income Statement'!H$17</f>
        <v>0.22238467805841713</v>
      </c>
      <c r="I22" s="188">
        <f>'LOW Income Statement'!I22/'LOW Income Statement'!I$17</f>
        <v>0.20740779220779221</v>
      </c>
      <c r="J22" s="188">
        <f>'LOW Income Statement'!J22/'LOW Income Statement'!J$17</f>
        <v>0.2276759496800915</v>
      </c>
      <c r="K22" s="188">
        <f>'LOW Income Statement'!K22/'LOW Income Statement'!K$17</f>
        <v>0.20013429500908808</v>
      </c>
      <c r="L22" s="28"/>
    </row>
    <row r="23" spans="1:12" s="29" customFormat="1" ht="14" x14ac:dyDescent="0.15">
      <c r="A23" s="28" t="s">
        <v>28</v>
      </c>
      <c r="B23" s="188">
        <f>'LOW Income Statement'!B23/'LOW Income Statement'!B$17</f>
        <v>8.5232022481902425E-2</v>
      </c>
      <c r="C23" s="188">
        <f>'LOW Income Statement'!C23/'LOW Income Statement'!C$17</f>
        <v>8.4148694857297632E-2</v>
      </c>
      <c r="D23" s="188">
        <f>'LOW Income Statement'!D23/'LOW Income Statement'!D$17</f>
        <v>8.9914945321992706E-2</v>
      </c>
      <c r="E23" s="188">
        <f>'LOW Income Statement'!E23/'LOW Income Statement'!E$17</f>
        <v>9.5979247730220499E-2</v>
      </c>
      <c r="F23" s="188">
        <f>'LOW Income Statement'!F23/'LOW Income Statement'!F$17</f>
        <v>5.6346323745950722E-2</v>
      </c>
      <c r="G23" s="188">
        <f>'LOW Income Statement'!G23/'LOW Income Statement'!G$17</f>
        <v>8.7514553417974164E-2</v>
      </c>
      <c r="H23" s="188">
        <f>'LOW Income Statement'!H23/'LOW Income Statement'!H$17</f>
        <v>0.10767101577061731</v>
      </c>
      <c r="I23" s="188">
        <f>'LOW Income Statement'!I23/'LOW Income Statement'!I$17</f>
        <v>0.12564155844155844</v>
      </c>
      <c r="J23" s="188">
        <f>'LOW Income Statement'!J23/'LOW Income Statement'!J$17</f>
        <v>0.10466829454249477</v>
      </c>
      <c r="K23" s="188">
        <f>'LOW Income Statement'!K23/'LOW Income Statement'!K$17</f>
        <v>0.13379719138196511</v>
      </c>
      <c r="L23" s="28"/>
    </row>
    <row r="24" spans="1:12" x14ac:dyDescent="0.15">
      <c r="A24" s="27" t="s">
        <v>206</v>
      </c>
      <c r="B24" s="187">
        <f>'LOW Income Statement'!B24/'LOW Income Statement'!B$17</f>
        <v>-9.1777386478843186E-3</v>
      </c>
      <c r="C24" s="187">
        <f>'LOW Income Statement'!C24/'LOW Income Statement'!C$17</f>
        <v>-9.3442123438399298E-3</v>
      </c>
      <c r="D24" s="187">
        <f>'LOW Income Statement'!D24/'LOW Income Statement'!D$17</f>
        <v>-9.9204823353892056E-3</v>
      </c>
      <c r="E24" s="187">
        <f>'LOW Income Statement'!E24/'LOW Income Statement'!E$17</f>
        <v>-9.2248502601320337E-3</v>
      </c>
      <c r="F24" s="187">
        <f>'LOW Income Statement'!F24/'LOW Income Statement'!F$17</f>
        <v>-8.7506485857325161E-3</v>
      </c>
      <c r="G24" s="187">
        <f>'LOW Income Statement'!G24/'LOW Income Statement'!G$17</f>
        <v>-9.5775350668071187E-3</v>
      </c>
      <c r="H24" s="187">
        <f>'LOW Income Statement'!H24/'LOW Income Statement'!H$17</f>
        <v>-9.4646026094623702E-3</v>
      </c>
      <c r="I24" s="187">
        <f>'LOW Income Statement'!I24/'LOW Income Statement'!I$17</f>
        <v>-9.1948051948051949E-3</v>
      </c>
      <c r="J24" s="187">
        <f>'LOW Income Statement'!J24/'LOW Income Statement'!J$17</f>
        <v>-1.1570281993426679E-2</v>
      </c>
      <c r="K24" s="187">
        <f>'LOW Income Statement'!K24/'LOW Income Statement'!K$17</f>
        <v>-1.5895435127406602E-2</v>
      </c>
      <c r="L24" s="27"/>
    </row>
    <row r="25" spans="1:12" x14ac:dyDescent="0.15">
      <c r="A25" s="27" t="s">
        <v>29</v>
      </c>
      <c r="B25" s="187">
        <f>'LOW Income Statement'!B25/'LOW Income Statement'!B$17</f>
        <v>-9.1777386478843186E-3</v>
      </c>
      <c r="C25" s="187">
        <f>'LOW Income Statement'!C25/'LOW Income Statement'!C$17</f>
        <v>-9.3442123438399298E-3</v>
      </c>
      <c r="D25" s="187">
        <f>'LOW Income Statement'!D25/'LOW Income Statement'!D$17</f>
        <v>-9.9204823353892056E-3</v>
      </c>
      <c r="E25" s="187">
        <f>'LOW Income Statement'!E25/'LOW Income Statement'!E$17</f>
        <v>-1.5986825806263573E-2</v>
      </c>
      <c r="F25" s="187">
        <f>'LOW Income Statement'!F25/'LOW Income Statement'!F$17</f>
        <v>-8.7506485857325161E-3</v>
      </c>
      <c r="G25" s="187">
        <f>'LOW Income Statement'!G25/'LOW Income Statement'!G$17</f>
        <v>-9.5775350668071187E-3</v>
      </c>
      <c r="H25" s="187">
        <f>'LOW Income Statement'!H25/'LOW Income Statement'!H$17</f>
        <v>-2.1295355871290333E-2</v>
      </c>
      <c r="I25" s="187">
        <f>'LOW Income Statement'!I25/'LOW Income Statement'!I$17</f>
        <v>-9.1948051948051949E-3</v>
      </c>
      <c r="J25" s="187">
        <f>'LOW Income Statement'!J25/'LOW Income Statement'!J$17</f>
        <v>-1.1570281993426679E-2</v>
      </c>
      <c r="K25" s="187">
        <f>'LOW Income Statement'!K25/'LOW Income Statement'!K$17</f>
        <v>-1.5999629531009411E-2</v>
      </c>
      <c r="L25" s="27"/>
    </row>
    <row r="26" spans="1:12" x14ac:dyDescent="0.15">
      <c r="A26" s="27" t="s">
        <v>30</v>
      </c>
      <c r="B26" s="187">
        <f>'LOW Income Statement'!B26/'LOW Income Statement'!B$17</f>
        <v>7.6054283834018105E-2</v>
      </c>
      <c r="C26" s="187">
        <f>'LOW Income Statement'!C26/'LOW Income Statement'!C$17</f>
        <v>7.4804482513457699E-2</v>
      </c>
      <c r="D26" s="187">
        <f>'LOW Income Statement'!D26/'LOW Income Statement'!D$17</f>
        <v>7.999446298660351E-2</v>
      </c>
      <c r="E26" s="187">
        <f>'LOW Income Statement'!E26/'LOW Income Statement'!E$17</f>
        <v>7.9992421923956919E-2</v>
      </c>
      <c r="F26" s="187">
        <f>'LOW Income Statement'!F26/'LOW Income Statement'!F$17</f>
        <v>4.7595675160218204E-2</v>
      </c>
      <c r="G26" s="187">
        <f>'LOW Income Statement'!G26/'LOW Income Statement'!G$17</f>
        <v>7.7937018351167051E-2</v>
      </c>
      <c r="H26" s="187">
        <f>'LOW Income Statement'!H26/'LOW Income Statement'!H$17</f>
        <v>8.6375659899326981E-2</v>
      </c>
      <c r="I26" s="187">
        <f>'LOW Income Statement'!I26/'LOW Income Statement'!I$17</f>
        <v>0.11644675324675324</v>
      </c>
      <c r="J26" s="187">
        <f>'LOW Income Statement'!J26/'LOW Income Statement'!J$17</f>
        <v>9.309801254906809E-2</v>
      </c>
      <c r="K26" s="187">
        <f>'LOW Income Statement'!K26/'LOW Income Statement'!K$17</f>
        <v>0.11779756185095569</v>
      </c>
      <c r="L26" s="27"/>
    </row>
    <row r="27" spans="1:12" x14ac:dyDescent="0.15">
      <c r="A27" s="27" t="s">
        <v>31</v>
      </c>
      <c r="B27" s="187">
        <f>'LOW Income Statement'!B27/'LOW Income Statement'!B$17</f>
        <v>2.8066805399925298E-2</v>
      </c>
      <c r="C27" s="187">
        <f>'LOW Income Statement'!C27/'LOW Income Statement'!C$17</f>
        <v>3.1705995869587299E-2</v>
      </c>
      <c r="D27" s="187">
        <f>'LOW Income Statement'!D27/'LOW Income Statement'!D$17</f>
        <v>3.2422289555039452E-2</v>
      </c>
      <c r="E27" s="187">
        <f>'LOW Income Statement'!E27/'LOW Income Statement'!E$17</f>
        <v>2.9758521692242672E-2</v>
      </c>
      <c r="F27" s="187">
        <f>'LOW Income Statement'!F27/'LOW Income Statement'!F$17</f>
        <v>1.5145353321460124E-2</v>
      </c>
      <c r="G27" s="187">
        <f>'LOW Income Statement'!G27/'LOW Income Statement'!G$17</f>
        <v>1.8600654210788933E-2</v>
      </c>
      <c r="H27" s="187">
        <f>'LOW Income Statement'!H27/'LOW Income Statement'!H$17</f>
        <v>2.1250711519358909E-2</v>
      </c>
      <c r="I27" s="187">
        <f>'LOW Income Statement'!I27/'LOW Income Statement'!I$17</f>
        <v>2.8737662337662336E-2</v>
      </c>
      <c r="J27" s="187">
        <f>'LOW Income Statement'!J27/'LOW Income Statement'!J$17</f>
        <v>2.6777527071162901E-2</v>
      </c>
      <c r="K27" s="187">
        <f>'LOW Income Statement'!K27/'LOW Income Statement'!K$17</f>
        <v>2.8352454935920441E-2</v>
      </c>
      <c r="L27" s="27"/>
    </row>
    <row r="28" spans="1:12" s="29" customFormat="1" ht="14" x14ac:dyDescent="0.15">
      <c r="A28" s="28" t="s">
        <v>32</v>
      </c>
      <c r="B28" s="188">
        <f>'LOW Income Statement'!B28/'LOW Income Statement'!B$17</f>
        <v>4.798747843409281E-2</v>
      </c>
      <c r="C28" s="188">
        <f>'LOW Income Statement'!C28/'LOW Income Statement'!C$17</f>
        <v>4.30984866438704E-2</v>
      </c>
      <c r="D28" s="188">
        <f>'LOW Income Statement'!D28/'LOW Income Statement'!D$17</f>
        <v>4.7572173431564051E-2</v>
      </c>
      <c r="E28" s="188">
        <f>'LOW Income Statement'!E28/'LOW Income Statement'!E$17</f>
        <v>5.023390023171425E-2</v>
      </c>
      <c r="F28" s="188">
        <f>'LOW Income Statement'!F28/'LOW Income Statement'!F$17</f>
        <v>3.2450321838758081E-2</v>
      </c>
      <c r="G28" s="188">
        <f>'LOW Income Statement'!G28/'LOW Income Statement'!G$17</f>
        <v>5.9336364140378114E-2</v>
      </c>
      <c r="H28" s="188">
        <f>'LOW Income Statement'!H28/'LOW Income Statement'!H$17</f>
        <v>6.5124948379968073E-2</v>
      </c>
      <c r="I28" s="188">
        <f>'LOW Income Statement'!I28/'LOW Income Statement'!I$17</f>
        <v>8.7709090909090903E-2</v>
      </c>
      <c r="J28" s="188">
        <f>'LOW Income Statement'!J28/'LOW Income Statement'!J$17</f>
        <v>6.6320485477905186E-2</v>
      </c>
      <c r="K28" s="188">
        <f>'LOW Income Statement'!K28/'LOW Income Statement'!K$17</f>
        <v>8.9445106915035252E-2</v>
      </c>
      <c r="L28" s="28"/>
    </row>
    <row r="29" spans="1:12" x14ac:dyDescent="0.15">
      <c r="A29" s="27" t="s">
        <v>33</v>
      </c>
      <c r="B29" s="187">
        <f>'LOW Income Statement'!B29/'LOW Income Statement'!B$17</f>
        <v>-2.8458104334525019E-4</v>
      </c>
      <c r="C29" s="187">
        <f>'LOW Income Statement'!C29/'LOW Income Statement'!C$17</f>
        <v>-2.0313505095304196E-4</v>
      </c>
      <c r="D29" s="187">
        <f>'LOW Income Statement'!D29/'LOW Income Statement'!D$17</f>
        <v>-4.4603719027331315E-4</v>
      </c>
      <c r="E29" s="187">
        <f>'LOW Income Statement'!E29/'LOW Income Statement'!E$17</f>
        <v>-1.603054547574287E-4</v>
      </c>
      <c r="F29" s="187">
        <f>'LOW Income Statement'!F29/'LOW Income Statement'!F$17</f>
        <v>-9.8164327083537844E-5</v>
      </c>
      <c r="G29" s="187">
        <f>'LOW Income Statement'!G29/'LOW Income Statement'!G$17</f>
        <v>-1.8018517491822365E-4</v>
      </c>
      <c r="H29" s="187">
        <f>'LOW Income Statement'!H29/'LOW Income Statement'!H$17</f>
        <v>-2.6786611158855763E-4</v>
      </c>
      <c r="I29" s="187">
        <f>'LOW Income Statement'!I29/'LOW Income Statement'!I$17</f>
        <v>-3.4285714285714285E-4</v>
      </c>
      <c r="J29" s="187">
        <f>'LOW Income Statement'!J29/'LOW Income Statement'!J$17</f>
        <v>-2.1636324297592187E-4</v>
      </c>
      <c r="K29" s="187">
        <f>'LOW Income Statement'!K29/'LOW Income Statement'!K$17</f>
        <v>-2.3154311911735762E-4</v>
      </c>
      <c r="L29" s="27"/>
    </row>
    <row r="30" spans="1:12" x14ac:dyDescent="0.15">
      <c r="A30" s="27" t="s">
        <v>34</v>
      </c>
      <c r="B30" s="187">
        <f>'LOW Income Statement'!B30/'LOW Income Statement'!B$17</f>
        <v>4.770289739074756E-2</v>
      </c>
      <c r="C30" s="187">
        <f>'LOW Income Statement'!C30/'LOW Income Statement'!C$17</f>
        <v>4.2895351592917359E-2</v>
      </c>
      <c r="D30" s="187">
        <f>'LOW Income Statement'!D30/'LOW Income Statement'!D$17</f>
        <v>4.7095375055754646E-2</v>
      </c>
      <c r="E30" s="187">
        <f>'LOW Income Statement'!E30/'LOW Income Statement'!E$17</f>
        <v>5.0073594776956817E-2</v>
      </c>
      <c r="F30" s="187">
        <f>'LOW Income Statement'!F30/'LOW Income Statement'!F$17</f>
        <v>3.2352157511674542E-2</v>
      </c>
      <c r="G30" s="187">
        <f>'LOW Income Statement'!G30/'LOW Income Statement'!G$17</f>
        <v>5.9156178965459889E-2</v>
      </c>
      <c r="H30" s="187">
        <f>'LOW Income Statement'!H30/'LOW Income Statement'!H$17</f>
        <v>6.4857082268379523E-2</v>
      </c>
      <c r="I30" s="187">
        <f>'LOW Income Statement'!I30/'LOW Income Statement'!I$17</f>
        <v>8.7366233766233772E-2</v>
      </c>
      <c r="J30" s="187">
        <f>'LOW Income Statement'!J30/'LOW Income Statement'!J$17</f>
        <v>6.6104122234929272E-2</v>
      </c>
      <c r="K30" s="187">
        <f>'LOW Income Statement'!K30/'LOW Income Statement'!K$17</f>
        <v>8.9213563795917897E-2</v>
      </c>
      <c r="L30" s="27"/>
    </row>
    <row r="31" spans="1:12" x14ac:dyDescent="0.15">
      <c r="A31" s="27" t="s">
        <v>35</v>
      </c>
      <c r="B31" s="187">
        <f>'LOW Income Statement'!B31/'LOW Income Statement'!B$17</f>
        <v>1.7572879426569196E-2</v>
      </c>
      <c r="C31" s="187">
        <f>'LOW Income Statement'!C31/'LOW Income Statement'!C$17</f>
        <v>1.5692182686122491E-2</v>
      </c>
      <c r="D31" s="187">
        <f>'LOW Income Statement'!D31/'LOW Income Statement'!D$17</f>
        <v>1.3534921635879847E-2</v>
      </c>
      <c r="E31" s="187">
        <f>'LOW Income Statement'!E31/'LOW Income Statement'!E$17</f>
        <v>1.222693423104388E-2</v>
      </c>
      <c r="F31" s="187">
        <f>'LOW Income Statement'!F31/'LOW Income Statement'!F$17</f>
        <v>1.1373038466392741E-2</v>
      </c>
      <c r="G31" s="187">
        <f>'LOW Income Statement'!G31/'LOW Income Statement'!G$17</f>
        <v>1.0769529300881521E-2</v>
      </c>
      <c r="H31" s="187">
        <f>'LOW Income Statement'!H31/'LOW Income Statement'!H$17</f>
        <v>8.3484938111767128E-3</v>
      </c>
      <c r="I31" s="187">
        <f>'LOW Income Statement'!I31/'LOW Income Statement'!I$17</f>
        <v>7.2311688311688313E-3</v>
      </c>
      <c r="J31" s="187">
        <f>'LOW Income Statement'!J31/'LOW Income Statement'!J$17</f>
        <v>6.4805942777073737E-3</v>
      </c>
      <c r="K31" s="187">
        <f>'LOW Income Statement'!K31/'LOW Income Statement'!K$17</f>
        <v>6.7379047663151071E-3</v>
      </c>
      <c r="L31" s="27"/>
    </row>
    <row r="32" spans="1:12" x14ac:dyDescent="0.15">
      <c r="A32" s="27" t="s">
        <v>36</v>
      </c>
      <c r="B32" s="187">
        <f>'LOW Income Statement'!B32/'LOW Income Statement'!B$17</f>
        <v>4.8200914216601745E-8</v>
      </c>
      <c r="C32" s="187">
        <f>'LOW Income Statement'!C32/'LOW Income Statement'!C$17</f>
        <v>4.6213224091817045E-8</v>
      </c>
      <c r="D32" s="187">
        <f>'LOW Income Statement'!D32/'LOW Income Statement'!D$17</f>
        <v>5.3524462832797578E-8</v>
      </c>
      <c r="E32" s="187">
        <f>'LOW Income Statement'!E32/'LOW Income Statement'!E$17</f>
        <v>5.9604482723443942E-8</v>
      </c>
      <c r="F32" s="187">
        <f>'LOW Income Statement'!F32/'LOW Income Statement'!F$17</f>
        <v>3.9826669845321067E-8</v>
      </c>
      <c r="G32" s="187">
        <f>'LOW Income Statement'!G32/'LOW Income Statement'!G$17</f>
        <v>7.609358540777292E-8</v>
      </c>
      <c r="H32" s="187">
        <f>'LOW Income Statement'!H32/'LOW Income Statement'!H$17</f>
        <v>8.6721653626795539E-8</v>
      </c>
      <c r="I32" s="187">
        <f>'LOW Income Statement'!I32/'LOW Income Statement'!I$17</f>
        <v>1.254025974025974E-7</v>
      </c>
      <c r="J32" s="187">
        <f>'LOW Income Statement'!J32/'LOW Income Statement'!J$17</f>
        <v>1.0509071801687633E-7</v>
      </c>
      <c r="K32" s="187">
        <f>'LOW Income Statement'!K32/'LOW Income Statement'!K$17</f>
        <v>1.5316577329613207E-7</v>
      </c>
      <c r="L32" s="27"/>
    </row>
    <row r="33" spans="1:12" x14ac:dyDescent="0.15">
      <c r="A33" s="27" t="s">
        <v>37</v>
      </c>
      <c r="B33" s="187">
        <f>'LOW Income Statement'!B33/'LOW Income Statement'!B$17</f>
        <v>4.8200914216601745E-8</v>
      </c>
      <c r="C33" s="187">
        <f>'LOW Income Statement'!C33/'LOW Income Statement'!C$17</f>
        <v>4.6213224091817045E-8</v>
      </c>
      <c r="D33" s="187">
        <f>'LOW Income Statement'!D33/'LOW Income Statement'!D$17</f>
        <v>5.3524462832797578E-8</v>
      </c>
      <c r="E33" s="187">
        <f>'LOW Income Statement'!E33/'LOW Income Statement'!E$17</f>
        <v>5.9604482723443942E-8</v>
      </c>
      <c r="F33" s="187">
        <f>'LOW Income Statement'!F33/'LOW Income Statement'!F$17</f>
        <v>3.9826669845321067E-8</v>
      </c>
      <c r="G33" s="187">
        <f>'LOW Income Statement'!G33/'LOW Income Statement'!G$17</f>
        <v>7.609358540777292E-8</v>
      </c>
      <c r="H33" s="187">
        <f>'LOW Income Statement'!H33/'LOW Income Statement'!H$17</f>
        <v>8.6721653626795539E-8</v>
      </c>
      <c r="I33" s="187">
        <f>'LOW Income Statement'!I33/'LOW Income Statement'!I$17</f>
        <v>1.254025974025974E-7</v>
      </c>
      <c r="J33" s="187">
        <f>'LOW Income Statement'!J33/'LOW Income Statement'!J$17</f>
        <v>1.0509071801687633E-7</v>
      </c>
      <c r="K33" s="187">
        <f>'LOW Income Statement'!K33/'LOW Income Statement'!K$17</f>
        <v>1.5316577329613207E-7</v>
      </c>
      <c r="L33" s="27"/>
    </row>
    <row r="34" spans="1:12" x14ac:dyDescent="0.15">
      <c r="A34" s="27" t="s">
        <v>38</v>
      </c>
      <c r="B34" s="187">
        <f>'LOW Income Statement'!B34/'LOW Income Statement'!B$17</f>
        <v>1.7608452056987352E-2</v>
      </c>
      <c r="C34" s="187">
        <f>'LOW Income Statement'!C34/'LOW Income Statement'!C$17</f>
        <v>1.5726038527947999E-2</v>
      </c>
      <c r="D34" s="187">
        <f>'LOW Income Statement'!D34/'LOW Income Statement'!D$17</f>
        <v>1.3550302228647892E-2</v>
      </c>
      <c r="E34" s="187">
        <f>'LOW Income Statement'!E34/'LOW Income Statement'!E$17</f>
        <v>1.2241507454203646E-2</v>
      </c>
      <c r="F34" s="187">
        <f>'LOW Income Statement'!F34/'LOW Income Statement'!F$17</f>
        <v>1.1387061941690389E-2</v>
      </c>
      <c r="G34" s="187">
        <f>'LOW Income Statement'!G34/'LOW Income Statement'!G$17</f>
        <v>1.0783389698952154E-2</v>
      </c>
      <c r="H34" s="187">
        <f>'LOW Income Statement'!H34/'LOW Income Statement'!H$17</f>
        <v>8.370815987142427E-3</v>
      </c>
      <c r="I34" s="187">
        <f>'LOW Income Statement'!I34/'LOW Income Statement'!I$17</f>
        <v>7.2623376623376619E-3</v>
      </c>
      <c r="J34" s="187">
        <f>'LOW Income Statement'!J34/'LOW Income Statement'!J$17</f>
        <v>6.5012003008479381E-3</v>
      </c>
      <c r="K34" s="187">
        <f>'LOW Income Statement'!K34/'LOW Income Statement'!K$17</f>
        <v>6.7610590782268432E-3</v>
      </c>
      <c r="L34" s="27"/>
    </row>
    <row r="35" spans="1:12" x14ac:dyDescent="0.15">
      <c r="A35" s="27" t="s">
        <v>39</v>
      </c>
      <c r="B35" s="187">
        <f>'LOW Income Statement'!B35/'LOW Income Statement'!B$17</f>
        <v>4.8200914216601745E-8</v>
      </c>
      <c r="C35" s="187">
        <f>'LOW Income Statement'!C35/'LOW Income Statement'!C$17</f>
        <v>4.6213224091817045E-8</v>
      </c>
      <c r="D35" s="187">
        <f>'LOW Income Statement'!D35/'LOW Income Statement'!D$17</f>
        <v>5.3370656905117125E-8</v>
      </c>
      <c r="E35" s="187">
        <f>'LOW Income Statement'!E35/'LOW Income Statement'!E$17</f>
        <v>5.9604482723443942E-8</v>
      </c>
      <c r="F35" s="187">
        <f>'LOW Income Statement'!F35/'LOW Income Statement'!F$17</f>
        <v>3.9826669845321067E-8</v>
      </c>
      <c r="G35" s="187">
        <f>'LOW Income Statement'!G35/'LOW Income Statement'!G$17</f>
        <v>7.609358540777292E-8</v>
      </c>
      <c r="H35" s="187">
        <f>'LOW Income Statement'!H35/'LOW Income Statement'!H$17</f>
        <v>8.6498431867138412E-8</v>
      </c>
      <c r="I35" s="187">
        <f>'LOW Income Statement'!I35/'LOW Income Statement'!I$17</f>
        <v>1.2509090909090909E-7</v>
      </c>
      <c r="J35" s="187">
        <f>'LOW Income Statement'!J35/'LOW Income Statement'!J$17</f>
        <v>1.0478162766976788E-7</v>
      </c>
      <c r="K35" s="187">
        <f>'LOW Income Statement'!K35/'LOW Income Statement'!K$17</f>
        <v>1.5281845861745603E-7</v>
      </c>
      <c r="L35" s="27"/>
    </row>
    <row r="36" spans="1:12" x14ac:dyDescent="0.15">
      <c r="A36" s="27" t="s">
        <v>40</v>
      </c>
      <c r="B36" s="187">
        <f>'LOW Income Statement'!B36/'LOW Income Statement'!B$17</f>
        <v>4.8200914216601745E-8</v>
      </c>
      <c r="C36" s="187">
        <f>'LOW Income Statement'!C36/'LOW Income Statement'!C$17</f>
        <v>4.6213224091817045E-8</v>
      </c>
      <c r="D36" s="187">
        <f>'LOW Income Statement'!D36/'LOW Income Statement'!D$17</f>
        <v>5.3370656905117125E-8</v>
      </c>
      <c r="E36" s="187">
        <f>'LOW Income Statement'!E36/'LOW Income Statement'!E$17</f>
        <v>5.9604482723443942E-8</v>
      </c>
      <c r="F36" s="187">
        <f>'LOW Income Statement'!F36/'LOW Income Statement'!F$17</f>
        <v>3.9826669845321067E-8</v>
      </c>
      <c r="G36" s="187">
        <f>'LOW Income Statement'!G36/'LOW Income Statement'!G$17</f>
        <v>7.609358540777292E-8</v>
      </c>
      <c r="H36" s="187">
        <f>'LOW Income Statement'!H36/'LOW Income Statement'!H$17</f>
        <v>8.6498431867138412E-8</v>
      </c>
      <c r="I36" s="187">
        <f>'LOW Income Statement'!I36/'LOW Income Statement'!I$17</f>
        <v>1.2509090909090909E-7</v>
      </c>
      <c r="J36" s="187">
        <f>'LOW Income Statement'!J36/'LOW Income Statement'!J$17</f>
        <v>1.0478162766976788E-7</v>
      </c>
      <c r="K36" s="187">
        <f>'LOW Income Statement'!K36/'LOW Income Statement'!K$17</f>
        <v>1.5281845861745603E-7</v>
      </c>
      <c r="L36" s="27"/>
    </row>
    <row r="37" spans="1:12" x14ac:dyDescent="0.15">
      <c r="A37" s="27" t="s">
        <v>41</v>
      </c>
      <c r="B37" s="187">
        <f>'LOW Income Statement'!B37/'LOW Income Statement'!B$17</f>
        <v>1.7074862600715009E-2</v>
      </c>
      <c r="C37" s="187">
        <f>'LOW Income Statement'!C37/'LOW Income Statement'!C$17</f>
        <v>1.5404408030605681E-2</v>
      </c>
      <c r="D37" s="187">
        <f>'LOW Income Statement'!D37/'LOW Income Statement'!D$17</f>
        <v>1.3319593337127213E-2</v>
      </c>
      <c r="E37" s="187">
        <f>'LOW Income Statement'!E37/'LOW Income Statement'!E$17</f>
        <v>1.2095775222605984E-2</v>
      </c>
      <c r="F37" s="187">
        <f>'LOW Income Statement'!F37/'LOW Income Statement'!F$17</f>
        <v>1.123280371341626E-2</v>
      </c>
      <c r="G37" s="187">
        <f>'LOW Income Statement'!G37/'LOW Income Statement'!G$17</f>
        <v>1.0575483727892665E-2</v>
      </c>
      <c r="H37" s="187">
        <f>'LOW Income Statement'!H37/'LOW Income Statement'!H$17</f>
        <v>8.1587553154681518E-3</v>
      </c>
      <c r="I37" s="187">
        <f>'LOW Income Statement'!I37/'LOW Income Statement'!I$17</f>
        <v>6.9610389610389612E-3</v>
      </c>
      <c r="J37" s="187">
        <f>'LOW Income Statement'!J37/'LOW Income Statement'!J$17</f>
        <v>6.1921099537394783E-3</v>
      </c>
      <c r="K37" s="187">
        <f>'LOW Income Statement'!K37/'LOW Income Statement'!K$17</f>
        <v>6.6452875186681637E-3</v>
      </c>
      <c r="L37" s="27"/>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5D6-8E4E-B043-ABB7-8FA002C5E2DA}">
  <dimension ref="A4:L43"/>
  <sheetViews>
    <sheetView workbookViewId="0">
      <selection activeCell="N73" sqref="N73"/>
    </sheetView>
  </sheetViews>
  <sheetFormatPr baseColWidth="10" defaultColWidth="8.83203125" defaultRowHeight="13" x14ac:dyDescent="0.15"/>
  <cols>
    <col min="1" max="1" width="50" style="20" customWidth="1"/>
    <col min="2" max="9" width="13.6640625" style="20" bestFit="1" customWidth="1"/>
    <col min="10" max="11" width="14.1640625" style="20" bestFit="1" customWidth="1"/>
    <col min="12" max="191" width="12" style="20" customWidth="1"/>
    <col min="192" max="16384" width="8.83203125" style="20"/>
  </cols>
  <sheetData>
    <row r="4" spans="1:12" x14ac:dyDescent="0.15">
      <c r="A4" s="21" t="s">
        <v>0</v>
      </c>
    </row>
    <row r="5" spans="1:12" ht="20" x14ac:dyDescent="0.2">
      <c r="A5" s="22" t="s">
        <v>147</v>
      </c>
    </row>
    <row r="7" spans="1:12" ht="14" x14ac:dyDescent="0.15">
      <c r="A7" s="23" t="s">
        <v>2</v>
      </c>
    </row>
    <row r="10" spans="1:12" ht="14" x14ac:dyDescent="0.15">
      <c r="A10" s="24" t="s">
        <v>47</v>
      </c>
    </row>
    <row r="11" spans="1:12" ht="14" x14ac:dyDescent="0.15">
      <c r="A11" s="25" t="s">
        <v>4</v>
      </c>
      <c r="B11" s="26" t="s">
        <v>148</v>
      </c>
      <c r="C11" s="26" t="s">
        <v>149</v>
      </c>
      <c r="D11" s="26" t="s">
        <v>150</v>
      </c>
      <c r="E11" s="26" t="s">
        <v>151</v>
      </c>
      <c r="F11" s="26" t="s">
        <v>152</v>
      </c>
      <c r="G11" s="26" t="s">
        <v>139</v>
      </c>
      <c r="H11" s="26" t="s">
        <v>153</v>
      </c>
      <c r="I11" s="26" t="s">
        <v>154</v>
      </c>
      <c r="J11" s="26" t="s">
        <v>155</v>
      </c>
      <c r="K11" s="26" t="s">
        <v>156</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x14ac:dyDescent="0.15">
      <c r="A16" s="27" t="s">
        <v>48</v>
      </c>
      <c r="B16" s="72">
        <v>466000</v>
      </c>
      <c r="C16" s="72">
        <v>405000</v>
      </c>
      <c r="D16" s="72">
        <v>558000</v>
      </c>
      <c r="E16" s="72">
        <v>588000</v>
      </c>
      <c r="F16" s="72">
        <v>511000</v>
      </c>
      <c r="G16" s="72">
        <v>716000</v>
      </c>
      <c r="H16" s="72">
        <v>4690000</v>
      </c>
      <c r="I16" s="72">
        <v>1133000</v>
      </c>
      <c r="J16" s="72">
        <v>1348000</v>
      </c>
      <c r="K16" s="72">
        <v>921000</v>
      </c>
      <c r="L16" s="27"/>
    </row>
    <row r="17" spans="1:12" x14ac:dyDescent="0.15">
      <c r="A17" s="27" t="s">
        <v>157</v>
      </c>
      <c r="B17" s="72">
        <v>125000</v>
      </c>
      <c r="C17" s="72">
        <v>307000</v>
      </c>
      <c r="D17" s="72">
        <v>100000</v>
      </c>
      <c r="E17" s="72">
        <v>102000</v>
      </c>
      <c r="F17" s="72">
        <v>218000</v>
      </c>
      <c r="G17" s="72">
        <v>160000</v>
      </c>
      <c r="H17" s="72">
        <v>506000</v>
      </c>
      <c r="I17" s="72">
        <v>271000</v>
      </c>
      <c r="J17" s="72">
        <v>384000</v>
      </c>
      <c r="K17" s="72">
        <v>307000</v>
      </c>
      <c r="L17" s="27"/>
    </row>
    <row r="18" spans="1:12" x14ac:dyDescent="0.15">
      <c r="A18" s="27" t="s">
        <v>49</v>
      </c>
      <c r="B18" s="72">
        <v>591000</v>
      </c>
      <c r="C18" s="72">
        <v>712000</v>
      </c>
      <c r="D18" s="72">
        <v>658000</v>
      </c>
      <c r="E18" s="72">
        <v>690000</v>
      </c>
      <c r="F18" s="72">
        <v>729000</v>
      </c>
      <c r="G18" s="72">
        <v>876000</v>
      </c>
      <c r="H18" s="72">
        <v>5196000</v>
      </c>
      <c r="I18" s="72">
        <v>1404000</v>
      </c>
      <c r="J18" s="72">
        <v>1732000</v>
      </c>
      <c r="K18" s="72">
        <v>1228000</v>
      </c>
      <c r="L18" s="27"/>
    </row>
    <row r="19" spans="1:12" x14ac:dyDescent="0.15">
      <c r="A19" s="27" t="s">
        <v>51</v>
      </c>
      <c r="B19" s="72">
        <v>8911000</v>
      </c>
      <c r="C19" s="72">
        <v>9458000</v>
      </c>
      <c r="D19" s="72">
        <v>10458000</v>
      </c>
      <c r="E19" s="72">
        <v>11393000</v>
      </c>
      <c r="F19" s="72">
        <v>12561000</v>
      </c>
      <c r="G19" s="72">
        <v>13179000</v>
      </c>
      <c r="H19" s="72">
        <v>16193000</v>
      </c>
      <c r="I19" s="72">
        <v>17605000</v>
      </c>
      <c r="J19" s="72">
        <v>18532000</v>
      </c>
      <c r="K19" s="72">
        <v>16894000</v>
      </c>
      <c r="L19" s="27"/>
    </row>
    <row r="20" spans="1:12" x14ac:dyDescent="0.15">
      <c r="A20" s="27" t="s">
        <v>52</v>
      </c>
      <c r="B20" s="72">
        <v>348000</v>
      </c>
      <c r="C20" s="72">
        <v>391000</v>
      </c>
      <c r="D20" s="72">
        <v>884000</v>
      </c>
      <c r="E20" s="72">
        <v>689000</v>
      </c>
      <c r="F20" s="72">
        <v>938000</v>
      </c>
      <c r="G20" s="72">
        <v>1263000</v>
      </c>
      <c r="H20" s="72">
        <v>937000</v>
      </c>
      <c r="I20" s="72">
        <v>1051000</v>
      </c>
      <c r="J20" s="72">
        <v>1178000</v>
      </c>
      <c r="K20" s="72">
        <v>949000</v>
      </c>
      <c r="L20" s="27"/>
    </row>
    <row r="21" spans="1:12" s="29" customFormat="1" ht="14" x14ac:dyDescent="0.15">
      <c r="A21" s="28" t="s">
        <v>53</v>
      </c>
      <c r="B21" s="73">
        <v>10080000</v>
      </c>
      <c r="C21" s="73">
        <v>10561000</v>
      </c>
      <c r="D21" s="73">
        <v>12000000</v>
      </c>
      <c r="E21" s="73">
        <v>12772000</v>
      </c>
      <c r="F21" s="73">
        <v>14228000</v>
      </c>
      <c r="G21" s="73">
        <v>15318000</v>
      </c>
      <c r="H21" s="73">
        <v>22326000</v>
      </c>
      <c r="I21" s="73">
        <v>20060000</v>
      </c>
      <c r="J21" s="73">
        <v>21442000</v>
      </c>
      <c r="K21" s="73">
        <v>19071000</v>
      </c>
      <c r="L21" s="28"/>
    </row>
    <row r="22" spans="1:12" x14ac:dyDescent="0.15">
      <c r="A22" s="27" t="s">
        <v>54</v>
      </c>
      <c r="B22" s="72">
        <v>35443000</v>
      </c>
      <c r="C22" s="72">
        <v>35913000</v>
      </c>
      <c r="D22" s="72">
        <v>36918000</v>
      </c>
      <c r="E22" s="72">
        <v>36940000</v>
      </c>
      <c r="F22" s="72">
        <v>35863000</v>
      </c>
      <c r="G22" s="72">
        <v>35945000</v>
      </c>
      <c r="H22" s="72">
        <v>36702000</v>
      </c>
      <c r="I22" s="72">
        <v>36959000</v>
      </c>
      <c r="J22" s="72">
        <v>34911000</v>
      </c>
      <c r="K22" s="72">
        <v>35770000</v>
      </c>
      <c r="L22" s="27"/>
    </row>
    <row r="23" spans="1:12" x14ac:dyDescent="0.15">
      <c r="A23" s="27" t="s">
        <v>55</v>
      </c>
      <c r="B23" s="72">
        <v>15409000</v>
      </c>
      <c r="C23" s="72">
        <v>16336000</v>
      </c>
      <c r="D23" s="72">
        <v>16969000</v>
      </c>
      <c r="E23" s="72">
        <v>17219000</v>
      </c>
      <c r="F23" s="72">
        <v>17431000</v>
      </c>
      <c r="G23" s="72">
        <v>17276000</v>
      </c>
      <c r="H23" s="72">
        <v>17547000</v>
      </c>
      <c r="I23" s="72">
        <v>17888000</v>
      </c>
      <c r="J23" s="72">
        <v>17344000</v>
      </c>
      <c r="K23" s="72">
        <v>18117000</v>
      </c>
      <c r="L23" s="27"/>
    </row>
    <row r="24" spans="1:12" x14ac:dyDescent="0.15">
      <c r="A24" s="27" t="s">
        <v>56</v>
      </c>
      <c r="B24" s="72">
        <v>20034000</v>
      </c>
      <c r="C24" s="72">
        <v>19577000</v>
      </c>
      <c r="D24" s="72">
        <v>19949000</v>
      </c>
      <c r="E24" s="72">
        <v>19721000</v>
      </c>
      <c r="F24" s="72">
        <v>18432000</v>
      </c>
      <c r="G24" s="72">
        <v>18669000</v>
      </c>
      <c r="H24" s="72">
        <v>19155000</v>
      </c>
      <c r="I24" s="72">
        <v>19071000</v>
      </c>
      <c r="J24" s="72">
        <v>17567000</v>
      </c>
      <c r="K24" s="72">
        <v>17653000</v>
      </c>
      <c r="L24" s="27"/>
    </row>
    <row r="25" spans="1:12" x14ac:dyDescent="0.15">
      <c r="A25" s="27" t="s">
        <v>158</v>
      </c>
      <c r="B25" s="72">
        <v>354000</v>
      </c>
      <c r="C25" s="72">
        <v>222000</v>
      </c>
      <c r="D25" s="72">
        <v>366000</v>
      </c>
      <c r="E25" s="72">
        <v>408000</v>
      </c>
      <c r="F25" s="72">
        <v>256000</v>
      </c>
      <c r="G25" s="72">
        <v>372000</v>
      </c>
      <c r="H25" s="72">
        <v>200000</v>
      </c>
      <c r="I25" s="72">
        <v>199000</v>
      </c>
      <c r="J25" s="72">
        <v>121000</v>
      </c>
      <c r="K25" s="74" t="s">
        <v>159</v>
      </c>
      <c r="L25" s="27"/>
    </row>
    <row r="26" spans="1:12" x14ac:dyDescent="0.15">
      <c r="A26" s="27" t="s">
        <v>160</v>
      </c>
      <c r="B26" s="74" t="s">
        <v>159</v>
      </c>
      <c r="C26" s="72">
        <v>241000</v>
      </c>
      <c r="D26" s="72">
        <v>222000</v>
      </c>
      <c r="E26" s="72">
        <v>168000</v>
      </c>
      <c r="F26" s="72">
        <v>294000</v>
      </c>
      <c r="G26" s="72">
        <v>216000</v>
      </c>
      <c r="H26" s="72">
        <v>340000</v>
      </c>
      <c r="I26" s="72">
        <v>164000</v>
      </c>
      <c r="J26" s="72">
        <v>250000</v>
      </c>
      <c r="K26" s="72">
        <v>248000</v>
      </c>
      <c r="L26" s="27"/>
    </row>
    <row r="27" spans="1:12" x14ac:dyDescent="0.15">
      <c r="A27" s="27" t="s">
        <v>58</v>
      </c>
      <c r="B27" s="72">
        <v>1359000</v>
      </c>
      <c r="C27" s="72">
        <v>665000</v>
      </c>
      <c r="D27" s="72">
        <v>789000</v>
      </c>
      <c r="E27" s="72">
        <v>915000</v>
      </c>
      <c r="F27" s="72">
        <v>995000</v>
      </c>
      <c r="G27" s="72">
        <v>4593000</v>
      </c>
      <c r="H27" s="72">
        <v>4714000</v>
      </c>
      <c r="I27" s="72">
        <v>5146000</v>
      </c>
      <c r="J27" s="72">
        <v>4328000</v>
      </c>
      <c r="K27" s="72">
        <v>4823000</v>
      </c>
      <c r="L27" s="27"/>
    </row>
    <row r="28" spans="1:12" s="29" customFormat="1" ht="14" x14ac:dyDescent="0.15">
      <c r="A28" s="28" t="s">
        <v>59</v>
      </c>
      <c r="B28" s="73">
        <v>31827000</v>
      </c>
      <c r="C28" s="73">
        <v>31266000</v>
      </c>
      <c r="D28" s="73">
        <v>34408000</v>
      </c>
      <c r="E28" s="73">
        <v>35291000</v>
      </c>
      <c r="F28" s="73">
        <v>34508000</v>
      </c>
      <c r="G28" s="73">
        <v>39471000</v>
      </c>
      <c r="H28" s="73">
        <v>46735000</v>
      </c>
      <c r="I28" s="73">
        <v>44640000</v>
      </c>
      <c r="J28" s="73">
        <v>43708000</v>
      </c>
      <c r="K28" s="73">
        <v>41795000</v>
      </c>
      <c r="L28" s="28"/>
    </row>
    <row r="29" spans="1:12" x14ac:dyDescent="0.15">
      <c r="A29" s="27" t="s">
        <v>60</v>
      </c>
      <c r="B29" s="72">
        <v>6408000</v>
      </c>
      <c r="C29" s="72">
        <v>6998000</v>
      </c>
      <c r="D29" s="72">
        <v>8047000</v>
      </c>
      <c r="E29" s="72">
        <v>7930000</v>
      </c>
      <c r="F29" s="72">
        <v>9613000</v>
      </c>
      <c r="G29" s="72">
        <v>9088000</v>
      </c>
      <c r="H29" s="72">
        <v>13044000</v>
      </c>
      <c r="I29" s="72">
        <v>13851000</v>
      </c>
      <c r="J29" s="72">
        <v>12826000</v>
      </c>
      <c r="K29" s="72">
        <v>10877000</v>
      </c>
      <c r="L29" s="27"/>
    </row>
    <row r="30" spans="1:12" x14ac:dyDescent="0.15">
      <c r="A30" s="27" t="s">
        <v>61</v>
      </c>
      <c r="B30" s="72">
        <v>5124000</v>
      </c>
      <c r="C30" s="72">
        <v>5633000</v>
      </c>
      <c r="D30" s="72">
        <v>6651000</v>
      </c>
      <c r="E30" s="72">
        <v>6590000</v>
      </c>
      <c r="F30" s="72">
        <v>8279000</v>
      </c>
      <c r="G30" s="72">
        <v>7659000</v>
      </c>
      <c r="H30" s="72">
        <v>10884000</v>
      </c>
      <c r="I30" s="72">
        <v>11354000</v>
      </c>
      <c r="J30" s="72">
        <v>10524000</v>
      </c>
      <c r="K30" s="72">
        <v>8704000</v>
      </c>
      <c r="L30" s="27"/>
    </row>
    <row r="31" spans="1:12" x14ac:dyDescent="0.15">
      <c r="A31" s="27" t="s">
        <v>62</v>
      </c>
      <c r="B31" s="72">
        <v>1284000</v>
      </c>
      <c r="C31" s="72">
        <v>1365000</v>
      </c>
      <c r="D31" s="72">
        <v>1396000</v>
      </c>
      <c r="E31" s="72">
        <v>1340000</v>
      </c>
      <c r="F31" s="72">
        <v>1334000</v>
      </c>
      <c r="G31" s="72">
        <v>1429000</v>
      </c>
      <c r="H31" s="72">
        <v>2160000</v>
      </c>
      <c r="I31" s="72">
        <v>2497000</v>
      </c>
      <c r="J31" s="72">
        <v>2302000</v>
      </c>
      <c r="K31" s="72">
        <v>2173000</v>
      </c>
      <c r="L31" s="27"/>
    </row>
    <row r="32" spans="1:12" x14ac:dyDescent="0.15">
      <c r="A32" s="27" t="s">
        <v>63</v>
      </c>
      <c r="B32" s="72">
        <v>552000</v>
      </c>
      <c r="C32" s="72">
        <v>1104000</v>
      </c>
      <c r="D32" s="72">
        <v>1305000</v>
      </c>
      <c r="E32" s="72">
        <v>1431000</v>
      </c>
      <c r="F32" s="72">
        <v>1832000</v>
      </c>
      <c r="G32" s="72">
        <v>2538000</v>
      </c>
      <c r="H32" s="72">
        <v>1112000</v>
      </c>
      <c r="I32" s="72">
        <v>868000</v>
      </c>
      <c r="J32" s="72">
        <v>1084000</v>
      </c>
      <c r="K32" s="72">
        <v>450000</v>
      </c>
      <c r="L32" s="27"/>
    </row>
    <row r="33" spans="1:12" x14ac:dyDescent="0.15">
      <c r="A33" s="27" t="s">
        <v>64</v>
      </c>
      <c r="B33" s="72">
        <v>2388000</v>
      </c>
      <c r="C33" s="72">
        <v>2390000</v>
      </c>
      <c r="D33" s="72">
        <v>2622000</v>
      </c>
      <c r="E33" s="72">
        <v>2735000</v>
      </c>
      <c r="F33" s="72">
        <v>3052000</v>
      </c>
      <c r="G33" s="72">
        <v>3556000</v>
      </c>
      <c r="H33" s="72">
        <v>4574000</v>
      </c>
      <c r="I33" s="72">
        <v>4949000</v>
      </c>
      <c r="J33" s="72">
        <v>5601000</v>
      </c>
      <c r="K33" s="72">
        <v>4154000</v>
      </c>
      <c r="L33" s="27"/>
    </row>
    <row r="34" spans="1:12" s="29" customFormat="1" ht="14" x14ac:dyDescent="0.15">
      <c r="A34" s="28" t="s">
        <v>65</v>
      </c>
      <c r="B34" s="73">
        <v>9348000</v>
      </c>
      <c r="C34" s="73">
        <v>10492000</v>
      </c>
      <c r="D34" s="73">
        <v>11974000</v>
      </c>
      <c r="E34" s="73">
        <v>12096000</v>
      </c>
      <c r="F34" s="73">
        <v>14497000</v>
      </c>
      <c r="G34" s="73">
        <v>15182000</v>
      </c>
      <c r="H34" s="73">
        <v>18730000</v>
      </c>
      <c r="I34" s="73">
        <v>19668000</v>
      </c>
      <c r="J34" s="73">
        <v>19511000</v>
      </c>
      <c r="K34" s="73">
        <v>15568000</v>
      </c>
      <c r="L34" s="28"/>
    </row>
    <row r="35" spans="1:12" x14ac:dyDescent="0.15">
      <c r="A35" s="27" t="s">
        <v>66</v>
      </c>
      <c r="B35" s="72">
        <v>10815000</v>
      </c>
      <c r="C35" s="72">
        <v>11545000</v>
      </c>
      <c r="D35" s="72">
        <v>14394000</v>
      </c>
      <c r="E35" s="72">
        <v>15564000</v>
      </c>
      <c r="F35" s="72">
        <v>14391000</v>
      </c>
      <c r="G35" s="72">
        <v>16768000</v>
      </c>
      <c r="H35" s="72">
        <v>20668000</v>
      </c>
      <c r="I35" s="72">
        <v>23859000</v>
      </c>
      <c r="J35" s="72">
        <v>32876000</v>
      </c>
      <c r="K35" s="72">
        <v>35384000</v>
      </c>
      <c r="L35" s="27"/>
    </row>
    <row r="36" spans="1:12" x14ac:dyDescent="0.15">
      <c r="A36" s="27" t="s">
        <v>67</v>
      </c>
      <c r="B36" s="72">
        <v>827000</v>
      </c>
      <c r="C36" s="72">
        <v>729000</v>
      </c>
      <c r="D36" s="72">
        <v>763000</v>
      </c>
      <c r="E36" s="72">
        <v>803000</v>
      </c>
      <c r="F36" s="72">
        <v>827000</v>
      </c>
      <c r="G36" s="72">
        <v>894000</v>
      </c>
      <c r="H36" s="72">
        <v>1019000</v>
      </c>
      <c r="I36" s="72">
        <v>1127000</v>
      </c>
      <c r="J36" s="72">
        <v>1201000</v>
      </c>
      <c r="K36" s="72">
        <v>1225000</v>
      </c>
      <c r="L36" s="27"/>
    </row>
    <row r="37" spans="1:12" x14ac:dyDescent="0.15">
      <c r="A37" s="27" t="s">
        <v>68</v>
      </c>
      <c r="B37" s="72">
        <v>869000</v>
      </c>
      <c r="C37" s="72">
        <v>846000</v>
      </c>
      <c r="D37" s="72">
        <v>843000</v>
      </c>
      <c r="E37" s="72">
        <v>955000</v>
      </c>
      <c r="F37" s="72">
        <v>1149000</v>
      </c>
      <c r="G37" s="72">
        <v>4655000</v>
      </c>
      <c r="H37" s="72">
        <v>4881000</v>
      </c>
      <c r="I37" s="72">
        <v>4802000</v>
      </c>
      <c r="J37" s="72">
        <v>4374000</v>
      </c>
      <c r="K37" s="72">
        <v>4668000</v>
      </c>
      <c r="L37" s="27"/>
    </row>
    <row r="38" spans="1:12" s="29" customFormat="1" ht="14" x14ac:dyDescent="0.15">
      <c r="A38" s="28" t="s">
        <v>69</v>
      </c>
      <c r="B38" s="73">
        <v>21859000</v>
      </c>
      <c r="C38" s="73">
        <v>23612000</v>
      </c>
      <c r="D38" s="73">
        <v>27974000</v>
      </c>
      <c r="E38" s="73">
        <v>29418000</v>
      </c>
      <c r="F38" s="73">
        <v>30864000</v>
      </c>
      <c r="G38" s="73">
        <v>37499000</v>
      </c>
      <c r="H38" s="73">
        <v>45298000</v>
      </c>
      <c r="I38" s="73">
        <v>49456000</v>
      </c>
      <c r="J38" s="73">
        <v>57962000</v>
      </c>
      <c r="K38" s="73">
        <v>56845000</v>
      </c>
      <c r="L38" s="28"/>
    </row>
    <row r="39" spans="1:12" x14ac:dyDescent="0.15">
      <c r="A39" s="27" t="s">
        <v>70</v>
      </c>
      <c r="B39" s="72">
        <v>480000</v>
      </c>
      <c r="C39" s="72">
        <v>455000</v>
      </c>
      <c r="D39" s="72">
        <v>433000</v>
      </c>
      <c r="E39" s="72">
        <v>415000</v>
      </c>
      <c r="F39" s="72">
        <v>401000</v>
      </c>
      <c r="G39" s="72">
        <v>381000</v>
      </c>
      <c r="H39" s="72">
        <v>366000</v>
      </c>
      <c r="I39" s="72">
        <v>335000</v>
      </c>
      <c r="J39" s="72">
        <v>301000</v>
      </c>
      <c r="K39" s="72">
        <v>287000</v>
      </c>
      <c r="L39" s="27"/>
    </row>
    <row r="40" spans="1:12" x14ac:dyDescent="0.15">
      <c r="A40" s="27" t="s">
        <v>72</v>
      </c>
      <c r="B40" s="72">
        <v>9591000</v>
      </c>
      <c r="C40" s="72">
        <v>7593000</v>
      </c>
      <c r="D40" s="72">
        <v>6241000</v>
      </c>
      <c r="E40" s="72">
        <v>5425000</v>
      </c>
      <c r="F40" s="72">
        <v>3452000</v>
      </c>
      <c r="G40" s="72">
        <v>1727000</v>
      </c>
      <c r="H40" s="72">
        <v>1117000</v>
      </c>
      <c r="I40" s="72">
        <v>-5115000</v>
      </c>
      <c r="J40" s="72">
        <v>-14862000</v>
      </c>
      <c r="K40" s="72">
        <v>-15637000</v>
      </c>
      <c r="L40" s="27"/>
    </row>
    <row r="41" spans="1:12" x14ac:dyDescent="0.15">
      <c r="A41" s="27" t="s">
        <v>73</v>
      </c>
      <c r="B41" s="72">
        <v>-103000</v>
      </c>
      <c r="C41" s="72">
        <v>-394000</v>
      </c>
      <c r="D41" s="72">
        <v>-240000</v>
      </c>
      <c r="E41" s="72">
        <v>11000</v>
      </c>
      <c r="F41" s="72">
        <v>-209000</v>
      </c>
      <c r="G41" s="72">
        <v>-136000</v>
      </c>
      <c r="H41" s="72">
        <v>-136000</v>
      </c>
      <c r="I41" s="72">
        <v>-36000</v>
      </c>
      <c r="J41" s="72">
        <v>307000</v>
      </c>
      <c r="K41" s="72">
        <v>300000</v>
      </c>
      <c r="L41" s="27"/>
    </row>
    <row r="42" spans="1:12" x14ac:dyDescent="0.15">
      <c r="A42" s="27" t="s">
        <v>75</v>
      </c>
      <c r="B42" s="72">
        <v>9968000</v>
      </c>
      <c r="C42" s="72">
        <v>7654000</v>
      </c>
      <c r="D42" s="72">
        <v>6434000</v>
      </c>
      <c r="E42" s="72">
        <v>5873000</v>
      </c>
      <c r="F42" s="72">
        <v>3644000</v>
      </c>
      <c r="G42" s="72">
        <v>1972000</v>
      </c>
      <c r="H42" s="72">
        <v>1437000</v>
      </c>
      <c r="I42" s="72">
        <v>-4816000</v>
      </c>
      <c r="J42" s="72">
        <v>-14254000</v>
      </c>
      <c r="K42" s="72">
        <v>-15050000</v>
      </c>
      <c r="L42" s="27"/>
    </row>
    <row r="43" spans="1:12" s="29" customFormat="1" ht="14" x14ac:dyDescent="0.15">
      <c r="A43" s="28" t="s">
        <v>76</v>
      </c>
      <c r="B43" s="73">
        <v>31827000</v>
      </c>
      <c r="C43" s="73">
        <v>31266000</v>
      </c>
      <c r="D43" s="73">
        <v>34408000</v>
      </c>
      <c r="E43" s="73">
        <v>35291000</v>
      </c>
      <c r="F43" s="73">
        <v>34508000</v>
      </c>
      <c r="G43" s="73">
        <v>39471000</v>
      </c>
      <c r="H43" s="73">
        <v>46735000</v>
      </c>
      <c r="I43" s="73">
        <v>44640000</v>
      </c>
      <c r="J43" s="73">
        <v>43708000</v>
      </c>
      <c r="K43" s="73">
        <v>41795000</v>
      </c>
      <c r="L43" s="28"/>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83762-2B74-7D4C-B710-DD37BE6F7264}">
  <dimension ref="A4:L63"/>
  <sheetViews>
    <sheetView topLeftCell="A29" workbookViewId="0">
      <selection activeCell="N73" sqref="N73"/>
    </sheetView>
  </sheetViews>
  <sheetFormatPr baseColWidth="10" defaultColWidth="8.83203125" defaultRowHeight="13" x14ac:dyDescent="0.15"/>
  <cols>
    <col min="1" max="1" width="50" style="20" customWidth="1"/>
    <col min="2" max="11" width="11.6640625" style="20" bestFit="1" customWidth="1"/>
    <col min="12" max="191" width="12" style="20" customWidth="1"/>
    <col min="192" max="16384" width="8.83203125" style="20"/>
  </cols>
  <sheetData>
    <row r="4" spans="1:12" x14ac:dyDescent="0.15">
      <c r="A4" s="21" t="s">
        <v>0</v>
      </c>
    </row>
    <row r="5" spans="1:12" ht="20" x14ac:dyDescent="0.2">
      <c r="A5" s="22" t="s">
        <v>147</v>
      </c>
    </row>
    <row r="7" spans="1:12" ht="14" x14ac:dyDescent="0.15">
      <c r="A7" s="23" t="s">
        <v>2</v>
      </c>
    </row>
    <row r="10" spans="1:12" ht="14" x14ac:dyDescent="0.15">
      <c r="A10" s="24" t="s">
        <v>47</v>
      </c>
    </row>
    <row r="11" spans="1:12" ht="14" x14ac:dyDescent="0.15">
      <c r="A11" s="25" t="s">
        <v>4</v>
      </c>
      <c r="B11" s="26" t="s">
        <v>148</v>
      </c>
      <c r="C11" s="26" t="s">
        <v>149</v>
      </c>
      <c r="D11" s="26" t="s">
        <v>150</v>
      </c>
      <c r="E11" s="26" t="s">
        <v>151</v>
      </c>
      <c r="F11" s="26" t="s">
        <v>152</v>
      </c>
      <c r="G11" s="26" t="s">
        <v>139</v>
      </c>
      <c r="H11" s="26" t="s">
        <v>153</v>
      </c>
      <c r="I11" s="26" t="s">
        <v>154</v>
      </c>
      <c r="J11" s="26" t="s">
        <v>155</v>
      </c>
      <c r="K11" s="26" t="s">
        <v>156</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ht="14" x14ac:dyDescent="0.15">
      <c r="A16" s="27" t="s">
        <v>48</v>
      </c>
      <c r="B16" s="32">
        <f>'LOW Balance Sheet'!B16/'LOW Income Statement'!B$17</f>
        <v>8.2884228874304106E-3</v>
      </c>
      <c r="C16" s="32">
        <f>'LOW Balance Sheet'!C16/'LOW Income Statement'!C$17</f>
        <v>6.8558079696651661E-3</v>
      </c>
      <c r="D16" s="32">
        <f>'LOW Balance Sheet'!D16/'LOW Income Statement'!D$17</f>
        <v>8.5823707645692662E-3</v>
      </c>
      <c r="E16" s="32">
        <f>'LOW Balance Sheet'!E16/'LOW Income Statement'!E$17</f>
        <v>8.5690552179425519E-3</v>
      </c>
      <c r="F16" s="32">
        <f>'LOW Balance Sheet'!F16/'LOW Income Statement'!F$17</f>
        <v>7.1659958770982626E-3</v>
      </c>
      <c r="G16" s="32">
        <f>'LOW Balance Sheet'!G16/'LOW Income Statement'!G$17</f>
        <v>9.9240450185729343E-3</v>
      </c>
      <c r="H16" s="32">
        <f>'LOW Balance Sheet'!H16/'LOW Income Statement'!H$17</f>
        <v>5.2345502639597308E-2</v>
      </c>
      <c r="I16" s="32">
        <f>'LOW Balance Sheet'!I16/'LOW Income Statement'!I$17</f>
        <v>1.1771428571428572E-2</v>
      </c>
      <c r="J16" s="32">
        <f>'LOW Balance Sheet'!J16/'LOW Income Statement'!J$17</f>
        <v>1.3888459596740127E-2</v>
      </c>
      <c r="K16" s="32">
        <f>'LOW Balance Sheet'!K16/'LOW Income Statement'!K$17</f>
        <v>1.0662560635354319E-2</v>
      </c>
      <c r="L16" s="27"/>
    </row>
    <row r="17" spans="1:12" ht="14" x14ac:dyDescent="0.15">
      <c r="A17" s="27" t="s">
        <v>157</v>
      </c>
      <c r="B17" s="32">
        <f>'LOW Balance Sheet'!B17/'LOW Income Statement'!B$17</f>
        <v>2.2232894011347667E-3</v>
      </c>
      <c r="C17" s="32">
        <f>'LOW Balance Sheet'!C17/'LOW Income Statement'!C$17</f>
        <v>5.1968717202153228E-3</v>
      </c>
      <c r="D17" s="32">
        <f>'LOW Balance Sheet'!D17/'LOW Income Statement'!D$17</f>
        <v>1.5380592768045281E-3</v>
      </c>
      <c r="E17" s="32">
        <f>'LOW Balance Sheet'!E17/'LOW Income Statement'!E$17</f>
        <v>1.4864687622961571E-3</v>
      </c>
      <c r="F17" s="32">
        <f>'LOW Balance Sheet'!F17/'LOW Income Statement'!F$17</f>
        <v>3.0571176148873214E-3</v>
      </c>
      <c r="G17" s="32">
        <f>'LOW Balance Sheet'!G17/'LOW Income Statement'!G$17</f>
        <v>2.2176636913012141E-3</v>
      </c>
      <c r="H17" s="32">
        <f>'LOW Balance Sheet'!H17/'LOW Income Statement'!H$17</f>
        <v>5.6475105193254235E-3</v>
      </c>
      <c r="I17" s="32">
        <f>'LOW Balance Sheet'!I17/'LOW Income Statement'!I$17</f>
        <v>2.8155844155844157E-3</v>
      </c>
      <c r="J17" s="32">
        <f>'LOW Balance Sheet'!J17/'LOW Income Statement'!J$17</f>
        <v>3.9563564429882852E-3</v>
      </c>
      <c r="K17" s="32">
        <f>'LOW Balance Sheet'!K17/'LOW Income Statement'!K$17</f>
        <v>3.5541868784514396E-3</v>
      </c>
      <c r="L17" s="27"/>
    </row>
    <row r="18" spans="1:12" ht="14" x14ac:dyDescent="0.15">
      <c r="A18" s="27" t="s">
        <v>49</v>
      </c>
      <c r="B18" s="32">
        <f>'LOW Balance Sheet'!B18/'LOW Income Statement'!B$17</f>
        <v>1.0511712288565178E-2</v>
      </c>
      <c r="C18" s="32">
        <f>'LOW Balance Sheet'!C18/'LOW Income Statement'!C$17</f>
        <v>1.205267968988049E-2</v>
      </c>
      <c r="D18" s="32">
        <f>'LOW Balance Sheet'!D18/'LOW Income Statement'!D$17</f>
        <v>1.0120430041373795E-2</v>
      </c>
      <c r="E18" s="32">
        <f>'LOW Balance Sheet'!E18/'LOW Income Statement'!E$17</f>
        <v>1.005552398023871E-2</v>
      </c>
      <c r="F18" s="32">
        <f>'LOW Balance Sheet'!F18/'LOW Income Statement'!F$17</f>
        <v>1.0223113491985583E-2</v>
      </c>
      <c r="G18" s="32">
        <f>'LOW Balance Sheet'!G18/'LOW Income Statement'!G$17</f>
        <v>1.2141708709874148E-2</v>
      </c>
      <c r="H18" s="32">
        <f>'LOW Balance Sheet'!H18/'LOW Income Statement'!H$17</f>
        <v>5.7993013158922732E-2</v>
      </c>
      <c r="I18" s="32">
        <f>'LOW Balance Sheet'!I18/'LOW Income Statement'!I$17</f>
        <v>1.4587012987012987E-2</v>
      </c>
      <c r="J18" s="32">
        <f>'LOW Balance Sheet'!J18/'LOW Income Statement'!J$17</f>
        <v>1.7844816039728411E-2</v>
      </c>
      <c r="K18" s="32">
        <f>'LOW Balance Sheet'!K18/'LOW Income Statement'!K$17</f>
        <v>1.4216747513805758E-2</v>
      </c>
      <c r="L18" s="27"/>
    </row>
    <row r="19" spans="1:12" ht="14" x14ac:dyDescent="0.15">
      <c r="A19" s="27" t="s">
        <v>51</v>
      </c>
      <c r="B19" s="32">
        <f>'LOW Balance Sheet'!B19/'LOW Income Statement'!B$17</f>
        <v>0.15849385482809528</v>
      </c>
      <c r="C19" s="32">
        <f>'LOW Balance Sheet'!C19/'LOW Income Statement'!C$17</f>
        <v>0.16010427599282256</v>
      </c>
      <c r="D19" s="32">
        <f>'LOW Balance Sheet'!D19/'LOW Income Statement'!D$17</f>
        <v>0.16085023916821756</v>
      </c>
      <c r="E19" s="32">
        <f>'LOW Balance Sheet'!E19/'LOW Income Statement'!E$17</f>
        <v>0.16603273145921685</v>
      </c>
      <c r="F19" s="32">
        <f>'LOW Balance Sheet'!F19/'LOW Income Statement'!F$17</f>
        <v>0.17614887321375983</v>
      </c>
      <c r="G19" s="32">
        <f>'LOW Balance Sheet'!G19/'LOW Income Statement'!G$17</f>
        <v>0.1826661861728669</v>
      </c>
      <c r="H19" s="32">
        <f>'LOW Balance Sheet'!H19/'LOW Income Statement'!H$17</f>
        <v>0.18073149770639643</v>
      </c>
      <c r="I19" s="32">
        <f>'LOW Balance Sheet'!I19/'LOW Income Statement'!I$17</f>
        <v>0.18290909090909091</v>
      </c>
      <c r="J19" s="32">
        <f>'LOW Balance Sheet'!J19/'LOW Income Statement'!J$17</f>
        <v>0.19093541042046591</v>
      </c>
      <c r="K19" s="32">
        <f>'LOW Balance Sheet'!K19/'LOW Income Statement'!K$17</f>
        <v>0.19558447271843199</v>
      </c>
      <c r="L19" s="27"/>
    </row>
    <row r="20" spans="1:12" ht="14" x14ac:dyDescent="0.15">
      <c r="A20" s="27" t="s">
        <v>52</v>
      </c>
      <c r="B20" s="32">
        <f>'LOW Balance Sheet'!B20/'LOW Income Statement'!B$17</f>
        <v>6.1896376927591907E-3</v>
      </c>
      <c r="C20" s="32">
        <f>'LOW Balance Sheet'!C20/'LOW Income Statement'!C$17</f>
        <v>6.6188170768866168E-3</v>
      </c>
      <c r="D20" s="32">
        <f>'LOW Balance Sheet'!D20/'LOW Income Statement'!D$17</f>
        <v>1.3596444006952028E-2</v>
      </c>
      <c r="E20" s="32">
        <f>'LOW Balance Sheet'!E20/'LOW Income Statement'!E$17</f>
        <v>1.0040950757078943E-2</v>
      </c>
      <c r="F20" s="32">
        <f>'LOW Balance Sheet'!F20/'LOW Income Statement'!F$17</f>
        <v>1.315401982919407E-2</v>
      </c>
      <c r="G20" s="32">
        <f>'LOW Balance Sheet'!G20/'LOW Income Statement'!G$17</f>
        <v>1.7505682763208959E-2</v>
      </c>
      <c r="H20" s="32">
        <f>'LOW Balance Sheet'!H20/'LOW Income Statement'!H$17</f>
        <v>1.0457939439936606E-2</v>
      </c>
      <c r="I20" s="32">
        <f>'LOW Balance Sheet'!I20/'LOW Income Statement'!I$17</f>
        <v>1.091948051948052E-2</v>
      </c>
      <c r="J20" s="32">
        <f>'LOW Balance Sheet'!J20/'LOW Income Statement'!J$17</f>
        <v>1.2136947629792188E-2</v>
      </c>
      <c r="K20" s="32">
        <f>'LOW Balance Sheet'!K20/'LOW Income Statement'!K$17</f>
        <v>1.0986721002118619E-2</v>
      </c>
      <c r="L20" s="27"/>
    </row>
    <row r="21" spans="1:12" s="29" customFormat="1" ht="14" x14ac:dyDescent="0.15">
      <c r="A21" s="28" t="s">
        <v>53</v>
      </c>
      <c r="B21" s="33">
        <f>'LOW Balance Sheet'!B21/'LOW Income Statement'!B$17</f>
        <v>0.1792860573075076</v>
      </c>
      <c r="C21" s="33">
        <f>'LOW Balance Sheet'!C21/'LOW Income Statement'!C$17</f>
        <v>0.17877577275958967</v>
      </c>
      <c r="D21" s="33">
        <f>'LOW Balance Sheet'!D21/'LOW Income Statement'!D$17</f>
        <v>0.18456711321654337</v>
      </c>
      <c r="E21" s="33">
        <f>'LOW Balance Sheet'!E21/'LOW Income Statement'!E$17</f>
        <v>0.18612920619653447</v>
      </c>
      <c r="F21" s="33">
        <f>'LOW Balance Sheet'!F21/'LOW Income Statement'!F$17</f>
        <v>0.19952600653493949</v>
      </c>
      <c r="G21" s="33">
        <f>'LOW Balance Sheet'!G21/'LOW Income Statement'!G$17</f>
        <v>0.21231357764594999</v>
      </c>
      <c r="H21" s="33">
        <f>'LOW Balance Sheet'!H21/'LOW Income Statement'!H$17</f>
        <v>0.24918245030525576</v>
      </c>
      <c r="I21" s="33">
        <f>'LOW Balance Sheet'!I21/'LOW Income Statement'!I$17</f>
        <v>0.20841558441558442</v>
      </c>
      <c r="J21" s="33">
        <f>'LOW Balance Sheet'!J21/'LOW Income Statement'!J$17</f>
        <v>0.22091717408998651</v>
      </c>
      <c r="K21" s="33">
        <f>'LOW Balance Sheet'!K21/'LOW Income Statement'!K$17</f>
        <v>0.22078794123435636</v>
      </c>
      <c r="L21" s="28"/>
    </row>
    <row r="22" spans="1:12" ht="14" x14ac:dyDescent="0.15">
      <c r="A22" s="27" t="s">
        <v>54</v>
      </c>
      <c r="B22" s="32">
        <f>'LOW Balance Sheet'!B22/'LOW Income Statement'!B$17</f>
        <v>0.63040036995535631</v>
      </c>
      <c r="C22" s="32">
        <f>'LOW Balance Sheet'!C22/'LOW Income Statement'!C$17</f>
        <v>0.60793242373971634</v>
      </c>
      <c r="D22" s="32">
        <f>'LOW Balance Sheet'!D22/'LOW Income Statement'!D$17</f>
        <v>0.5678207238106957</v>
      </c>
      <c r="E22" s="32">
        <f>'LOW Balance Sheet'!E22/'LOW Income Statement'!E$17</f>
        <v>0.53833486352176507</v>
      </c>
      <c r="F22" s="32">
        <f>'LOW Balance Sheet'!F22/'LOW Income Statement'!F$17</f>
        <v>0.50292389459955966</v>
      </c>
      <c r="G22" s="32">
        <f>'LOW Balance Sheet'!G22/'LOW Income Statement'!G$17</f>
        <v>0.49821200864888837</v>
      </c>
      <c r="H22" s="32">
        <f>'LOW Balance Sheet'!H22/'LOW Income Statement'!H$17</f>
        <v>0.4096342511468018</v>
      </c>
      <c r="I22" s="32">
        <f>'LOW Balance Sheet'!I22/'LOW Income Statement'!I$17</f>
        <v>0.38398961038961038</v>
      </c>
      <c r="J22" s="32">
        <f>'LOW Balance Sheet'!J22/'LOW Income Statement'!J$17</f>
        <v>0.35968843693011465</v>
      </c>
      <c r="K22" s="32">
        <f>'LOW Balance Sheet'!K22/'LOW Income Statement'!K$17</f>
        <v>0.41411486854139412</v>
      </c>
      <c r="L22" s="27"/>
    </row>
    <row r="23" spans="1:12" ht="14" x14ac:dyDescent="0.15">
      <c r="A23" s="27" t="s">
        <v>55</v>
      </c>
      <c r="B23" s="32">
        <f>'LOW Balance Sheet'!B23/'LOW Income Statement'!B$17</f>
        <v>0.27406933105668496</v>
      </c>
      <c r="C23" s="32">
        <f>'LOW Balance Sheet'!C23/'LOW Income Statement'!C$17</f>
        <v>0.27653451603074108</v>
      </c>
      <c r="D23" s="32">
        <f>'LOW Balance Sheet'!D23/'LOW Income Statement'!D$17</f>
        <v>0.26099327868096034</v>
      </c>
      <c r="E23" s="32">
        <f>'LOW Balance Sheet'!E23/'LOW Income Statement'!E$17</f>
        <v>0.25093632958801498</v>
      </c>
      <c r="F23" s="32">
        <f>'LOW Balance Sheet'!F23/'LOW Income Statement'!F$17</f>
        <v>0.24444319791330688</v>
      </c>
      <c r="G23" s="32">
        <f>'LOW Balance Sheet'!G23/'LOW Income Statement'!G$17</f>
        <v>0.23945223706824861</v>
      </c>
      <c r="H23" s="32">
        <f>'LOW Balance Sheet'!H23/'LOW Income Statement'!H$17</f>
        <v>0.1958436108351842</v>
      </c>
      <c r="I23" s="32">
        <f>'LOW Balance Sheet'!I23/'LOW Income Statement'!I$17</f>
        <v>0.18584935064935065</v>
      </c>
      <c r="J23" s="32">
        <f>'LOW Balance Sheet'!J23/'LOW Income Statement'!J$17</f>
        <v>0.1786954326749709</v>
      </c>
      <c r="K23" s="32">
        <f>'LOW Balance Sheet'!K23/'LOW Income Statement'!K$17</f>
        <v>0.20974333445245841</v>
      </c>
      <c r="L23" s="27"/>
    </row>
    <row r="24" spans="1:12" ht="14" x14ac:dyDescent="0.15">
      <c r="A24" s="27" t="s">
        <v>56</v>
      </c>
      <c r="B24" s="32">
        <f>'LOW Balance Sheet'!B24/'LOW Income Statement'!B$17</f>
        <v>0.35633103889867135</v>
      </c>
      <c r="C24" s="32">
        <f>'LOW Balance Sheet'!C24/'LOW Income Statement'!C$17</f>
        <v>0.3313979077089752</v>
      </c>
      <c r="D24" s="32">
        <f>'LOW Balance Sheet'!D24/'LOW Income Statement'!D$17</f>
        <v>0.30682744512973531</v>
      </c>
      <c r="E24" s="32">
        <f>'LOW Balance Sheet'!E24/'LOW Income Statement'!E$17</f>
        <v>0.28739853393375014</v>
      </c>
      <c r="F24" s="32">
        <f>'LOW Balance Sheet'!F24/'LOW Income Statement'!F$17</f>
        <v>0.25848069668625279</v>
      </c>
      <c r="G24" s="32">
        <f>'LOW Balance Sheet'!G24/'LOW Income Statement'!G$17</f>
        <v>0.25875977158063979</v>
      </c>
      <c r="H24" s="32">
        <f>'LOW Balance Sheet'!H24/'LOW Income Statement'!H$17</f>
        <v>0.21379064031161757</v>
      </c>
      <c r="I24" s="32">
        <f>'LOW Balance Sheet'!I24/'LOW Income Statement'!I$17</f>
        <v>0.19814025974025973</v>
      </c>
      <c r="J24" s="32">
        <f>'LOW Balance Sheet'!J24/'LOW Income Statement'!J$17</f>
        <v>0.18099300425514378</v>
      </c>
      <c r="K24" s="32">
        <f>'LOW Balance Sheet'!K24/'LOW Income Statement'!K$17</f>
        <v>0.20437153408893571</v>
      </c>
      <c r="L24" s="27"/>
    </row>
    <row r="25" spans="1:12" ht="14" x14ac:dyDescent="0.15">
      <c r="A25" s="27" t="s">
        <v>158</v>
      </c>
      <c r="B25" s="32">
        <f>'LOW Balance Sheet'!B25/'LOW Income Statement'!B$17</f>
        <v>6.2963555840136595E-3</v>
      </c>
      <c r="C25" s="32">
        <f>'LOW Balance Sheet'!C25/'LOW Income Statement'!C$17</f>
        <v>3.7579984426312761E-3</v>
      </c>
      <c r="D25" s="32">
        <f>'LOW Balance Sheet'!D25/'LOW Income Statement'!D$17</f>
        <v>5.6292969531045725E-3</v>
      </c>
      <c r="E25" s="32">
        <f>'LOW Balance Sheet'!E25/'LOW Income Statement'!E$17</f>
        <v>5.9458750491846284E-3</v>
      </c>
      <c r="F25" s="32">
        <f>'LOW Balance Sheet'!F25/'LOW Income Statement'!F$17</f>
        <v>3.5900096761979552E-3</v>
      </c>
      <c r="G25" s="32">
        <f>'LOW Balance Sheet'!G25/'LOW Income Statement'!G$17</f>
        <v>5.1560680822753226E-3</v>
      </c>
      <c r="H25" s="32">
        <f>'LOW Balance Sheet'!H25/'LOW Income Statement'!H$17</f>
        <v>2.2322175965713139E-3</v>
      </c>
      <c r="I25" s="32">
        <f>'LOW Balance Sheet'!I25/'LOW Income Statement'!I$17</f>
        <v>2.0675324675324676E-3</v>
      </c>
      <c r="J25" s="32">
        <f>'LOW Balance Sheet'!J25/'LOW Income Statement'!J$17</f>
        <v>1.2466644000041212E-3</v>
      </c>
      <c r="K25" s="32" t="e">
        <f>'LOW Balance Sheet'!K25/'LOW Income Statement'!K$17</f>
        <v>#VALUE!</v>
      </c>
      <c r="L25" s="27"/>
    </row>
    <row r="26" spans="1:12" ht="14" x14ac:dyDescent="0.15">
      <c r="A26" s="27" t="s">
        <v>160</v>
      </c>
      <c r="B26" s="32" t="e">
        <f>'LOW Balance Sheet'!B26/'LOW Income Statement'!B$17</f>
        <v>#VALUE!</v>
      </c>
      <c r="C26" s="32">
        <f>'LOW Balance Sheet'!C26/'LOW Income Statement'!C$17</f>
        <v>4.0796289399735921E-3</v>
      </c>
      <c r="D26" s="32">
        <f>'LOW Balance Sheet'!D26/'LOW Income Statement'!D$17</f>
        <v>3.4144915945060524E-3</v>
      </c>
      <c r="E26" s="32">
        <f>'LOW Balance Sheet'!E26/'LOW Income Statement'!E$17</f>
        <v>2.4483014908407291E-3</v>
      </c>
      <c r="F26" s="32">
        <f>'LOW Balance Sheet'!F26/'LOW Income Statement'!F$17</f>
        <v>4.1229017375085898E-3</v>
      </c>
      <c r="G26" s="32">
        <f>'LOW Balance Sheet'!G26/'LOW Income Statement'!G$17</f>
        <v>2.9938459832566391E-3</v>
      </c>
      <c r="H26" s="32">
        <f>'LOW Balance Sheet'!H26/'LOW Income Statement'!H$17</f>
        <v>3.7947699141712334E-3</v>
      </c>
      <c r="I26" s="32">
        <f>'LOW Balance Sheet'!I26/'LOW Income Statement'!I$17</f>
        <v>1.7038961038961038E-3</v>
      </c>
      <c r="J26" s="32">
        <f>'LOW Balance Sheet'!J26/'LOW Income Statement'!J$17</f>
        <v>2.5757528925704981E-3</v>
      </c>
      <c r="K26" s="32">
        <f>'LOW Balance Sheet'!K26/'LOW Income Statement'!K$17</f>
        <v>2.8711346770552348E-3</v>
      </c>
      <c r="L26" s="27"/>
    </row>
    <row r="27" spans="1:12" ht="14" x14ac:dyDescent="0.15">
      <c r="A27" s="27" t="s">
        <v>58</v>
      </c>
      <c r="B27" s="32">
        <f>'LOW Balance Sheet'!B27/'LOW Income Statement'!B$17</f>
        <v>2.4171602369137186E-2</v>
      </c>
      <c r="C27" s="32">
        <f>'LOW Balance Sheet'!C27/'LOW Income Statement'!C$17</f>
        <v>1.1257067406981075E-2</v>
      </c>
      <c r="D27" s="32">
        <f>'LOW Balance Sheet'!D27/'LOW Income Statement'!D$17</f>
        <v>1.2135287693987726E-2</v>
      </c>
      <c r="E27" s="32">
        <f>'LOW Balance Sheet'!E27/'LOW Income Statement'!E$17</f>
        <v>1.3334499191186115E-2</v>
      </c>
      <c r="F27" s="32">
        <f>'LOW Balance Sheet'!F27/'LOW Income Statement'!F$17</f>
        <v>1.3953357921160021E-2</v>
      </c>
      <c r="G27" s="32">
        <f>'LOW Balance Sheet'!G27/'LOW Income Statement'!G$17</f>
        <v>6.3660808338415475E-2</v>
      </c>
      <c r="H27" s="32">
        <f>'LOW Balance Sheet'!H27/'LOW Income Statement'!H$17</f>
        <v>5.2613368751185864E-2</v>
      </c>
      <c r="I27" s="32">
        <f>'LOW Balance Sheet'!I27/'LOW Income Statement'!I$17</f>
        <v>5.3464935064935062E-2</v>
      </c>
      <c r="J27" s="32">
        <f>'LOW Balance Sheet'!J27/'LOW Income Statement'!J$17</f>
        <v>4.4591434076180471E-2</v>
      </c>
      <c r="K27" s="32">
        <f>'LOW Balance Sheet'!K27/'LOW Income Statement'!K$17</f>
        <v>5.5836623175150792E-2</v>
      </c>
      <c r="L27" s="27"/>
    </row>
    <row r="28" spans="1:12" s="29" customFormat="1" ht="14" x14ac:dyDescent="0.15">
      <c r="A28" s="28" t="s">
        <v>59</v>
      </c>
      <c r="B28" s="33">
        <f>'LOW Balance Sheet'!B28/'LOW Income Statement'!B$17</f>
        <v>0.56608505415932986</v>
      </c>
      <c r="C28" s="33">
        <f>'LOW Balance Sheet'!C28/'LOW Income Statement'!C$17</f>
        <v>0.52926837525815085</v>
      </c>
      <c r="D28" s="33">
        <f>'LOW Balance Sheet'!D28/'LOW Income Statement'!D$17</f>
        <v>0.52921543596290199</v>
      </c>
      <c r="E28" s="33">
        <f>'LOW Balance Sheet'!E28/'LOW Income Statement'!E$17</f>
        <v>0.51430361853131057</v>
      </c>
      <c r="F28" s="33">
        <f>'LOW Balance Sheet'!F28/'LOW Income Statement'!F$17</f>
        <v>0.48392208557124627</v>
      </c>
      <c r="G28" s="33">
        <f>'LOW Balance Sheet'!G28/'LOW Income Statement'!G$17</f>
        <v>0.54708377224593885</v>
      </c>
      <c r="H28" s="33">
        <f>'LOW Balance Sheet'!H28/'LOW Income Statement'!H$17</f>
        <v>0.52161344687880173</v>
      </c>
      <c r="I28" s="33">
        <f>'LOW Balance Sheet'!I28/'LOW Income Statement'!I$17</f>
        <v>0.46379220779220781</v>
      </c>
      <c r="J28" s="33">
        <f>'LOW Balance Sheet'!J28/'LOW Income Statement'!J$17</f>
        <v>0.45032402971388535</v>
      </c>
      <c r="K28" s="33">
        <f>'LOW Balance Sheet'!K28/'LOW Income Statement'!K$17</f>
        <v>0.48386723317549812</v>
      </c>
      <c r="L28" s="28"/>
    </row>
    <row r="29" spans="1:12" ht="14" x14ac:dyDescent="0.15">
      <c r="A29" s="27" t="s">
        <v>60</v>
      </c>
      <c r="B29" s="32">
        <f>'LOW Balance Sheet'!B29/'LOW Income Statement'!B$17</f>
        <v>0.11397470785977269</v>
      </c>
      <c r="C29" s="32">
        <f>'LOW Balance Sheet'!C29/'LOW Income Statement'!C$17</f>
        <v>0.11846159054744897</v>
      </c>
      <c r="D29" s="32">
        <f>'LOW Balance Sheet'!D29/'LOW Income Statement'!D$17</f>
        <v>0.12376763000446037</v>
      </c>
      <c r="E29" s="32">
        <f>'LOW Balance Sheet'!E29/'LOW Income Statement'!E$17</f>
        <v>0.11556565965694633</v>
      </c>
      <c r="F29" s="32">
        <f>'LOW Balance Sheet'!F29/'LOW Income Statement'!F$17</f>
        <v>0.13480766803629277</v>
      </c>
      <c r="G29" s="32">
        <f>'LOW Balance Sheet'!G29/'LOW Income Statement'!G$17</f>
        <v>0.12596329766590897</v>
      </c>
      <c r="H29" s="32">
        <f>'LOW Balance Sheet'!H29/'LOW Income Statement'!H$17</f>
        <v>0.14558523164838108</v>
      </c>
      <c r="I29" s="32">
        <f>'LOW Balance Sheet'!I29/'LOW Income Statement'!I$17</f>
        <v>0.14390649350649351</v>
      </c>
      <c r="J29" s="32">
        <f>'LOW Balance Sheet'!J29/'LOW Income Statement'!J$17</f>
        <v>0.13214642640043683</v>
      </c>
      <c r="K29" s="32">
        <f>'LOW Balance Sheet'!K29/'LOW Income Statement'!K$17</f>
        <v>0.12592472533197493</v>
      </c>
      <c r="L29" s="27"/>
    </row>
    <row r="30" spans="1:12" ht="14" x14ac:dyDescent="0.15">
      <c r="A30" s="27" t="s">
        <v>61</v>
      </c>
      <c r="B30" s="32">
        <f>'LOW Balance Sheet'!B30/'LOW Income Statement'!B$17</f>
        <v>9.113707913131637E-2</v>
      </c>
      <c r="C30" s="32">
        <f>'LOW Balance Sheet'!C30/'LOW Income Statement'!C$17</f>
        <v>9.5354978501540441E-2</v>
      </c>
      <c r="D30" s="32">
        <f>'LOW Balance Sheet'!D30/'LOW Income Statement'!D$17</f>
        <v>0.10229632250026915</v>
      </c>
      <c r="E30" s="32">
        <f>'LOW Balance Sheet'!E30/'LOW Income Statement'!E$17</f>
        <v>9.603754062285956E-2</v>
      </c>
      <c r="F30" s="32">
        <f>'LOW Balance Sheet'!F30/'LOW Income Statement'!F$17</f>
        <v>0.11610035198922997</v>
      </c>
      <c r="G30" s="32">
        <f>'LOW Balance Sheet'!G30/'LOW Income Statement'!G$17</f>
        <v>0.106156788822975</v>
      </c>
      <c r="H30" s="32">
        <f>'LOW Balance Sheet'!H30/'LOW Income Statement'!H$17</f>
        <v>0.12147728160541089</v>
      </c>
      <c r="I30" s="32">
        <f>'LOW Balance Sheet'!I30/'LOW Income Statement'!I$17</f>
        <v>0.11796363636363637</v>
      </c>
      <c r="J30" s="32">
        <f>'LOW Balance Sheet'!J30/'LOW Income Statement'!J$17</f>
        <v>0.1084288937656477</v>
      </c>
      <c r="K30" s="32">
        <f>'LOW Balance Sheet'!K30/'LOW Income Statement'!K$17</f>
        <v>0.10076756543987404</v>
      </c>
      <c r="L30" s="27"/>
    </row>
    <row r="31" spans="1:12" ht="14" x14ac:dyDescent="0.15">
      <c r="A31" s="27" t="s">
        <v>62</v>
      </c>
      <c r="B31" s="32">
        <f>'LOW Balance Sheet'!B31/'LOW Income Statement'!B$17</f>
        <v>2.2837628728456325E-2</v>
      </c>
      <c r="C31" s="32">
        <f>'LOW Balance Sheet'!C31/'LOW Income Statement'!C$17</f>
        <v>2.3106612045908522E-2</v>
      </c>
      <c r="D31" s="32">
        <f>'LOW Balance Sheet'!D31/'LOW Income Statement'!D$17</f>
        <v>2.1471307504191212E-2</v>
      </c>
      <c r="E31" s="32">
        <f>'LOW Balance Sheet'!E31/'LOW Income Statement'!E$17</f>
        <v>1.9528119034086768E-2</v>
      </c>
      <c r="F31" s="32">
        <f>'LOW Balance Sheet'!F31/'LOW Income Statement'!F$17</f>
        <v>1.8707316047062782E-2</v>
      </c>
      <c r="G31" s="32">
        <f>'LOW Balance Sheet'!G31/'LOW Income Statement'!G$17</f>
        <v>1.980650884293397E-2</v>
      </c>
      <c r="H31" s="32">
        <f>'LOW Balance Sheet'!H31/'LOW Income Statement'!H$17</f>
        <v>2.4107950042970189E-2</v>
      </c>
      <c r="I31" s="32">
        <f>'LOW Balance Sheet'!I31/'LOW Income Statement'!I$17</f>
        <v>2.5942857142857143E-2</v>
      </c>
      <c r="J31" s="32">
        <f>'LOW Balance Sheet'!J31/'LOW Income Statement'!J$17</f>
        <v>2.3717532634789148E-2</v>
      </c>
      <c r="K31" s="32">
        <f>'LOW Balance Sheet'!K31/'LOW Income Statement'!K$17</f>
        <v>2.5157159892100905E-2</v>
      </c>
      <c r="L31" s="27"/>
    </row>
    <row r="32" spans="1:12" ht="14" x14ac:dyDescent="0.15">
      <c r="A32" s="27" t="s">
        <v>63</v>
      </c>
      <c r="B32" s="32">
        <f>'LOW Balance Sheet'!B32/'LOW Income Statement'!B$17</f>
        <v>9.8180459954111312E-3</v>
      </c>
      <c r="C32" s="32">
        <f>'LOW Balance Sheet'!C32/'LOW Income Statement'!C$17</f>
        <v>1.868842468767986E-2</v>
      </c>
      <c r="D32" s="32">
        <f>'LOW Balance Sheet'!D32/'LOW Income Statement'!D$17</f>
        <v>2.0071673562299091E-2</v>
      </c>
      <c r="E32" s="32">
        <f>'LOW Balance Sheet'!E32/'LOW Income Statement'!E$17</f>
        <v>2.0854282341625497E-2</v>
      </c>
      <c r="F32" s="32">
        <f>'LOW Balance Sheet'!F32/'LOW Income Statement'!F$17</f>
        <v>2.5691006745291619E-2</v>
      </c>
      <c r="G32" s="32">
        <f>'LOW Balance Sheet'!G32/'LOW Income Statement'!G$17</f>
        <v>3.5177690303265507E-2</v>
      </c>
      <c r="H32" s="32">
        <f>'LOW Balance Sheet'!H32/'LOW Income Statement'!H$17</f>
        <v>1.2411129836936504E-2</v>
      </c>
      <c r="I32" s="32">
        <f>'LOW Balance Sheet'!I32/'LOW Income Statement'!I$17</f>
        <v>9.0181818181818175E-3</v>
      </c>
      <c r="J32" s="32">
        <f>'LOW Balance Sheet'!J32/'LOW Income Statement'!J$17</f>
        <v>1.1168464542185681E-2</v>
      </c>
      <c r="K32" s="32">
        <f>'LOW Balance Sheet'!K32/'LOW Income Statement'!K$17</f>
        <v>5.2097201801405467E-3</v>
      </c>
      <c r="L32" s="27"/>
    </row>
    <row r="33" spans="1:12" ht="14" x14ac:dyDescent="0.15">
      <c r="A33" s="27" t="s">
        <v>64</v>
      </c>
      <c r="B33" s="32">
        <f>'LOW Balance Sheet'!B33/'LOW Income Statement'!B$17</f>
        <v>4.2473720719278588E-2</v>
      </c>
      <c r="C33" s="32">
        <f>'LOW Balance Sheet'!C33/'LOW Income Statement'!C$17</f>
        <v>4.0457730981480852E-2</v>
      </c>
      <c r="D33" s="32">
        <f>'LOW Balance Sheet'!D33/'LOW Income Statement'!D$17</f>
        <v>4.0327914237814726E-2</v>
      </c>
      <c r="E33" s="32">
        <f>'LOW Balance Sheet'!E33/'LOW Income Statement'!E$17</f>
        <v>3.9857765341960678E-2</v>
      </c>
      <c r="F33" s="32">
        <f>'LOW Balance Sheet'!F33/'LOW Income Statement'!F$17</f>
        <v>4.2799646608422497E-2</v>
      </c>
      <c r="G33" s="32">
        <f>'LOW Balance Sheet'!G33/'LOW Income Statement'!G$17</f>
        <v>4.9287575539169487E-2</v>
      </c>
      <c r="H33" s="32">
        <f>'LOW Balance Sheet'!H33/'LOW Income Statement'!H$17</f>
        <v>5.1050816433585944E-2</v>
      </c>
      <c r="I33" s="32">
        <f>'LOW Balance Sheet'!I33/'LOW Income Statement'!I$17</f>
        <v>5.1418181818181821E-2</v>
      </c>
      <c r="J33" s="32">
        <f>'LOW Balance Sheet'!J33/'LOW Income Statement'!J$17</f>
        <v>5.7707167805149444E-2</v>
      </c>
      <c r="K33" s="32">
        <f>'LOW Balance Sheet'!K33/'LOW Income Statement'!K$17</f>
        <v>4.8091505840675182E-2</v>
      </c>
      <c r="L33" s="27"/>
    </row>
    <row r="34" spans="1:12" s="29" customFormat="1" ht="14" x14ac:dyDescent="0.15">
      <c r="A34" s="28" t="s">
        <v>65</v>
      </c>
      <c r="B34" s="33">
        <f>'LOW Balance Sheet'!B34/'LOW Income Statement'!B$17</f>
        <v>0.16626647457446242</v>
      </c>
      <c r="C34" s="33">
        <f>'LOW Balance Sheet'!C34/'LOW Income Statement'!C$17</f>
        <v>0.17760774621660969</v>
      </c>
      <c r="D34" s="33">
        <f>'LOW Balance Sheet'!D34/'LOW Income Statement'!D$17</f>
        <v>0.18416721780457418</v>
      </c>
      <c r="E34" s="33">
        <f>'LOW Balance Sheet'!E34/'LOW Income Statement'!E$17</f>
        <v>0.1762777073405325</v>
      </c>
      <c r="F34" s="33">
        <f>'LOW Balance Sheet'!F34/'LOW Income Statement'!F$17</f>
        <v>0.20329832139000686</v>
      </c>
      <c r="G34" s="33">
        <f>'LOW Balance Sheet'!G34/'LOW Income Statement'!G$17</f>
        <v>0.21042856350834396</v>
      </c>
      <c r="H34" s="33">
        <f>'LOW Balance Sheet'!H34/'LOW Income Statement'!H$17</f>
        <v>0.20904717791890354</v>
      </c>
      <c r="I34" s="33">
        <f>'LOW Balance Sheet'!I34/'LOW Income Statement'!I$17</f>
        <v>0.20434285714285713</v>
      </c>
      <c r="J34" s="33">
        <f>'LOW Balance Sheet'!J34/'LOW Income Statement'!J$17</f>
        <v>0.20102205874777199</v>
      </c>
      <c r="K34" s="33">
        <f>'LOW Balance Sheet'!K34/'LOW Income Statement'!K$17</f>
        <v>0.18023316392095118</v>
      </c>
      <c r="L34" s="28"/>
    </row>
    <row r="35" spans="1:12" ht="14" x14ac:dyDescent="0.15">
      <c r="A35" s="27" t="s">
        <v>66</v>
      </c>
      <c r="B35" s="32">
        <f>'LOW Balance Sheet'!B35/'LOW Income Statement'!B$17</f>
        <v>0.19235899898618003</v>
      </c>
      <c r="C35" s="32">
        <f>'LOW Balance Sheet'!C35/'LOW Income Statement'!C$17</f>
        <v>0.1954328469377391</v>
      </c>
      <c r="D35" s="32">
        <f>'LOW Balance Sheet'!D35/'LOW Income Statement'!D$17</f>
        <v>0.22138825230324377</v>
      </c>
      <c r="E35" s="32">
        <f>'LOW Balance Sheet'!E35/'LOW Income Statement'!E$17</f>
        <v>0.22681764525860185</v>
      </c>
      <c r="F35" s="32">
        <f>'LOW Balance Sheet'!F35/'LOW Income Statement'!F$17</f>
        <v>0.20181183300845615</v>
      </c>
      <c r="G35" s="32">
        <f>'LOW Balance Sheet'!G35/'LOW Income Statement'!G$17</f>
        <v>0.23241115484836725</v>
      </c>
      <c r="H35" s="32">
        <f>'LOW Balance Sheet'!H35/'LOW Income Statement'!H$17</f>
        <v>0.23067736642967956</v>
      </c>
      <c r="I35" s="32">
        <f>'LOW Balance Sheet'!I35/'LOW Income Statement'!I$17</f>
        <v>0.24788571428571429</v>
      </c>
      <c r="J35" s="32">
        <f>'LOW Balance Sheet'!J35/'LOW Income Statement'!J$17</f>
        <v>0.33872180838459082</v>
      </c>
      <c r="K35" s="32">
        <f>'LOW Balance Sheet'!K35/'LOW Income Statement'!K$17</f>
        <v>0.40964608634242911</v>
      </c>
      <c r="L35" s="27"/>
    </row>
    <row r="36" spans="1:12" ht="14" x14ac:dyDescent="0.15">
      <c r="A36" s="27" t="s">
        <v>67</v>
      </c>
      <c r="B36" s="32">
        <f>'LOW Balance Sheet'!B36/'LOW Income Statement'!B$17</f>
        <v>1.4709282677907618E-2</v>
      </c>
      <c r="C36" s="32">
        <f>'LOW Balance Sheet'!C36/'LOW Income Statement'!C$17</f>
        <v>1.2340454345397298E-2</v>
      </c>
      <c r="D36" s="32">
        <f>'LOW Balance Sheet'!D36/'LOW Income Statement'!D$17</f>
        <v>1.1735392282018548E-2</v>
      </c>
      <c r="E36" s="32">
        <f>'LOW Balance Sheet'!E36/'LOW Income Statement'!E$17</f>
        <v>1.1702298197292295E-2</v>
      </c>
      <c r="F36" s="32">
        <f>'LOW Balance Sheet'!F36/'LOW Income Statement'!F$17</f>
        <v>1.1597414071155113E-2</v>
      </c>
      <c r="G36" s="32">
        <f>'LOW Balance Sheet'!G36/'LOW Income Statement'!G$17</f>
        <v>1.2391195875145535E-2</v>
      </c>
      <c r="H36" s="32">
        <f>'LOW Balance Sheet'!H36/'LOW Income Statement'!H$17</f>
        <v>1.1373148654530844E-2</v>
      </c>
      <c r="I36" s="32">
        <f>'LOW Balance Sheet'!I36/'LOW Income Statement'!I$17</f>
        <v>1.1709090909090909E-2</v>
      </c>
      <c r="J36" s="32">
        <f>'LOW Balance Sheet'!J36/'LOW Income Statement'!J$17</f>
        <v>1.2373916895908674E-2</v>
      </c>
      <c r="K36" s="32">
        <f>'LOW Balance Sheet'!K36/'LOW Income Statement'!K$17</f>
        <v>1.4182016045938155E-2</v>
      </c>
      <c r="L36" s="27"/>
    </row>
    <row r="37" spans="1:12" ht="14" x14ac:dyDescent="0.15">
      <c r="A37" s="27" t="s">
        <v>68</v>
      </c>
      <c r="B37" s="32">
        <f>'LOW Balance Sheet'!B37/'LOW Income Statement'!B$17</f>
        <v>1.5456307916688899E-2</v>
      </c>
      <c r="C37" s="32">
        <f>'LOW Balance Sheet'!C37/'LOW Income Statement'!C$17</f>
        <v>1.4321021092189457E-2</v>
      </c>
      <c r="D37" s="32">
        <f>'LOW Balance Sheet'!D37/'LOW Income Statement'!D$17</f>
        <v>1.2965839703462172E-2</v>
      </c>
      <c r="E37" s="32">
        <f>'LOW Balance Sheet'!E37/'LOW Income Statement'!E$17</f>
        <v>1.3917428117576765E-2</v>
      </c>
      <c r="F37" s="32">
        <f>'LOW Balance Sheet'!F37/'LOW Income Statement'!F$17</f>
        <v>1.6112973116997855E-2</v>
      </c>
      <c r="G37" s="32">
        <f>'LOW Balance Sheet'!G37/'LOW Income Statement'!G$17</f>
        <v>6.4520153018794699E-2</v>
      </c>
      <c r="H37" s="32">
        <f>'LOW Balance Sheet'!H37/'LOW Income Statement'!H$17</f>
        <v>5.4477270444322913E-2</v>
      </c>
      <c r="I37" s="32">
        <f>'LOW Balance Sheet'!I37/'LOW Income Statement'!I$17</f>
        <v>4.989090909090909E-2</v>
      </c>
      <c r="J37" s="32">
        <f>'LOW Balance Sheet'!J37/'LOW Income Statement'!J$17</f>
        <v>4.5065372608413437E-2</v>
      </c>
      <c r="K37" s="32">
        <f>'LOW Balance Sheet'!K37/'LOW Income Statement'!K$17</f>
        <v>5.4042164001991272E-2</v>
      </c>
      <c r="L37" s="27"/>
    </row>
    <row r="38" spans="1:12" s="29" customFormat="1" ht="14" x14ac:dyDescent="0.15">
      <c r="A38" s="28" t="s">
        <v>69</v>
      </c>
      <c r="B38" s="33">
        <f>'LOW Balance Sheet'!B38/'LOW Income Statement'!B$17</f>
        <v>0.38879106415523895</v>
      </c>
      <c r="C38" s="33">
        <f>'LOW Balance Sheet'!C38/'LOW Income Statement'!C$17</f>
        <v>0.39970206859193552</v>
      </c>
      <c r="D38" s="33">
        <f>'LOW Balance Sheet'!D38/'LOW Income Statement'!D$17</f>
        <v>0.43025670209329869</v>
      </c>
      <c r="E38" s="33">
        <f>'LOW Balance Sheet'!E38/'LOW Income Statement'!E$17</f>
        <v>0.4287150789140034</v>
      </c>
      <c r="F38" s="33">
        <f>'LOW Balance Sheet'!F38/'LOW Income Statement'!F$17</f>
        <v>0.43282054158661598</v>
      </c>
      <c r="G38" s="33">
        <f>'LOW Balance Sheet'!G38/'LOW Income Statement'!G$17</f>
        <v>0.51975106725065146</v>
      </c>
      <c r="H38" s="33">
        <f>'LOW Balance Sheet'!H38/'LOW Income Statement'!H$17</f>
        <v>0.50557496344743691</v>
      </c>
      <c r="I38" s="33">
        <f>'LOW Balance Sheet'!I38/'LOW Income Statement'!I$17</f>
        <v>0.51382857142857141</v>
      </c>
      <c r="J38" s="33">
        <f>'LOW Balance Sheet'!J38/'LOW Income Statement'!J$17</f>
        <v>0.59718315663668486</v>
      </c>
      <c r="K38" s="33">
        <f>'LOW Balance Sheet'!K38/'LOW Income Statement'!K$17</f>
        <v>0.65810343031130969</v>
      </c>
      <c r="L38" s="28"/>
    </row>
    <row r="39" spans="1:12" ht="14" x14ac:dyDescent="0.15">
      <c r="A39" s="27" t="s">
        <v>70</v>
      </c>
      <c r="B39" s="32">
        <f>'LOW Balance Sheet'!B39/'LOW Income Statement'!B$17</f>
        <v>8.5374313003575043E-3</v>
      </c>
      <c r="C39" s="32">
        <f>'LOW Balance Sheet'!C39/'LOW Income Statement'!C$17</f>
        <v>7.7022040153028404E-3</v>
      </c>
      <c r="D39" s="32">
        <f>'LOW Balance Sheet'!D39/'LOW Income Statement'!D$17</f>
        <v>6.6597966685636063E-3</v>
      </c>
      <c r="E39" s="32">
        <f>'LOW Balance Sheet'!E39/'LOW Income Statement'!E$17</f>
        <v>6.0478876113029918E-3</v>
      </c>
      <c r="F39" s="32">
        <f>'LOW Balance Sheet'!F39/'LOW Income Statement'!F$17</f>
        <v>5.6234135943569533E-3</v>
      </c>
      <c r="G39" s="32">
        <f>'LOW Balance Sheet'!G39/'LOW Income Statement'!G$17</f>
        <v>5.2808116649110158E-3</v>
      </c>
      <c r="H39" s="32">
        <f>'LOW Balance Sheet'!H39/'LOW Income Statement'!H$17</f>
        <v>4.084958201725504E-3</v>
      </c>
      <c r="I39" s="32">
        <f>'LOW Balance Sheet'!I39/'LOW Income Statement'!I$17</f>
        <v>3.4805194805194806E-3</v>
      </c>
      <c r="J39" s="32">
        <f>'LOW Balance Sheet'!J39/'LOW Income Statement'!J$17</f>
        <v>3.1012064826548801E-3</v>
      </c>
      <c r="K39" s="32">
        <f>'LOW Balance Sheet'!K39/'LOW Income Statement'!K$17</f>
        <v>3.3226437593340818E-3</v>
      </c>
      <c r="L39" s="27"/>
    </row>
    <row r="40" spans="1:12" ht="14" x14ac:dyDescent="0.15">
      <c r="A40" s="27" t="s">
        <v>72</v>
      </c>
      <c r="B40" s="32">
        <f>'LOW Balance Sheet'!B40/'LOW Income Statement'!B$17</f>
        <v>0.17058854917026839</v>
      </c>
      <c r="C40" s="32">
        <f>'LOW Balance Sheet'!C40/'LOW Income Statement'!C$17</f>
        <v>0.1285337034905373</v>
      </c>
      <c r="D40" s="32">
        <f>'LOW Balance Sheet'!D40/'LOW Income Statement'!D$17</f>
        <v>9.5990279465370601E-2</v>
      </c>
      <c r="E40" s="32">
        <f>'LOW Balance Sheet'!E40/'LOW Income Statement'!E$17</f>
        <v>7.9059735641731882E-2</v>
      </c>
      <c r="F40" s="32">
        <f>'LOW Balance Sheet'!F40/'LOW Income Statement'!F$17</f>
        <v>4.8409036727481806E-2</v>
      </c>
      <c r="G40" s="32">
        <f>'LOW Balance Sheet'!G40/'LOW Income Statement'!G$17</f>
        <v>2.3936907467982479E-2</v>
      </c>
      <c r="H40" s="32">
        <f>'LOW Balance Sheet'!H40/'LOW Income Statement'!H$17</f>
        <v>1.2466935276850787E-2</v>
      </c>
      <c r="I40" s="32">
        <f>'LOW Balance Sheet'!I40/'LOW Income Statement'!I$17</f>
        <v>-5.3142857142857144E-2</v>
      </c>
      <c r="J40" s="32">
        <f>'LOW Balance Sheet'!J40/'LOW Income Statement'!J$17</f>
        <v>-0.15312335795753099</v>
      </c>
      <c r="K40" s="32">
        <f>'LOW Balance Sheet'!K40/'LOW Income Statement'!K$17</f>
        <v>-0.18103198768190606</v>
      </c>
      <c r="L40" s="27"/>
    </row>
    <row r="41" spans="1:12" ht="14" x14ac:dyDescent="0.15">
      <c r="A41" s="27" t="s">
        <v>73</v>
      </c>
      <c r="B41" s="32">
        <f>'LOW Balance Sheet'!B41/'LOW Income Statement'!B$17</f>
        <v>-1.8319904665350479E-3</v>
      </c>
      <c r="C41" s="32">
        <f>'LOW Balance Sheet'!C41/'LOW Income Statement'!C$17</f>
        <v>-6.6696008396248769E-3</v>
      </c>
      <c r="D41" s="32">
        <f>'LOW Balance Sheet'!D41/'LOW Income Statement'!D$17</f>
        <v>-3.6913422643308673E-3</v>
      </c>
      <c r="E41" s="32">
        <f>'LOW Balance Sheet'!E41/'LOW Income Statement'!E$17</f>
        <v>1.603054547574287E-4</v>
      </c>
      <c r="F41" s="32">
        <f>'LOW Balance Sheet'!F41/'LOW Income Statement'!F$17</f>
        <v>-2.9309063372084869E-3</v>
      </c>
      <c r="G41" s="32">
        <f>'LOW Balance Sheet'!G41/'LOW Income Statement'!G$17</f>
        <v>-1.885014137606032E-3</v>
      </c>
      <c r="H41" s="32">
        <f>'LOW Balance Sheet'!H41/'LOW Income Statement'!H$17</f>
        <v>-1.5179079656684933E-3</v>
      </c>
      <c r="I41" s="32">
        <f>'LOW Balance Sheet'!I41/'LOW Income Statement'!I$17</f>
        <v>-3.7402597402597402E-4</v>
      </c>
      <c r="J41" s="32">
        <f>'LOW Balance Sheet'!J41/'LOW Income Statement'!J$17</f>
        <v>3.1630245520765719E-3</v>
      </c>
      <c r="K41" s="32">
        <f>'LOW Balance Sheet'!K41/'LOW Income Statement'!K$17</f>
        <v>3.4731467867603646E-3</v>
      </c>
      <c r="L41" s="27"/>
    </row>
    <row r="42" spans="1:12" ht="14" x14ac:dyDescent="0.15">
      <c r="A42" s="27" t="s">
        <v>75</v>
      </c>
      <c r="B42" s="32">
        <f>'LOW Balance Sheet'!B42/'LOW Income Statement'!B$17</f>
        <v>0.17729399000409085</v>
      </c>
      <c r="C42" s="32">
        <f>'LOW Balance Sheet'!C42/'LOW Income Statement'!C$17</f>
        <v>0.12956630666621524</v>
      </c>
      <c r="D42" s="32">
        <f>'LOW Balance Sheet'!D42/'LOW Income Statement'!D$17</f>
        <v>9.8958733869603341E-2</v>
      </c>
      <c r="E42" s="32">
        <f>'LOW Balance Sheet'!E42/'LOW Income Statement'!E$17</f>
        <v>8.5588539617307155E-2</v>
      </c>
      <c r="F42" s="32">
        <f>'LOW Balance Sheet'!F42/'LOW Income Statement'!F$17</f>
        <v>5.1101543984630272E-2</v>
      </c>
      <c r="G42" s="32">
        <f>'LOW Balance Sheet'!G42/'LOW Income Statement'!G$17</f>
        <v>2.7332704995287466E-2</v>
      </c>
      <c r="H42" s="32">
        <f>'LOW Balance Sheet'!H42/'LOW Income Statement'!H$17</f>
        <v>1.6038483431364891E-2</v>
      </c>
      <c r="I42" s="32">
        <f>'LOW Balance Sheet'!I42/'LOW Income Statement'!I$17</f>
        <v>-5.0036363636363636E-2</v>
      </c>
      <c r="J42" s="32">
        <f>'LOW Balance Sheet'!J42/'LOW Income Statement'!J$17</f>
        <v>-0.14685912692279954</v>
      </c>
      <c r="K42" s="32">
        <f>'LOW Balance Sheet'!K42/'LOW Income Statement'!K$17</f>
        <v>-0.17423619713581162</v>
      </c>
      <c r="L42" s="27"/>
    </row>
    <row r="43" spans="1:12" s="29" customFormat="1" ht="14" x14ac:dyDescent="0.15">
      <c r="A43" s="28" t="s">
        <v>76</v>
      </c>
      <c r="B43" s="33">
        <f>'LOW Balance Sheet'!B43/'LOW Income Statement'!B$17</f>
        <v>0.56608505415932986</v>
      </c>
      <c r="C43" s="33">
        <f>'LOW Balance Sheet'!C43/'LOW Income Statement'!C$17</f>
        <v>0.52926837525815085</v>
      </c>
      <c r="D43" s="33">
        <f>'LOW Balance Sheet'!D43/'LOW Income Statement'!D$17</f>
        <v>0.52921543596290199</v>
      </c>
      <c r="E43" s="33">
        <f>'LOW Balance Sheet'!E43/'LOW Income Statement'!E$17</f>
        <v>0.51430361853131057</v>
      </c>
      <c r="F43" s="33">
        <f>'LOW Balance Sheet'!F43/'LOW Income Statement'!F$17</f>
        <v>0.48392208557124627</v>
      </c>
      <c r="G43" s="33">
        <f>'LOW Balance Sheet'!G43/'LOW Income Statement'!G$17</f>
        <v>0.54708377224593885</v>
      </c>
      <c r="H43" s="33">
        <f>'LOW Balance Sheet'!H43/'LOW Income Statement'!H$17</f>
        <v>0.52161344687880173</v>
      </c>
      <c r="I43" s="33">
        <f>'LOW Balance Sheet'!I43/'LOW Income Statement'!I$17</f>
        <v>0.46379220779220781</v>
      </c>
      <c r="J43" s="33">
        <f>'LOW Balance Sheet'!J43/'LOW Income Statement'!J$17</f>
        <v>0.45032402971388535</v>
      </c>
      <c r="K43" s="33">
        <f>'LOW Balance Sheet'!K43/'LOW Income Statement'!K$17</f>
        <v>0.48386723317549812</v>
      </c>
      <c r="L43" s="28"/>
    </row>
    <row r="47" spans="1:12" x14ac:dyDescent="0.15">
      <c r="A47" s="35" t="s">
        <v>79</v>
      </c>
    </row>
    <row r="48" spans="1:12" x14ac:dyDescent="0.15">
      <c r="A48" s="20" t="s">
        <v>77</v>
      </c>
      <c r="B48" s="34">
        <f>B21/B34</f>
        <v>1.0783055198973042</v>
      </c>
      <c r="C48" s="34">
        <f t="shared" ref="C48:K48" si="0">C21/C34</f>
        <v>1.0065764391917651</v>
      </c>
      <c r="D48" s="34">
        <f t="shared" si="0"/>
        <v>1.0021713713044931</v>
      </c>
      <c r="E48" s="34">
        <f t="shared" si="0"/>
        <v>1.0558862433862433</v>
      </c>
      <c r="F48" s="34">
        <f t="shared" si="0"/>
        <v>0.98144443678002347</v>
      </c>
      <c r="G48" s="34">
        <f t="shared" si="0"/>
        <v>1.0089579765511789</v>
      </c>
      <c r="H48" s="34">
        <f t="shared" si="0"/>
        <v>1.191991457554725</v>
      </c>
      <c r="I48" s="34">
        <f t="shared" si="0"/>
        <v>1.0199308521456174</v>
      </c>
      <c r="J48" s="34">
        <f t="shared" si="0"/>
        <v>1.098969811900979</v>
      </c>
      <c r="K48" s="34">
        <f t="shared" si="0"/>
        <v>1.2250128468653647</v>
      </c>
    </row>
    <row r="49" spans="1:11" x14ac:dyDescent="0.15">
      <c r="A49" s="20" t="s">
        <v>78</v>
      </c>
      <c r="B49" s="34">
        <f>(B21-B19)/B34</f>
        <v>0.12505348737697894</v>
      </c>
      <c r="C49" s="34">
        <f t="shared" ref="C49:K49" si="1">(C21-C19)/C34</f>
        <v>0.10512771635531833</v>
      </c>
      <c r="D49" s="34">
        <f t="shared" si="1"/>
        <v>0.12877902121262733</v>
      </c>
      <c r="E49" s="34">
        <f t="shared" si="1"/>
        <v>0.11400462962962948</v>
      </c>
      <c r="F49" s="34">
        <f t="shared" si="1"/>
        <v>0.11498930813271714</v>
      </c>
      <c r="G49" s="34">
        <f t="shared" si="1"/>
        <v>0.14089052825714657</v>
      </c>
      <c r="H49" s="34">
        <f t="shared" si="1"/>
        <v>0.32744260544580883</v>
      </c>
      <c r="I49" s="34">
        <f t="shared" si="1"/>
        <v>0.12482204596298556</v>
      </c>
      <c r="J49" s="34">
        <f t="shared" si="1"/>
        <v>0.14914663523140792</v>
      </c>
      <c r="K49" s="34">
        <f t="shared" si="1"/>
        <v>0.13983812949640281</v>
      </c>
    </row>
    <row r="50" spans="1:11" x14ac:dyDescent="0.15">
      <c r="A50" s="20" t="s">
        <v>80</v>
      </c>
      <c r="B50" s="34">
        <f>B18/B34</f>
        <v>6.322207958921694E-2</v>
      </c>
      <c r="C50" s="34">
        <f t="shared" ref="C50:K50" si="2">C18/C34</f>
        <v>6.786122760198246E-2</v>
      </c>
      <c r="D50" s="34">
        <f t="shared" si="2"/>
        <v>5.4952396859863042E-2</v>
      </c>
      <c r="E50" s="34">
        <f t="shared" si="2"/>
        <v>5.7043650793650799E-2</v>
      </c>
      <c r="F50" s="34">
        <f t="shared" si="2"/>
        <v>5.0286266124025661E-2</v>
      </c>
      <c r="G50" s="34">
        <f t="shared" si="2"/>
        <v>5.7699907785535506E-2</v>
      </c>
      <c r="H50" s="34">
        <f t="shared" si="2"/>
        <v>0.27741591030432461</v>
      </c>
      <c r="I50" s="34">
        <f t="shared" si="2"/>
        <v>7.1384990848078103E-2</v>
      </c>
      <c r="J50" s="34">
        <f t="shared" si="2"/>
        <v>8.8770437189277823E-2</v>
      </c>
      <c r="K50" s="34">
        <f t="shared" si="2"/>
        <v>7.8879753340184988E-2</v>
      </c>
    </row>
    <row r="52" spans="1:11" x14ac:dyDescent="0.15">
      <c r="A52" s="35" t="s">
        <v>81</v>
      </c>
    </row>
    <row r="53" spans="1:11" x14ac:dyDescent="0.15">
      <c r="A53" s="20" t="s">
        <v>82</v>
      </c>
      <c r="B53" s="34">
        <f>B38/B28</f>
        <v>0.6868067992584912</v>
      </c>
      <c r="C53" s="34">
        <f t="shared" ref="C53:K53" si="3">C38/C28</f>
        <v>0.75519733896245111</v>
      </c>
      <c r="D53" s="34">
        <f t="shared" si="3"/>
        <v>0.81300860265054642</v>
      </c>
      <c r="E53" s="34">
        <f t="shared" si="3"/>
        <v>0.83358363322093454</v>
      </c>
      <c r="F53" s="34">
        <f t="shared" si="3"/>
        <v>0.89440129824968118</v>
      </c>
      <c r="G53" s="34">
        <f t="shared" si="3"/>
        <v>0.95003926933698168</v>
      </c>
      <c r="H53" s="34">
        <f t="shared" si="3"/>
        <v>0.96925216647052548</v>
      </c>
      <c r="I53" s="34">
        <f t="shared" si="3"/>
        <v>1.1078853046594981</v>
      </c>
      <c r="J53" s="34">
        <f t="shared" si="3"/>
        <v>1.3261187883225038</v>
      </c>
      <c r="K53" s="34">
        <f t="shared" si="3"/>
        <v>1.360090919966503</v>
      </c>
    </row>
    <row r="54" spans="1:11" x14ac:dyDescent="0.15">
      <c r="A54" s="20" t="s">
        <v>83</v>
      </c>
      <c r="B54" s="34">
        <f>B38/B42</f>
        <v>2.1929173354735152</v>
      </c>
      <c r="C54" s="34">
        <f t="shared" ref="C54:K54" si="4">C38/C42</f>
        <v>3.0849229161222893</v>
      </c>
      <c r="D54" s="34">
        <f t="shared" si="4"/>
        <v>4.3478396021137709</v>
      </c>
      <c r="E54" s="34">
        <f t="shared" si="4"/>
        <v>5.0090243487144566</v>
      </c>
      <c r="F54" s="34">
        <f t="shared" si="4"/>
        <v>8.4698133918770573</v>
      </c>
      <c r="G54" s="34">
        <f t="shared" si="4"/>
        <v>19.015720081135903</v>
      </c>
      <c r="H54" s="34">
        <f t="shared" si="4"/>
        <v>31.522616562282533</v>
      </c>
      <c r="I54" s="34">
        <f t="shared" si="4"/>
        <v>-10.269102990033222</v>
      </c>
      <c r="J54" s="34">
        <f t="shared" si="4"/>
        <v>-4.0663673354847756</v>
      </c>
      <c r="K54" s="34">
        <f t="shared" si="4"/>
        <v>-3.7770764119601328</v>
      </c>
    </row>
    <row r="56" spans="1:11" x14ac:dyDescent="0.15">
      <c r="A56" s="35" t="s">
        <v>85</v>
      </c>
    </row>
    <row r="57" spans="1:11" x14ac:dyDescent="0.15">
      <c r="A57" s="20" t="s">
        <v>86</v>
      </c>
      <c r="B57" s="34">
        <f>'LOW CS Income Statement'!B18/'LOW CS Balance Sheet '!B19</f>
        <v>4.1145774884973623</v>
      </c>
      <c r="C57" s="34">
        <f>'LOW CS Income Statement'!C18/'LOW CS Balance Sheet '!C19</f>
        <v>4.0710509621484459</v>
      </c>
      <c r="D57" s="34">
        <f>'LOW CS Income Statement'!D18/'LOW CS Balance Sheet '!D19</f>
        <v>4.0689424364123159</v>
      </c>
      <c r="E57" s="34">
        <f>'LOW CS Income Statement'!E18/'LOW CS Balance Sheet '!E19</f>
        <v>3.9682261037479147</v>
      </c>
      <c r="F57" s="34">
        <f>'LOW CS Income Statement'!F18/'LOW CS Balance Sheet '!F19</f>
        <v>3.8532760130562851</v>
      </c>
      <c r="G57" s="34">
        <f>'LOW CS Income Statement'!G18/'LOW CS Balance Sheet '!G19</f>
        <v>3.7335913195234842</v>
      </c>
      <c r="H57" s="34">
        <f>'LOW CS Income Statement'!H18/'LOW CS Balance Sheet '!H19</f>
        <v>3.7068486383004999</v>
      </c>
      <c r="I57" s="34">
        <f>'LOW CS Income Statement'!I18/'LOW CS Balance Sheet '!I19</f>
        <v>3.6463504686168706</v>
      </c>
      <c r="J57" s="34">
        <f>'LOW CS Income Statement'!J18/'LOW CS Balance Sheet '!J19</f>
        <v>3.4967623570041009</v>
      </c>
      <c r="K57" s="34">
        <f>'LOW CS Income Statement'!K18/'LOW CS Balance Sheet '!K19</f>
        <v>3.4055285900319641</v>
      </c>
    </row>
    <row r="58" spans="1:11" x14ac:dyDescent="0.15">
      <c r="A58" s="20" t="s">
        <v>87</v>
      </c>
      <c r="B58" s="34">
        <f>365/B57</f>
        <v>88.708986772126011</v>
      </c>
      <c r="C58" s="34">
        <f t="shared" ref="C58:K58" si="5">365/C57</f>
        <v>89.657438188240178</v>
      </c>
      <c r="D58" s="34">
        <f t="shared" si="5"/>
        <v>89.70389866754401</v>
      </c>
      <c r="E58" s="34">
        <f t="shared" si="5"/>
        <v>91.98064587480647</v>
      </c>
      <c r="F58" s="34">
        <f t="shared" si="5"/>
        <v>94.724592467097793</v>
      </c>
      <c r="G58" s="34">
        <f t="shared" si="5"/>
        <v>97.761101514073772</v>
      </c>
      <c r="H58" s="34">
        <f t="shared" si="5"/>
        <v>98.46638900458143</v>
      </c>
      <c r="I58" s="34">
        <f t="shared" si="5"/>
        <v>100.10008723556717</v>
      </c>
      <c r="J58" s="34">
        <f t="shared" si="5"/>
        <v>104.38227215209407</v>
      </c>
      <c r="K58" s="34">
        <f t="shared" si="5"/>
        <v>107.17866268054856</v>
      </c>
    </row>
    <row r="59" spans="1:11" x14ac:dyDescent="0.15">
      <c r="A59" s="20" t="s">
        <v>88</v>
      </c>
      <c r="B59" s="34">
        <f>'LOW CS Income Statement'!B17/'LOW CS Balance Sheet '!B28</f>
        <v>1.7665189933075689</v>
      </c>
      <c r="C59" s="34">
        <f>'LOW CS Income Statement'!C17/'LOW CS Balance Sheet '!C28</f>
        <v>1.8894006268790378</v>
      </c>
      <c r="D59" s="34">
        <f>'LOW CS Income Statement'!D17/'LOW CS Balance Sheet '!D28</f>
        <v>1.8895896303185307</v>
      </c>
      <c r="E59" s="34">
        <f>'LOW CS Income Statement'!E17/'LOW CS Balance Sheet '!E28</f>
        <v>1.944376753279873</v>
      </c>
      <c r="F59" s="34">
        <f>'LOW CS Income Statement'!F17/'LOW CS Balance Sheet '!F28</f>
        <v>2.066448359800626</v>
      </c>
      <c r="G59" s="34">
        <f>'LOW CS Income Statement'!G17/'LOW CS Balance Sheet '!G28</f>
        <v>1.8278736287400879</v>
      </c>
      <c r="H59" s="34">
        <f>'LOW CS Income Statement'!H17/'LOW CS Balance Sheet '!H28</f>
        <v>1.9171284904247352</v>
      </c>
      <c r="I59" s="34">
        <f>'LOW CS Income Statement'!I17/'LOW CS Balance Sheet '!I28</f>
        <v>2.1561379928315412</v>
      </c>
      <c r="J59" s="34">
        <f>'LOW CS Income Statement'!J17/'LOW CS Balance Sheet '!J28</f>
        <v>2.2206232268692232</v>
      </c>
      <c r="K59" s="34">
        <f>'LOW CS Income Statement'!K17/'LOW CS Balance Sheet '!K28</f>
        <v>2.0666826175379831</v>
      </c>
    </row>
    <row r="62" spans="1:11" x14ac:dyDescent="0.15">
      <c r="A62" s="35" t="s">
        <v>89</v>
      </c>
    </row>
    <row r="63" spans="1:11" x14ac:dyDescent="0.15">
      <c r="A63" s="20" t="s">
        <v>90</v>
      </c>
      <c r="B63" s="187">
        <f>'LOW CS Income Statement'!B28/'LOW CS Income Statement'!B17</f>
        <v>4.798747843409281E-2</v>
      </c>
      <c r="C63" s="187">
        <f>'LOW CS Income Statement'!C28/'LOW CS Income Statement'!C17</f>
        <v>4.30984866438704E-2</v>
      </c>
      <c r="D63" s="187">
        <f>'LOW CS Income Statement'!D28/'LOW CS Income Statement'!D17</f>
        <v>4.7572173431564051E-2</v>
      </c>
      <c r="E63" s="187">
        <f>'LOW CS Income Statement'!E28/'LOW CS Income Statement'!E17</f>
        <v>5.023390023171425E-2</v>
      </c>
      <c r="F63" s="187">
        <f>'LOW CS Income Statement'!F28/'LOW CS Income Statement'!F17</f>
        <v>3.2450321838758081E-2</v>
      </c>
      <c r="G63" s="187">
        <f>'LOW CS Income Statement'!G28/'LOW CS Income Statement'!G17</f>
        <v>5.9336364140378114E-2</v>
      </c>
      <c r="H63" s="187">
        <f>'LOW CS Income Statement'!H28/'LOW CS Income Statement'!H17</f>
        <v>6.5124948379968073E-2</v>
      </c>
      <c r="I63" s="187">
        <f>'LOW CS Income Statement'!I28/'LOW CS Income Statement'!I17</f>
        <v>8.7709090909090903E-2</v>
      </c>
      <c r="J63" s="187">
        <f>'LOW CS Income Statement'!J28/'LOW CS Income Statement'!J17</f>
        <v>6.6320485477905186E-2</v>
      </c>
      <c r="K63" s="187">
        <f>'LOW CS Income Statement'!K28/'LOW CS Income Statement'!K17</f>
        <v>8.9445106915035252E-2</v>
      </c>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A4B4-89AB-7C4F-8C46-BB0065AAE73C}">
  <sheetPr>
    <tabColor rgb="FFFF0000"/>
  </sheetPr>
  <dimension ref="B2:K24"/>
  <sheetViews>
    <sheetView zoomScale="150" zoomScaleNormal="150" workbookViewId="0">
      <selection activeCell="E18" sqref="E18"/>
    </sheetView>
  </sheetViews>
  <sheetFormatPr baseColWidth="10" defaultRowHeight="13" x14ac:dyDescent="0.15"/>
  <cols>
    <col min="2" max="2" width="23.83203125" bestFit="1" customWidth="1"/>
    <col min="3" max="3" width="20.83203125" bestFit="1" customWidth="1"/>
    <col min="4" max="4" width="12.83203125" bestFit="1" customWidth="1"/>
    <col min="5" max="5" width="18.33203125" bestFit="1" customWidth="1"/>
    <col min="6" max="7" width="15.6640625" bestFit="1" customWidth="1"/>
  </cols>
  <sheetData>
    <row r="2" spans="2:11" x14ac:dyDescent="0.15">
      <c r="C2" s="90" t="s">
        <v>191</v>
      </c>
      <c r="E2" s="90" t="s">
        <v>192</v>
      </c>
      <c r="F2" s="90" t="s">
        <v>194</v>
      </c>
      <c r="G2" s="90" t="s">
        <v>193</v>
      </c>
    </row>
    <row r="3" spans="2:11" x14ac:dyDescent="0.15">
      <c r="B3" s="84" t="s">
        <v>177</v>
      </c>
      <c r="C3" s="85">
        <f>C4*'Stock Prices'!E122</f>
        <v>385878070.07999998</v>
      </c>
      <c r="E3" s="85">
        <f>E4*'Stock Prices'!S122</f>
        <v>727678883.89199996</v>
      </c>
      <c r="F3" s="85">
        <f>F4*'Stock Prices'!L122</f>
        <v>141663201.722</v>
      </c>
      <c r="G3" s="85">
        <f>G4*'Stock Prices'!Z122</f>
        <v>10641731.620187404</v>
      </c>
    </row>
    <row r="4" spans="2:11" x14ac:dyDescent="0.15">
      <c r="B4" s="84" t="s">
        <v>178</v>
      </c>
      <c r="C4" s="86">
        <f>'Income Statement'!K42</f>
        <v>992000</v>
      </c>
      <c r="E4" s="86">
        <f>'Competitors BS &amp; IS'!X38</f>
        <v>8054000</v>
      </c>
      <c r="F4" s="86">
        <f>'Competitors BS &amp; IS'!X90</f>
        <v>574000</v>
      </c>
      <c r="G4" s="86">
        <f>'Competitors BS &amp; IS'!X136</f>
        <v>106737.53200000001</v>
      </c>
    </row>
    <row r="5" spans="2:11" x14ac:dyDescent="0.15">
      <c r="B5" s="84" t="s">
        <v>179</v>
      </c>
      <c r="C5" s="86">
        <f>'DCF Model'!D57</f>
        <v>18405164.646387562</v>
      </c>
      <c r="E5" s="85"/>
      <c r="F5" s="85"/>
      <c r="G5" s="85"/>
    </row>
    <row r="6" spans="2:11" x14ac:dyDescent="0.15">
      <c r="B6" s="84" t="s">
        <v>180</v>
      </c>
      <c r="C6" s="86">
        <f>'DCF Model'!C57</f>
        <v>15143000</v>
      </c>
      <c r="E6" s="85">
        <f>'Competitors BS &amp; IS'!X30</f>
        <v>15511000</v>
      </c>
      <c r="F6" s="85">
        <f>'Competitors BS &amp; IS'!X81</f>
        <v>7726000</v>
      </c>
      <c r="G6" s="85">
        <f>'Competitors BS &amp; IS'!Y128</f>
        <v>272087.5</v>
      </c>
    </row>
    <row r="7" spans="2:11" x14ac:dyDescent="0.15">
      <c r="B7" s="84" t="s">
        <v>181</v>
      </c>
      <c r="C7" s="85">
        <f>'DCF Model'!C52+'DCF Model'!D52</f>
        <v>54560173.744999997</v>
      </c>
      <c r="E7" s="85">
        <f>'Competitors BS &amp; IS'!X23+('Competitors BS &amp; IS'!K23-'Competitors BS &amp; IS'!J23)</f>
        <v>34451000</v>
      </c>
      <c r="F7" s="85">
        <f>'Competitors BS &amp; IS'!X76+('Competitors BS &amp; IS'!K76-'Competitors BS &amp; IS'!J76)</f>
        <v>12330000</v>
      </c>
      <c r="G7" s="85">
        <f>'Competitors BS &amp; IS'!Y123+('Competitors BS &amp; IS'!L124-'Competitors BS &amp; IS'!K124)</f>
        <v>494705.15915893449</v>
      </c>
    </row>
    <row r="8" spans="2:11" x14ac:dyDescent="0.15">
      <c r="B8" s="84" t="s">
        <v>182</v>
      </c>
      <c r="C8" s="85">
        <f>'DCF Model'!C46</f>
        <v>152669000</v>
      </c>
      <c r="E8" s="85">
        <f>'Competitors BS &amp; IS'!X18</f>
        <v>648125000</v>
      </c>
      <c r="F8" s="85">
        <f>'Competitors BS &amp; IS'!X70</f>
        <v>86377000</v>
      </c>
      <c r="G8" s="85">
        <f>'Competitors BS &amp; IS'!Y117</f>
        <v>4568529.7961684838</v>
      </c>
    </row>
    <row r="9" spans="2:11" x14ac:dyDescent="0.15">
      <c r="B9" s="84" t="s">
        <v>183</v>
      </c>
      <c r="C9" s="85">
        <f>'DCF Model'!C81</f>
        <v>1044000</v>
      </c>
      <c r="E9" s="85">
        <f>'Competitors BS &amp; IS'!K45</f>
        <v>83861000</v>
      </c>
      <c r="F9" s="85">
        <f>'Competitors BS &amp; IS'!K95</f>
        <v>-15050000</v>
      </c>
      <c r="G9" s="85">
        <f>'Competitors BS &amp; IS'!L143</f>
        <v>2250046.090517845</v>
      </c>
    </row>
    <row r="11" spans="2:11" ht="16" x14ac:dyDescent="0.2">
      <c r="B11" s="84" t="s">
        <v>184</v>
      </c>
      <c r="C11" s="87">
        <f>+C3/C5</f>
        <v>20.965749423803032</v>
      </c>
      <c r="D11" s="88"/>
      <c r="E11" s="87" t="e">
        <f>+E3/E5</f>
        <v>#DIV/0!</v>
      </c>
      <c r="F11" s="87" t="e">
        <f t="shared" ref="F11:G11" si="0">+F3/F5</f>
        <v>#DIV/0!</v>
      </c>
      <c r="G11" s="87" t="e">
        <f t="shared" si="0"/>
        <v>#DIV/0!</v>
      </c>
      <c r="I11" s="41" t="s">
        <v>202</v>
      </c>
    </row>
    <row r="12" spans="2:11" ht="16" x14ac:dyDescent="0.2">
      <c r="B12" s="84" t="s">
        <v>185</v>
      </c>
      <c r="C12" s="87">
        <f>+C3/C6</f>
        <v>25.482273663078651</v>
      </c>
      <c r="D12" s="88"/>
      <c r="E12" s="87">
        <f t="shared" ref="E12:G12" si="1">+E3/E6</f>
        <v>46.913731151569849</v>
      </c>
      <c r="F12" s="87">
        <f t="shared" si="1"/>
        <v>18.335904960134609</v>
      </c>
      <c r="G12" s="87">
        <f t="shared" si="1"/>
        <v>39.111431507097549</v>
      </c>
      <c r="I12" s="9">
        <f>+AVERAGE(E12:G12)</f>
        <v>34.78702253960067</v>
      </c>
    </row>
    <row r="13" spans="2:11" ht="16" x14ac:dyDescent="0.2">
      <c r="B13" s="84" t="s">
        <v>186</v>
      </c>
      <c r="C13" s="87">
        <f>+C3/C7</f>
        <v>7.072522750449683</v>
      </c>
      <c r="D13" s="88"/>
      <c r="E13" s="87">
        <f t="shared" ref="E13:G13" si="2">+E3/E7</f>
        <v>21.122141124843981</v>
      </c>
      <c r="F13" s="87">
        <f t="shared" si="2"/>
        <v>11.489310764152474</v>
      </c>
      <c r="G13" s="87">
        <f t="shared" si="2"/>
        <v>21.511260643167301</v>
      </c>
      <c r="I13" s="9">
        <f t="shared" ref="I13:I14" si="3">+AVERAGE(E13:G13)</f>
        <v>18.040904177387919</v>
      </c>
    </row>
    <row r="14" spans="2:11" ht="16" x14ac:dyDescent="0.2">
      <c r="B14" s="84" t="s">
        <v>187</v>
      </c>
      <c r="C14" s="87">
        <f>+C3/C8</f>
        <v>2.5275469812470113</v>
      </c>
      <c r="D14" s="88"/>
      <c r="E14" s="87">
        <f t="shared" ref="E14:G14" si="4">+E3/E8</f>
        <v>1.1227446617427193</v>
      </c>
      <c r="F14" s="87">
        <f t="shared" si="4"/>
        <v>1.6400569795431654</v>
      </c>
      <c r="G14" s="87">
        <f t="shared" si="4"/>
        <v>2.3293558529731748</v>
      </c>
      <c r="I14" s="9">
        <f t="shared" si="3"/>
        <v>1.6973858314196864</v>
      </c>
    </row>
    <row r="15" spans="2:11" ht="16" x14ac:dyDescent="0.2">
      <c r="B15" s="84" t="s">
        <v>188</v>
      </c>
      <c r="C15" s="87">
        <f>+C3/C9</f>
        <v>369.6150096551724</v>
      </c>
      <c r="D15" s="88"/>
      <c r="E15" s="87">
        <f t="shared" ref="E15:G15" si="5">+E3/E9</f>
        <v>8.6772025600934874</v>
      </c>
      <c r="F15" s="87">
        <f t="shared" si="5"/>
        <v>-9.4128373237209306</v>
      </c>
      <c r="G15" s="87">
        <f t="shared" si="5"/>
        <v>4.7295616143304082</v>
      </c>
      <c r="I15" s="9">
        <f>AVERAGE(E15,G15)</f>
        <v>6.7033820872119474</v>
      </c>
      <c r="K15" s="19"/>
    </row>
    <row r="17" spans="2:4" x14ac:dyDescent="0.15">
      <c r="B17" s="91" t="s">
        <v>191</v>
      </c>
    </row>
    <row r="18" spans="2:4" x14ac:dyDescent="0.15">
      <c r="C18" s="84" t="s">
        <v>189</v>
      </c>
      <c r="D18" s="84" t="s">
        <v>190</v>
      </c>
    </row>
    <row r="19" spans="2:4" x14ac:dyDescent="0.15">
      <c r="B19" s="84" t="s">
        <v>185</v>
      </c>
      <c r="C19" s="46">
        <f>I12*C6</f>
        <v>526779882.31717294</v>
      </c>
      <c r="D19" s="89">
        <f>C19/'DCF Model'!$B$113</f>
        <v>531.02810717456953</v>
      </c>
    </row>
    <row r="20" spans="2:4" x14ac:dyDescent="0.15">
      <c r="B20" s="84" t="s">
        <v>186</v>
      </c>
      <c r="C20" s="46">
        <f>I13*C7</f>
        <v>984314866.43518114</v>
      </c>
      <c r="D20" s="89">
        <f>C20/'DCF Model'!$B$113</f>
        <v>992.25288955159385</v>
      </c>
    </row>
    <row r="21" spans="2:4" x14ac:dyDescent="0.15">
      <c r="B21" s="84" t="s">
        <v>187</v>
      </c>
      <c r="C21" s="46">
        <f>I14*C8</f>
        <v>259138197.49701211</v>
      </c>
      <c r="D21" s="89">
        <f>C21/'DCF Model'!$B$113</f>
        <v>261.22802167037509</v>
      </c>
    </row>
    <row r="22" spans="2:4" x14ac:dyDescent="0.15">
      <c r="B22" s="84" t="s">
        <v>188</v>
      </c>
      <c r="C22" s="46">
        <f>I15*C9</f>
        <v>6998330.8990492728</v>
      </c>
      <c r="D22" s="89">
        <f>C22/'DCF Model'!$B$113</f>
        <v>7.0547690514609602</v>
      </c>
    </row>
    <row r="23" spans="2:4" ht="14" thickBot="1" x14ac:dyDescent="0.2"/>
    <row r="24" spans="2:4" ht="14" thickBot="1" x14ac:dyDescent="0.2">
      <c r="C24" s="19" t="s">
        <v>202</v>
      </c>
      <c r="D24" s="109">
        <f>AVERAGE(D19:D22)</f>
        <v>447.89094686199979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13B31-90B2-244B-A931-B31891D61598}">
  <dimension ref="A4:L38"/>
  <sheetViews>
    <sheetView workbookViewId="0">
      <selection activeCell="N73" sqref="N73"/>
    </sheetView>
  </sheetViews>
  <sheetFormatPr baseColWidth="10" defaultColWidth="8.83203125" defaultRowHeight="13" x14ac:dyDescent="0.15"/>
  <cols>
    <col min="1" max="1" width="50" style="20" customWidth="1"/>
    <col min="2" max="11" width="14.6640625" style="20" bestFit="1" customWidth="1"/>
    <col min="12" max="191" width="12" style="20" customWidth="1"/>
    <col min="192" max="16384" width="8.83203125" style="20"/>
  </cols>
  <sheetData>
    <row r="4" spans="1:12" x14ac:dyDescent="0.15">
      <c r="A4" s="21" t="s">
        <v>0</v>
      </c>
    </row>
    <row r="5" spans="1:12" ht="20" x14ac:dyDescent="0.2">
      <c r="A5" s="22" t="s">
        <v>134</v>
      </c>
    </row>
    <row r="7" spans="1:12" ht="14" x14ac:dyDescent="0.15">
      <c r="A7" s="23" t="s">
        <v>2</v>
      </c>
    </row>
    <row r="10" spans="1:12" ht="14" x14ac:dyDescent="0.15">
      <c r="A10" s="24" t="s">
        <v>3</v>
      </c>
    </row>
    <row r="11" spans="1:12" ht="14" x14ac:dyDescent="0.15">
      <c r="A11" s="25" t="s">
        <v>4</v>
      </c>
      <c r="B11" s="26" t="s">
        <v>135</v>
      </c>
      <c r="C11" s="26" t="s">
        <v>13</v>
      </c>
      <c r="D11" s="26" t="s">
        <v>136</v>
      </c>
      <c r="E11" s="26" t="s">
        <v>137</v>
      </c>
      <c r="F11" s="26" t="s">
        <v>138</v>
      </c>
      <c r="G11" s="26" t="s">
        <v>139</v>
      </c>
      <c r="H11" s="26" t="s">
        <v>8</v>
      </c>
      <c r="I11" s="26" t="s">
        <v>140</v>
      </c>
      <c r="J11" s="26" t="s">
        <v>141</v>
      </c>
      <c r="K11" s="26" t="s">
        <v>142</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x14ac:dyDescent="0.15">
      <c r="A16" s="27" t="s">
        <v>23</v>
      </c>
      <c r="B16" s="72">
        <v>482229000</v>
      </c>
      <c r="C16" s="72">
        <v>478614000</v>
      </c>
      <c r="D16" s="72">
        <v>481317000</v>
      </c>
      <c r="E16" s="72">
        <v>495761000</v>
      </c>
      <c r="F16" s="72">
        <v>510329000</v>
      </c>
      <c r="G16" s="72">
        <v>519926000</v>
      </c>
      <c r="H16" s="72">
        <v>555233000</v>
      </c>
      <c r="I16" s="72">
        <v>567762000</v>
      </c>
      <c r="J16" s="72">
        <v>605881000</v>
      </c>
      <c r="K16" s="72">
        <v>642637000</v>
      </c>
      <c r="L16" s="27"/>
    </row>
    <row r="17" spans="1:12" x14ac:dyDescent="0.15">
      <c r="A17" s="27" t="s">
        <v>203</v>
      </c>
      <c r="B17" s="72">
        <v>3422000</v>
      </c>
      <c r="C17" s="72">
        <v>3516000</v>
      </c>
      <c r="D17" s="72">
        <v>4556000</v>
      </c>
      <c r="E17" s="72">
        <v>4582000</v>
      </c>
      <c r="F17" s="72">
        <v>4076000</v>
      </c>
      <c r="G17" s="72">
        <v>4038000</v>
      </c>
      <c r="H17" s="72">
        <v>3918000</v>
      </c>
      <c r="I17" s="72">
        <v>4992000</v>
      </c>
      <c r="J17" s="72">
        <v>5408000</v>
      </c>
      <c r="K17" s="72">
        <v>5488000</v>
      </c>
      <c r="L17" s="27"/>
    </row>
    <row r="18" spans="1:12" s="29" customFormat="1" ht="14" x14ac:dyDescent="0.15">
      <c r="A18" s="28" t="s">
        <v>24</v>
      </c>
      <c r="B18" s="73">
        <v>485651000</v>
      </c>
      <c r="C18" s="73">
        <v>482130000</v>
      </c>
      <c r="D18" s="73">
        <v>485873000</v>
      </c>
      <c r="E18" s="73">
        <v>500343000</v>
      </c>
      <c r="F18" s="73">
        <v>514405000</v>
      </c>
      <c r="G18" s="73">
        <v>523964000</v>
      </c>
      <c r="H18" s="73">
        <v>559151000</v>
      </c>
      <c r="I18" s="73">
        <v>572754000</v>
      </c>
      <c r="J18" s="73">
        <v>611289000</v>
      </c>
      <c r="K18" s="73">
        <v>648125000</v>
      </c>
      <c r="L18" s="28"/>
    </row>
    <row r="19" spans="1:12" x14ac:dyDescent="0.15">
      <c r="A19" s="27" t="s">
        <v>204</v>
      </c>
      <c r="B19" s="72">
        <v>365086000</v>
      </c>
      <c r="C19" s="72">
        <v>360984000</v>
      </c>
      <c r="D19" s="72">
        <v>361256000</v>
      </c>
      <c r="E19" s="72">
        <v>373396000</v>
      </c>
      <c r="F19" s="72">
        <v>385301000</v>
      </c>
      <c r="G19" s="72">
        <v>394605000</v>
      </c>
      <c r="H19" s="72">
        <v>420315000</v>
      </c>
      <c r="I19" s="72">
        <v>429000000</v>
      </c>
      <c r="J19" s="72">
        <v>463721000</v>
      </c>
      <c r="K19" s="72">
        <v>490142000</v>
      </c>
      <c r="L19" s="27"/>
    </row>
    <row r="20" spans="1:12" x14ac:dyDescent="0.15">
      <c r="A20" s="27" t="s">
        <v>25</v>
      </c>
      <c r="B20" s="72">
        <v>120565000</v>
      </c>
      <c r="C20" s="72">
        <v>121146000</v>
      </c>
      <c r="D20" s="72">
        <v>124617000</v>
      </c>
      <c r="E20" s="72">
        <v>126947000</v>
      </c>
      <c r="F20" s="72">
        <v>129104000</v>
      </c>
      <c r="G20" s="72">
        <v>129359000</v>
      </c>
      <c r="H20" s="72">
        <v>138836000</v>
      </c>
      <c r="I20" s="72">
        <v>143754000</v>
      </c>
      <c r="J20" s="72">
        <v>147568000</v>
      </c>
      <c r="K20" s="72">
        <v>157983000</v>
      </c>
      <c r="L20" s="27"/>
    </row>
    <row r="21" spans="1:12" x14ac:dyDescent="0.15">
      <c r="A21" s="27" t="s">
        <v>26</v>
      </c>
      <c r="B21" s="72">
        <v>93418000</v>
      </c>
      <c r="C21" s="72">
        <v>97041000</v>
      </c>
      <c r="D21" s="72">
        <v>101853000</v>
      </c>
      <c r="E21" s="72">
        <v>106510000</v>
      </c>
      <c r="F21" s="72">
        <v>107147000</v>
      </c>
      <c r="G21" s="72">
        <v>108791000</v>
      </c>
      <c r="H21" s="72">
        <v>116288000</v>
      </c>
      <c r="I21" s="72">
        <v>117812000</v>
      </c>
      <c r="J21" s="72">
        <v>127140000</v>
      </c>
      <c r="K21" s="72">
        <v>130971000</v>
      </c>
      <c r="L21" s="27"/>
    </row>
    <row r="22" spans="1:12" s="29" customFormat="1" ht="14" x14ac:dyDescent="0.15">
      <c r="A22" s="28" t="s">
        <v>205</v>
      </c>
      <c r="B22" s="73">
        <v>93418000</v>
      </c>
      <c r="C22" s="73">
        <v>97041000</v>
      </c>
      <c r="D22" s="73">
        <v>101853000</v>
      </c>
      <c r="E22" s="73">
        <v>106510000</v>
      </c>
      <c r="F22" s="73">
        <v>107147000</v>
      </c>
      <c r="G22" s="73">
        <v>108791000</v>
      </c>
      <c r="H22" s="73">
        <v>116288000</v>
      </c>
      <c r="I22" s="73">
        <v>117812000</v>
      </c>
      <c r="J22" s="73">
        <v>127140000</v>
      </c>
      <c r="K22" s="73">
        <v>130971000</v>
      </c>
      <c r="L22" s="28"/>
    </row>
    <row r="23" spans="1:12" s="29" customFormat="1" ht="14" x14ac:dyDescent="0.15">
      <c r="A23" s="28" t="s">
        <v>28</v>
      </c>
      <c r="B23" s="73">
        <v>27147000</v>
      </c>
      <c r="C23" s="73">
        <v>24105000</v>
      </c>
      <c r="D23" s="73">
        <v>22764000</v>
      </c>
      <c r="E23" s="73">
        <v>20437000</v>
      </c>
      <c r="F23" s="73">
        <v>21957000</v>
      </c>
      <c r="G23" s="73">
        <v>20568000</v>
      </c>
      <c r="H23" s="73">
        <v>22548000</v>
      </c>
      <c r="I23" s="73">
        <v>25942000</v>
      </c>
      <c r="J23" s="73">
        <v>20428000</v>
      </c>
      <c r="K23" s="73">
        <v>27012000</v>
      </c>
      <c r="L23" s="28"/>
    </row>
    <row r="24" spans="1:12" x14ac:dyDescent="0.15">
      <c r="A24" s="27" t="s">
        <v>206</v>
      </c>
      <c r="B24" s="72">
        <v>-2348000</v>
      </c>
      <c r="C24" s="72">
        <v>-2467000</v>
      </c>
      <c r="D24" s="72">
        <v>-2267000</v>
      </c>
      <c r="E24" s="72">
        <v>-2178000</v>
      </c>
      <c r="F24" s="72">
        <v>-2129000</v>
      </c>
      <c r="G24" s="72">
        <v>-2410000</v>
      </c>
      <c r="H24" s="72">
        <v>-2194000</v>
      </c>
      <c r="I24" s="72">
        <v>-1836000</v>
      </c>
      <c r="J24" s="72">
        <v>-1874000</v>
      </c>
      <c r="K24" s="72">
        <v>-2137000</v>
      </c>
      <c r="L24" s="27"/>
    </row>
    <row r="25" spans="1:12" x14ac:dyDescent="0.15">
      <c r="A25" s="27" t="s">
        <v>207</v>
      </c>
      <c r="B25" s="72">
        <v>0</v>
      </c>
      <c r="C25" s="72">
        <v>0</v>
      </c>
      <c r="D25" s="72">
        <v>0</v>
      </c>
      <c r="E25" s="72">
        <v>-3136000</v>
      </c>
      <c r="F25" s="72">
        <v>-8368000</v>
      </c>
      <c r="G25" s="72">
        <v>1958000</v>
      </c>
      <c r="H25" s="72">
        <v>210000</v>
      </c>
      <c r="I25" s="72">
        <v>-5410000</v>
      </c>
      <c r="J25" s="72">
        <v>-1538000</v>
      </c>
      <c r="K25" s="72">
        <v>-3027000</v>
      </c>
      <c r="L25" s="27"/>
    </row>
    <row r="26" spans="1:12" x14ac:dyDescent="0.15">
      <c r="A26" s="27" t="s">
        <v>29</v>
      </c>
      <c r="B26" s="72">
        <v>-2348000</v>
      </c>
      <c r="C26" s="72">
        <v>-2467000</v>
      </c>
      <c r="D26" s="72">
        <v>-2267000</v>
      </c>
      <c r="E26" s="72">
        <v>-5314000</v>
      </c>
      <c r="F26" s="72">
        <v>-10497000</v>
      </c>
      <c r="G26" s="72">
        <v>-452000</v>
      </c>
      <c r="H26" s="72">
        <v>-1984000</v>
      </c>
      <c r="I26" s="72">
        <v>-7246000</v>
      </c>
      <c r="J26" s="72">
        <v>-3412000</v>
      </c>
      <c r="K26" s="72">
        <v>-5164000</v>
      </c>
      <c r="L26" s="27"/>
    </row>
    <row r="27" spans="1:12" x14ac:dyDescent="0.15">
      <c r="A27" s="27" t="s">
        <v>30</v>
      </c>
      <c r="B27" s="72">
        <v>24799000</v>
      </c>
      <c r="C27" s="72">
        <v>21638000</v>
      </c>
      <c r="D27" s="72">
        <v>20497000</v>
      </c>
      <c r="E27" s="72">
        <v>15123000</v>
      </c>
      <c r="F27" s="72">
        <v>11460000</v>
      </c>
      <c r="G27" s="72">
        <v>20116000</v>
      </c>
      <c r="H27" s="72">
        <v>20564000</v>
      </c>
      <c r="I27" s="72">
        <v>18696000</v>
      </c>
      <c r="J27" s="72">
        <v>17016000</v>
      </c>
      <c r="K27" s="72">
        <v>21848000</v>
      </c>
      <c r="L27" s="27"/>
    </row>
    <row r="28" spans="1:12" x14ac:dyDescent="0.15">
      <c r="A28" s="27" t="s">
        <v>31</v>
      </c>
      <c r="B28" s="72">
        <v>7985000</v>
      </c>
      <c r="C28" s="72">
        <v>6558000</v>
      </c>
      <c r="D28" s="72">
        <v>6204000</v>
      </c>
      <c r="E28" s="72">
        <v>4600000</v>
      </c>
      <c r="F28" s="72">
        <v>4281000</v>
      </c>
      <c r="G28" s="72">
        <v>4915000</v>
      </c>
      <c r="H28" s="72">
        <v>6858000</v>
      </c>
      <c r="I28" s="72">
        <v>4756000</v>
      </c>
      <c r="J28" s="72">
        <v>5724000</v>
      </c>
      <c r="K28" s="72">
        <v>5578000</v>
      </c>
      <c r="L28" s="27"/>
    </row>
    <row r="29" spans="1:12" x14ac:dyDescent="0.15">
      <c r="A29" s="27" t="s">
        <v>144</v>
      </c>
      <c r="B29" s="72">
        <v>736000</v>
      </c>
      <c r="C29" s="72">
        <v>386000</v>
      </c>
      <c r="D29" s="72">
        <v>650000</v>
      </c>
      <c r="E29" s="72">
        <v>661000</v>
      </c>
      <c r="F29" s="72">
        <v>509000</v>
      </c>
      <c r="G29" s="72">
        <v>320000</v>
      </c>
      <c r="H29" s="72">
        <v>196000</v>
      </c>
      <c r="I29" s="72">
        <v>267000</v>
      </c>
      <c r="J29" s="72">
        <v>-388000</v>
      </c>
      <c r="K29" s="72">
        <v>759000</v>
      </c>
      <c r="L29" s="27"/>
    </row>
    <row r="30" spans="1:12" s="29" customFormat="1" ht="14" x14ac:dyDescent="0.15">
      <c r="A30" s="28" t="s">
        <v>32</v>
      </c>
      <c r="B30" s="73">
        <v>16363000</v>
      </c>
      <c r="C30" s="73">
        <v>14694000</v>
      </c>
      <c r="D30" s="73">
        <v>13643000</v>
      </c>
      <c r="E30" s="73">
        <v>9862000</v>
      </c>
      <c r="F30" s="73">
        <v>6670000</v>
      </c>
      <c r="G30" s="73">
        <v>14881000</v>
      </c>
      <c r="H30" s="73">
        <v>13510000</v>
      </c>
      <c r="I30" s="73">
        <v>13673000</v>
      </c>
      <c r="J30" s="73">
        <v>11680000</v>
      </c>
      <c r="K30" s="73">
        <v>15511000</v>
      </c>
      <c r="L30" s="28"/>
    </row>
    <row r="31" spans="1:12" x14ac:dyDescent="0.15">
      <c r="A31" s="27" t="s">
        <v>34</v>
      </c>
      <c r="B31" s="72">
        <v>16363000</v>
      </c>
      <c r="C31" s="72">
        <v>14694000</v>
      </c>
      <c r="D31" s="72">
        <v>13643000</v>
      </c>
      <c r="E31" s="72">
        <v>9862000</v>
      </c>
      <c r="F31" s="72">
        <v>6670000</v>
      </c>
      <c r="G31" s="72">
        <v>14881000</v>
      </c>
      <c r="H31" s="72">
        <v>13510000</v>
      </c>
      <c r="I31" s="72">
        <v>13673000</v>
      </c>
      <c r="J31" s="72">
        <v>11680000</v>
      </c>
      <c r="K31" s="72">
        <v>15511000</v>
      </c>
      <c r="L31" s="27"/>
    </row>
    <row r="32" spans="1:12" x14ac:dyDescent="0.15">
      <c r="A32" s="27" t="s">
        <v>35</v>
      </c>
      <c r="B32" s="72">
        <v>9690000</v>
      </c>
      <c r="C32" s="72">
        <v>9621000</v>
      </c>
      <c r="D32" s="72">
        <v>9303000</v>
      </c>
      <c r="E32" s="72">
        <v>8985000</v>
      </c>
      <c r="F32" s="72">
        <v>8787000</v>
      </c>
      <c r="G32" s="72">
        <v>8550000</v>
      </c>
      <c r="H32" s="72">
        <v>8493000</v>
      </c>
      <c r="I32" s="72">
        <v>8376000</v>
      </c>
      <c r="J32" s="72">
        <v>8172000</v>
      </c>
      <c r="K32" s="72">
        <v>8077000</v>
      </c>
      <c r="L32" s="27"/>
    </row>
    <row r="33" spans="1:12" x14ac:dyDescent="0.15">
      <c r="A33" s="27" t="s">
        <v>36</v>
      </c>
      <c r="B33" s="72">
        <v>1.69</v>
      </c>
      <c r="C33" s="72">
        <v>1.53</v>
      </c>
      <c r="D33" s="72">
        <v>1.47</v>
      </c>
      <c r="E33" s="72">
        <v>1.1000000000000001</v>
      </c>
      <c r="F33" s="72">
        <v>0.76</v>
      </c>
      <c r="G33" s="72">
        <v>1.74</v>
      </c>
      <c r="H33" s="72">
        <v>1.59</v>
      </c>
      <c r="I33" s="72">
        <v>1.63</v>
      </c>
      <c r="J33" s="72">
        <v>1.43</v>
      </c>
      <c r="K33" s="72">
        <v>1.92</v>
      </c>
      <c r="L33" s="27"/>
    </row>
    <row r="34" spans="1:12" x14ac:dyDescent="0.15">
      <c r="A34" s="27" t="s">
        <v>37</v>
      </c>
      <c r="B34" s="72">
        <v>1.67</v>
      </c>
      <c r="C34" s="72">
        <v>1.53</v>
      </c>
      <c r="D34" s="72">
        <v>1.47</v>
      </c>
      <c r="E34" s="72">
        <v>1.1000000000000001</v>
      </c>
      <c r="F34" s="72">
        <v>0.76</v>
      </c>
      <c r="G34" s="72">
        <v>1.74</v>
      </c>
      <c r="H34" s="72">
        <v>1.59</v>
      </c>
      <c r="I34" s="72">
        <v>1.63</v>
      </c>
      <c r="J34" s="72">
        <v>1.43</v>
      </c>
      <c r="K34" s="72">
        <v>1.92</v>
      </c>
      <c r="L34" s="27"/>
    </row>
    <row r="35" spans="1:12" x14ac:dyDescent="0.15">
      <c r="A35" s="27" t="s">
        <v>38</v>
      </c>
      <c r="B35" s="72">
        <v>9729000</v>
      </c>
      <c r="C35" s="72">
        <v>9651000</v>
      </c>
      <c r="D35" s="72">
        <v>9336000</v>
      </c>
      <c r="E35" s="72">
        <v>9030000</v>
      </c>
      <c r="F35" s="72">
        <v>8835000</v>
      </c>
      <c r="G35" s="72">
        <v>8604000</v>
      </c>
      <c r="H35" s="72">
        <v>8541000</v>
      </c>
      <c r="I35" s="72">
        <v>8415000</v>
      </c>
      <c r="J35" s="72">
        <v>8202000</v>
      </c>
      <c r="K35" s="72">
        <v>8108000</v>
      </c>
      <c r="L35" s="27"/>
    </row>
    <row r="36" spans="1:12" x14ac:dyDescent="0.15">
      <c r="A36" s="27" t="s">
        <v>39</v>
      </c>
      <c r="B36" s="72">
        <v>1.68</v>
      </c>
      <c r="C36" s="72">
        <v>1.52</v>
      </c>
      <c r="D36" s="72">
        <v>1.46</v>
      </c>
      <c r="E36" s="72">
        <v>1.0900000000000001</v>
      </c>
      <c r="F36" s="72">
        <v>0.75</v>
      </c>
      <c r="G36" s="72">
        <v>1.73</v>
      </c>
      <c r="H36" s="72">
        <v>1.58</v>
      </c>
      <c r="I36" s="72">
        <v>1.62</v>
      </c>
      <c r="J36" s="72">
        <v>1.42</v>
      </c>
      <c r="K36" s="72">
        <v>1.91</v>
      </c>
      <c r="L36" s="27"/>
    </row>
    <row r="37" spans="1:12" x14ac:dyDescent="0.15">
      <c r="A37" s="27" t="s">
        <v>40</v>
      </c>
      <c r="B37" s="72">
        <v>1.66</v>
      </c>
      <c r="C37" s="72">
        <v>1.52</v>
      </c>
      <c r="D37" s="72">
        <v>1.46</v>
      </c>
      <c r="E37" s="72">
        <v>1.0900000000000001</v>
      </c>
      <c r="F37" s="72">
        <v>0.75</v>
      </c>
      <c r="G37" s="72">
        <v>1.73</v>
      </c>
      <c r="H37" s="72">
        <v>1.58</v>
      </c>
      <c r="I37" s="72">
        <v>1.62</v>
      </c>
      <c r="J37" s="72">
        <v>1.42</v>
      </c>
      <c r="K37" s="72">
        <v>1.91</v>
      </c>
      <c r="L37" s="27"/>
    </row>
    <row r="38" spans="1:12" x14ac:dyDescent="0.15">
      <c r="A38" s="27" t="s">
        <v>41</v>
      </c>
      <c r="B38" s="72">
        <v>9684000</v>
      </c>
      <c r="C38" s="72">
        <v>9486000</v>
      </c>
      <c r="D38" s="72">
        <v>9144000</v>
      </c>
      <c r="E38" s="72">
        <v>8856000</v>
      </c>
      <c r="F38" s="72">
        <v>8634000</v>
      </c>
      <c r="G38" s="72">
        <v>8496000</v>
      </c>
      <c r="H38" s="72">
        <v>8463000</v>
      </c>
      <c r="I38" s="72">
        <v>8283000</v>
      </c>
      <c r="J38" s="72">
        <v>8079000</v>
      </c>
      <c r="K38" s="72">
        <v>8054000</v>
      </c>
      <c r="L38" s="27"/>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31D2-B6B1-CA4F-AF0E-91D8FDE94E4B}">
  <dimension ref="A4:L38"/>
  <sheetViews>
    <sheetView topLeftCell="A17" workbookViewId="0">
      <selection activeCell="N73" sqref="N73"/>
    </sheetView>
  </sheetViews>
  <sheetFormatPr baseColWidth="10" defaultColWidth="8.83203125" defaultRowHeight="13" x14ac:dyDescent="0.15"/>
  <cols>
    <col min="1" max="1" width="50" style="20" customWidth="1"/>
    <col min="2" max="11" width="14.6640625" style="20" bestFit="1" customWidth="1"/>
    <col min="12" max="191" width="12" style="20" customWidth="1"/>
    <col min="192" max="16384" width="8.83203125" style="20"/>
  </cols>
  <sheetData>
    <row r="4" spans="1:12" x14ac:dyDescent="0.15">
      <c r="A4" s="21" t="s">
        <v>0</v>
      </c>
    </row>
    <row r="5" spans="1:12" ht="20" x14ac:dyDescent="0.2">
      <c r="A5" s="22" t="s">
        <v>134</v>
      </c>
    </row>
    <row r="7" spans="1:12" ht="14" x14ac:dyDescent="0.15">
      <c r="A7" s="23" t="s">
        <v>2</v>
      </c>
    </row>
    <row r="10" spans="1:12" ht="14" x14ac:dyDescent="0.15">
      <c r="A10" s="24" t="s">
        <v>3</v>
      </c>
    </row>
    <row r="11" spans="1:12" ht="14" x14ac:dyDescent="0.15">
      <c r="A11" s="25" t="s">
        <v>4</v>
      </c>
      <c r="B11" s="26" t="s">
        <v>135</v>
      </c>
      <c r="C11" s="26" t="s">
        <v>13</v>
      </c>
      <c r="D11" s="26" t="s">
        <v>136</v>
      </c>
      <c r="E11" s="26" t="s">
        <v>137</v>
      </c>
      <c r="F11" s="26" t="s">
        <v>138</v>
      </c>
      <c r="G11" s="26" t="s">
        <v>139</v>
      </c>
      <c r="H11" s="26" t="s">
        <v>8</v>
      </c>
      <c r="I11" s="26" t="s">
        <v>140</v>
      </c>
      <c r="J11" s="26" t="s">
        <v>141</v>
      </c>
      <c r="K11" s="26" t="s">
        <v>142</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ht="14" x14ac:dyDescent="0.15">
      <c r="A16" s="27" t="s">
        <v>23</v>
      </c>
      <c r="B16" s="32">
        <f>'WMT Income Statement'!B16/'WMT Income Statement'!B$18</f>
        <v>0.99295378780235188</v>
      </c>
      <c r="C16" s="32">
        <f>'WMT Income Statement'!C16/'WMT Income Statement'!C$18</f>
        <v>0.99270736108518454</v>
      </c>
      <c r="D16" s="32">
        <f>'WMT Income Statement'!D16/'WMT Income Statement'!D$18</f>
        <v>0.99062306405171718</v>
      </c>
      <c r="E16" s="32">
        <f>'WMT Income Statement'!E16/'WMT Income Statement'!E$18</f>
        <v>0.99084228219441461</v>
      </c>
      <c r="F16" s="32">
        <f>'WMT Income Statement'!F16/'WMT Income Statement'!F$18</f>
        <v>0.99207628230674272</v>
      </c>
      <c r="G16" s="32">
        <f>'WMT Income Statement'!G16/'WMT Income Statement'!G$18</f>
        <v>0.99229336366620613</v>
      </c>
      <c r="H16" s="32">
        <f>'WMT Income Statement'!H16/'WMT Income Statement'!H$18</f>
        <v>0.99299294823759587</v>
      </c>
      <c r="I16" s="32">
        <f>'WMT Income Statement'!I16/'WMT Income Statement'!I$18</f>
        <v>0.99128421626038399</v>
      </c>
      <c r="J16" s="32">
        <f>'WMT Income Statement'!J16/'WMT Income Statement'!J$18</f>
        <v>0.99115312070068329</v>
      </c>
      <c r="K16" s="32">
        <f>'WMT Income Statement'!K16/'WMT Income Statement'!K$18</f>
        <v>0.99153249758919959</v>
      </c>
      <c r="L16" s="27"/>
    </row>
    <row r="17" spans="1:12" ht="14" x14ac:dyDescent="0.15">
      <c r="A17" s="27" t="s">
        <v>203</v>
      </c>
      <c r="B17" s="32">
        <f>'WMT Income Statement'!B17/'WMT Income Statement'!B$18</f>
        <v>7.046212197648105E-3</v>
      </c>
      <c r="C17" s="32">
        <f>'WMT Income Statement'!C17/'WMT Income Statement'!C$18</f>
        <v>7.2926389148155061E-3</v>
      </c>
      <c r="D17" s="32">
        <f>'WMT Income Statement'!D17/'WMT Income Statement'!D$18</f>
        <v>9.3769359482827816E-3</v>
      </c>
      <c r="E17" s="32">
        <f>'WMT Income Statement'!E17/'WMT Income Statement'!E$18</f>
        <v>9.1577178055853685E-3</v>
      </c>
      <c r="F17" s="32">
        <f>'WMT Income Statement'!F17/'WMT Income Statement'!F$18</f>
        <v>7.9237176932572592E-3</v>
      </c>
      <c r="G17" s="32">
        <f>'WMT Income Statement'!G17/'WMT Income Statement'!G$18</f>
        <v>7.706636333793925E-3</v>
      </c>
      <c r="H17" s="32">
        <f>'WMT Income Statement'!H17/'WMT Income Statement'!H$18</f>
        <v>7.0070517624040733E-3</v>
      </c>
      <c r="I17" s="32">
        <f>'WMT Income Statement'!I17/'WMT Income Statement'!I$18</f>
        <v>8.71578373961596E-3</v>
      </c>
      <c r="J17" s="32">
        <f>'WMT Income Statement'!J17/'WMT Income Statement'!J$18</f>
        <v>8.8468792993166897E-3</v>
      </c>
      <c r="K17" s="32">
        <f>'WMT Income Statement'!K17/'WMT Income Statement'!K$18</f>
        <v>8.467502410800385E-3</v>
      </c>
      <c r="L17" s="27"/>
    </row>
    <row r="18" spans="1:12" s="29" customFormat="1" ht="14" x14ac:dyDescent="0.15">
      <c r="A18" s="28" t="s">
        <v>24</v>
      </c>
      <c r="B18" s="33">
        <f>'WMT Income Statement'!B18/'WMT Income Statement'!B$18</f>
        <v>1</v>
      </c>
      <c r="C18" s="33">
        <f>'WMT Income Statement'!C18/'WMT Income Statement'!C$18</f>
        <v>1</v>
      </c>
      <c r="D18" s="33">
        <f>'WMT Income Statement'!D18/'WMT Income Statement'!D$18</f>
        <v>1</v>
      </c>
      <c r="E18" s="33">
        <f>'WMT Income Statement'!E18/'WMT Income Statement'!E$18</f>
        <v>1</v>
      </c>
      <c r="F18" s="33">
        <f>'WMT Income Statement'!F18/'WMT Income Statement'!F$18</f>
        <v>1</v>
      </c>
      <c r="G18" s="33">
        <f>'WMT Income Statement'!G18/'WMT Income Statement'!G$18</f>
        <v>1</v>
      </c>
      <c r="H18" s="33">
        <f>'WMT Income Statement'!H18/'WMT Income Statement'!H$18</f>
        <v>1</v>
      </c>
      <c r="I18" s="33">
        <f>'WMT Income Statement'!I18/'WMT Income Statement'!I$18</f>
        <v>1</v>
      </c>
      <c r="J18" s="33">
        <f>'WMT Income Statement'!J18/'WMT Income Statement'!J$18</f>
        <v>1</v>
      </c>
      <c r="K18" s="33">
        <f>'WMT Income Statement'!K18/'WMT Income Statement'!K$18</f>
        <v>1</v>
      </c>
      <c r="L18" s="28"/>
    </row>
    <row r="19" spans="1:12" ht="14" x14ac:dyDescent="0.15">
      <c r="A19" s="27" t="s">
        <v>204</v>
      </c>
      <c r="B19" s="32">
        <f>'WMT Income Statement'!B19/'WMT Income Statement'!B$18</f>
        <v>0.75174559508783056</v>
      </c>
      <c r="C19" s="32">
        <f>'WMT Income Statement'!C19/'WMT Income Statement'!C$18</f>
        <v>0.74872752162279888</v>
      </c>
      <c r="D19" s="32">
        <f>'WMT Income Statement'!D19/'WMT Income Statement'!D$18</f>
        <v>0.74351939704408354</v>
      </c>
      <c r="E19" s="32">
        <f>'WMT Income Statement'!E19/'WMT Income Statement'!E$18</f>
        <v>0.74628005188440727</v>
      </c>
      <c r="F19" s="32">
        <f>'WMT Income Statement'!F19/'WMT Income Statement'!F$18</f>
        <v>0.7490226572447779</v>
      </c>
      <c r="G19" s="32">
        <f>'WMT Income Statement'!G19/'WMT Income Statement'!G$18</f>
        <v>0.75311471780504002</v>
      </c>
      <c r="H19" s="32">
        <f>'WMT Income Statement'!H19/'WMT Income Statement'!H$18</f>
        <v>0.75170213412834819</v>
      </c>
      <c r="I19" s="32">
        <f>'WMT Income Statement'!I19/'WMT Income Statement'!I$18</f>
        <v>0.7490126651232466</v>
      </c>
      <c r="J19" s="32">
        <f>'WMT Income Statement'!J19/'WMT Income Statement'!J$18</f>
        <v>0.75859536160474017</v>
      </c>
      <c r="K19" s="32">
        <f>'WMT Income Statement'!K19/'WMT Income Statement'!K$18</f>
        <v>0.7562460945033751</v>
      </c>
      <c r="L19" s="27"/>
    </row>
    <row r="20" spans="1:12" ht="14" x14ac:dyDescent="0.15">
      <c r="A20" s="27" t="s">
        <v>25</v>
      </c>
      <c r="B20" s="32">
        <f>'WMT Income Statement'!B20/'WMT Income Statement'!B$18</f>
        <v>0.24825440491216944</v>
      </c>
      <c r="C20" s="32">
        <f>'WMT Income Statement'!C20/'WMT Income Statement'!C$18</f>
        <v>0.25127247837720118</v>
      </c>
      <c r="D20" s="32">
        <f>'WMT Income Statement'!D20/'WMT Income Statement'!D$18</f>
        <v>0.25648060295591646</v>
      </c>
      <c r="E20" s="32">
        <f>'WMT Income Statement'!E20/'WMT Income Statement'!E$18</f>
        <v>0.25371994811559273</v>
      </c>
      <c r="F20" s="32">
        <f>'WMT Income Statement'!F20/'WMT Income Statement'!F$18</f>
        <v>0.25097734275522204</v>
      </c>
      <c r="G20" s="32">
        <f>'WMT Income Statement'!G20/'WMT Income Statement'!G$18</f>
        <v>0.24688528219495995</v>
      </c>
      <c r="H20" s="32">
        <f>'WMT Income Statement'!H20/'WMT Income Statement'!H$18</f>
        <v>0.24829786587165184</v>
      </c>
      <c r="I20" s="32">
        <f>'WMT Income Statement'!I20/'WMT Income Statement'!I$18</f>
        <v>0.25098733487675334</v>
      </c>
      <c r="J20" s="32">
        <f>'WMT Income Statement'!J20/'WMT Income Statement'!J$18</f>
        <v>0.24140463839525986</v>
      </c>
      <c r="K20" s="32">
        <f>'WMT Income Statement'!K20/'WMT Income Statement'!K$18</f>
        <v>0.24375390549662487</v>
      </c>
      <c r="L20" s="27"/>
    </row>
    <row r="21" spans="1:12" ht="14" x14ac:dyDescent="0.15">
      <c r="A21" s="27" t="s">
        <v>26</v>
      </c>
      <c r="B21" s="32">
        <f>'WMT Income Statement'!B21/'WMT Income Statement'!B$18</f>
        <v>0.19235623935706916</v>
      </c>
      <c r="C21" s="32">
        <f>'WMT Income Statement'!C21/'WMT Income Statement'!C$18</f>
        <v>0.20127558957127745</v>
      </c>
      <c r="D21" s="32">
        <f>'WMT Income Statement'!D21/'WMT Income Statement'!D$18</f>
        <v>0.20962885363047545</v>
      </c>
      <c r="E21" s="32">
        <f>'WMT Income Statement'!E21/'WMT Income Statement'!E$18</f>
        <v>0.21287396845763806</v>
      </c>
      <c r="F21" s="32">
        <f>'WMT Income Statement'!F21/'WMT Income Statement'!F$18</f>
        <v>0.20829307646698614</v>
      </c>
      <c r="G21" s="32">
        <f>'WMT Income Statement'!G21/'WMT Income Statement'!G$18</f>
        <v>0.20763067691673473</v>
      </c>
      <c r="H21" s="32">
        <f>'WMT Income Statement'!H21/'WMT Income Statement'!H$18</f>
        <v>0.20797244393732642</v>
      </c>
      <c r="I21" s="32">
        <f>'WMT Income Statement'!I21/'WMT Income Statement'!I$18</f>
        <v>0.20569389301515137</v>
      </c>
      <c r="J21" s="32">
        <f>'WMT Income Statement'!J21/'WMT Income Statement'!J$18</f>
        <v>0.20798672968105103</v>
      </c>
      <c r="K21" s="32">
        <f>'WMT Income Statement'!K21/'WMT Income Statement'!K$18</f>
        <v>0.20207675988428159</v>
      </c>
      <c r="L21" s="27"/>
    </row>
    <row r="22" spans="1:12" s="29" customFormat="1" ht="14" x14ac:dyDescent="0.15">
      <c r="A22" s="28" t="s">
        <v>205</v>
      </c>
      <c r="B22" s="33">
        <f>'WMT Income Statement'!B22/'WMT Income Statement'!B$18</f>
        <v>0.19235623935706916</v>
      </c>
      <c r="C22" s="33">
        <f>'WMT Income Statement'!C22/'WMT Income Statement'!C$18</f>
        <v>0.20127558957127745</v>
      </c>
      <c r="D22" s="33">
        <f>'WMT Income Statement'!D22/'WMT Income Statement'!D$18</f>
        <v>0.20962885363047545</v>
      </c>
      <c r="E22" s="33">
        <f>'WMT Income Statement'!E22/'WMT Income Statement'!E$18</f>
        <v>0.21287396845763806</v>
      </c>
      <c r="F22" s="33">
        <f>'WMT Income Statement'!F22/'WMT Income Statement'!F$18</f>
        <v>0.20829307646698614</v>
      </c>
      <c r="G22" s="33">
        <f>'WMT Income Statement'!G22/'WMT Income Statement'!G$18</f>
        <v>0.20763067691673473</v>
      </c>
      <c r="H22" s="33">
        <f>'WMT Income Statement'!H22/'WMT Income Statement'!H$18</f>
        <v>0.20797244393732642</v>
      </c>
      <c r="I22" s="33">
        <f>'WMT Income Statement'!I22/'WMT Income Statement'!I$18</f>
        <v>0.20569389301515137</v>
      </c>
      <c r="J22" s="33">
        <f>'WMT Income Statement'!J22/'WMT Income Statement'!J$18</f>
        <v>0.20798672968105103</v>
      </c>
      <c r="K22" s="33">
        <f>'WMT Income Statement'!K22/'WMT Income Statement'!K$18</f>
        <v>0.20207675988428159</v>
      </c>
      <c r="L22" s="28"/>
    </row>
    <row r="23" spans="1:12" s="29" customFormat="1" ht="14" x14ac:dyDescent="0.15">
      <c r="A23" s="28" t="s">
        <v>28</v>
      </c>
      <c r="B23" s="33">
        <f>'WMT Income Statement'!B23/'WMT Income Statement'!B$18</f>
        <v>5.5898165555100264E-2</v>
      </c>
      <c r="C23" s="33">
        <f>'WMT Income Statement'!C23/'WMT Income Statement'!C$18</f>
        <v>4.9996888805923713E-2</v>
      </c>
      <c r="D23" s="33">
        <f>'WMT Income Statement'!D23/'WMT Income Statement'!D$18</f>
        <v>4.6851749325441013E-2</v>
      </c>
      <c r="E23" s="33">
        <f>'WMT Income Statement'!E23/'WMT Income Statement'!E$18</f>
        <v>4.084597965795464E-2</v>
      </c>
      <c r="F23" s="33">
        <f>'WMT Income Statement'!F23/'WMT Income Statement'!F$18</f>
        <v>4.268426628823592E-2</v>
      </c>
      <c r="G23" s="33">
        <f>'WMT Income Statement'!G23/'WMT Income Statement'!G$18</f>
        <v>3.9254605278225219E-2</v>
      </c>
      <c r="H23" s="33">
        <f>'WMT Income Statement'!H23/'WMT Income Statement'!H$18</f>
        <v>4.032542193432543E-2</v>
      </c>
      <c r="I23" s="33">
        <f>'WMT Income Statement'!I23/'WMT Income Statement'!I$18</f>
        <v>4.5293441861602016E-2</v>
      </c>
      <c r="J23" s="33">
        <f>'WMT Income Statement'!J23/'WMT Income Statement'!J$18</f>
        <v>3.3417908714208827E-2</v>
      </c>
      <c r="K23" s="33">
        <f>'WMT Income Statement'!K23/'WMT Income Statement'!K$18</f>
        <v>4.16771456123433E-2</v>
      </c>
      <c r="L23" s="28"/>
    </row>
    <row r="24" spans="1:12" ht="14" x14ac:dyDescent="0.15">
      <c r="A24" s="27" t="s">
        <v>206</v>
      </c>
      <c r="B24" s="32">
        <f>'WMT Income Statement'!B24/'WMT Income Statement'!B$18</f>
        <v>-4.8347475862296173E-3</v>
      </c>
      <c r="C24" s="32">
        <f>'WMT Income Statement'!C24/'WMT Income Statement'!C$18</f>
        <v>-5.1168771907991618E-3</v>
      </c>
      <c r="D24" s="32">
        <f>'WMT Income Statement'!D24/'WMT Income Statement'!D$18</f>
        <v>-4.6658283131600234E-3</v>
      </c>
      <c r="E24" s="32">
        <f>'WMT Income Statement'!E24/'WMT Income Statement'!E$18</f>
        <v>-4.3530138325108972E-3</v>
      </c>
      <c r="F24" s="32">
        <f>'WMT Income Statement'!F24/'WMT Income Statement'!F$18</f>
        <v>-4.1387622593092987E-3</v>
      </c>
      <c r="G24" s="32">
        <f>'WMT Income Statement'!G24/'WMT Income Statement'!G$18</f>
        <v>-4.5995526410211388E-3</v>
      </c>
      <c r="H24" s="32">
        <f>'WMT Income Statement'!H24/'WMT Income Statement'!H$18</f>
        <v>-3.9238059128929399E-3</v>
      </c>
      <c r="I24" s="32">
        <f>'WMT Income Statement'!I24/'WMT Income Statement'!I$18</f>
        <v>-3.2055646926952932E-3</v>
      </c>
      <c r="J24" s="32">
        <f>'WMT Income Statement'!J24/'WMT Income Statement'!J$18</f>
        <v>-3.0656530708061164E-3</v>
      </c>
      <c r="K24" s="32">
        <f>'WMT Income Statement'!K24/'WMT Income Statement'!K$18</f>
        <v>-3.2972034715525555E-3</v>
      </c>
      <c r="L24" s="27"/>
    </row>
    <row r="25" spans="1:12" ht="14" x14ac:dyDescent="0.15">
      <c r="A25" s="27" t="s">
        <v>207</v>
      </c>
      <c r="B25" s="32">
        <f>'WMT Income Statement'!B25/'WMT Income Statement'!B$18</f>
        <v>0</v>
      </c>
      <c r="C25" s="32">
        <f>'WMT Income Statement'!C25/'WMT Income Statement'!C$18</f>
        <v>0</v>
      </c>
      <c r="D25" s="32">
        <f>'WMT Income Statement'!D25/'WMT Income Statement'!D$18</f>
        <v>0</v>
      </c>
      <c r="E25" s="32">
        <f>'WMT Income Statement'!E25/'WMT Income Statement'!E$18</f>
        <v>-6.2677003575547178E-3</v>
      </c>
      <c r="F25" s="32">
        <f>'WMT Income Statement'!F25/'WMT Income Statement'!F$18</f>
        <v>-1.6267337992437864E-2</v>
      </c>
      <c r="G25" s="32">
        <f>'WMT Income Statement'!G25/'WMT Income Statement'!G$18</f>
        <v>3.7368979548213234E-3</v>
      </c>
      <c r="H25" s="32">
        <f>'WMT Income Statement'!H25/'WMT Income Statement'!H$18</f>
        <v>3.7556939002165784E-4</v>
      </c>
      <c r="I25" s="32">
        <f>'WMT Income Statement'!I25/'WMT Income Statement'!I$18</f>
        <v>-9.4455909517873297E-3</v>
      </c>
      <c r="J25" s="32">
        <f>'WMT Income Statement'!J25/'WMT Income Statement'!J$18</f>
        <v>-2.5159948894876239E-3</v>
      </c>
      <c r="K25" s="32">
        <f>'WMT Income Statement'!K25/'WMT Income Statement'!K$18</f>
        <v>-4.6703953712632596E-3</v>
      </c>
      <c r="L25" s="27"/>
    </row>
    <row r="26" spans="1:12" ht="14" x14ac:dyDescent="0.15">
      <c r="A26" s="27" t="s">
        <v>29</v>
      </c>
      <c r="B26" s="32">
        <f>'WMT Income Statement'!B26/'WMT Income Statement'!B$18</f>
        <v>-4.8347475862296173E-3</v>
      </c>
      <c r="C26" s="32">
        <f>'WMT Income Statement'!C26/'WMT Income Statement'!C$18</f>
        <v>-5.1168771907991618E-3</v>
      </c>
      <c r="D26" s="32">
        <f>'WMT Income Statement'!D26/'WMT Income Statement'!D$18</f>
        <v>-4.6658283131600234E-3</v>
      </c>
      <c r="E26" s="32">
        <f>'WMT Income Statement'!E26/'WMT Income Statement'!E$18</f>
        <v>-1.0620714190065614E-2</v>
      </c>
      <c r="F26" s="32">
        <f>'WMT Income Statement'!F26/'WMT Income Statement'!F$18</f>
        <v>-2.0406100251747165E-2</v>
      </c>
      <c r="G26" s="32">
        <f>'WMT Income Statement'!G26/'WMT Income Statement'!G$18</f>
        <v>-8.626546861998152E-4</v>
      </c>
      <c r="H26" s="32">
        <f>'WMT Income Statement'!H26/'WMT Income Statement'!H$18</f>
        <v>-3.5482365228712816E-3</v>
      </c>
      <c r="I26" s="32">
        <f>'WMT Income Statement'!I26/'WMT Income Statement'!I$18</f>
        <v>-1.2651155644482623E-2</v>
      </c>
      <c r="J26" s="32">
        <f>'WMT Income Statement'!J26/'WMT Income Statement'!J$18</f>
        <v>-5.5816479602937398E-3</v>
      </c>
      <c r="K26" s="32">
        <f>'WMT Income Statement'!K26/'WMT Income Statement'!K$18</f>
        <v>-7.9675988428158147E-3</v>
      </c>
      <c r="L26" s="27"/>
    </row>
    <row r="27" spans="1:12" ht="14" x14ac:dyDescent="0.15">
      <c r="A27" s="27" t="s">
        <v>30</v>
      </c>
      <c r="B27" s="32">
        <f>'WMT Income Statement'!B27/'WMT Income Statement'!B$18</f>
        <v>5.106341796887065E-2</v>
      </c>
      <c r="C27" s="32">
        <f>'WMT Income Statement'!C27/'WMT Income Statement'!C$18</f>
        <v>4.4880011615124553E-2</v>
      </c>
      <c r="D27" s="32">
        <f>'WMT Income Statement'!D27/'WMT Income Statement'!D$18</f>
        <v>4.218592101228099E-2</v>
      </c>
      <c r="E27" s="32">
        <f>'WMT Income Statement'!E27/'WMT Income Statement'!E$18</f>
        <v>3.0225265467889027E-2</v>
      </c>
      <c r="F27" s="32">
        <f>'WMT Income Statement'!F27/'WMT Income Statement'!F$18</f>
        <v>2.2278166036488758E-2</v>
      </c>
      <c r="G27" s="32">
        <f>'WMT Income Statement'!G27/'WMT Income Statement'!G$18</f>
        <v>3.8391950592025409E-2</v>
      </c>
      <c r="H27" s="32">
        <f>'WMT Income Statement'!H27/'WMT Income Statement'!H$18</f>
        <v>3.6777185411454152E-2</v>
      </c>
      <c r="I27" s="32">
        <f>'WMT Income Statement'!I27/'WMT Income Statement'!I$18</f>
        <v>3.2642286217119391E-2</v>
      </c>
      <c r="J27" s="32">
        <f>'WMT Income Statement'!J27/'WMT Income Statement'!J$18</f>
        <v>2.7836260753915088E-2</v>
      </c>
      <c r="K27" s="32">
        <f>'WMT Income Statement'!K27/'WMT Income Statement'!K$18</f>
        <v>3.3709546769527483E-2</v>
      </c>
      <c r="L27" s="27"/>
    </row>
    <row r="28" spans="1:12" ht="14" x14ac:dyDescent="0.15">
      <c r="A28" s="27" t="s">
        <v>31</v>
      </c>
      <c r="B28" s="32">
        <f>'WMT Income Statement'!B28/'WMT Income Statement'!B$18</f>
        <v>1.6441848158451233E-2</v>
      </c>
      <c r="C28" s="32">
        <f>'WMT Income Statement'!C28/'WMT Income Statement'!C$18</f>
        <v>1.3602140501524486E-2</v>
      </c>
      <c r="D28" s="32">
        <f>'WMT Income Statement'!D28/'WMT Income Statement'!D$18</f>
        <v>1.2768768793491304E-2</v>
      </c>
      <c r="E28" s="32">
        <f>'WMT Income Statement'!E28/'WMT Income Statement'!E$18</f>
        <v>9.1936931265152108E-3</v>
      </c>
      <c r="F28" s="32">
        <f>'WMT Income Statement'!F28/'WMT Income Statement'!F$18</f>
        <v>8.3222363701752518E-3</v>
      </c>
      <c r="G28" s="32">
        <f>'WMT Income Statement'!G28/'WMT Income Statement'!G$18</f>
        <v>9.3804154483895837E-3</v>
      </c>
      <c r="H28" s="32">
        <f>'WMT Income Statement'!H28/'WMT Income Statement'!H$18</f>
        <v>1.2265023222707283E-2</v>
      </c>
      <c r="I28" s="32">
        <f>'WMT Income Statement'!I28/'WMT Income Statement'!I$18</f>
        <v>8.3037394762847574E-3</v>
      </c>
      <c r="J28" s="32">
        <f>'WMT Income Statement'!J28/'WMT Income Statement'!J$18</f>
        <v>9.3638197317471774E-3</v>
      </c>
      <c r="K28" s="32">
        <f>'WMT Income Statement'!K28/'WMT Income Statement'!K$18</f>
        <v>8.6063645130183223E-3</v>
      </c>
      <c r="L28" s="27"/>
    </row>
    <row r="29" spans="1:12" ht="14" x14ac:dyDescent="0.15">
      <c r="A29" s="27" t="s">
        <v>144</v>
      </c>
      <c r="B29" s="32">
        <f>'WMT Income Statement'!B29/'WMT Income Statement'!B$18</f>
        <v>1.5154915772849227E-3</v>
      </c>
      <c r="C29" s="32">
        <f>'WMT Income Statement'!C29/'WMT Income Statement'!C$18</f>
        <v>8.0061394229772058E-4</v>
      </c>
      <c r="D29" s="32">
        <f>'WMT Income Statement'!D29/'WMT Income Statement'!D$18</f>
        <v>1.3377981488989922E-3</v>
      </c>
      <c r="E29" s="32">
        <f>'WMT Income Statement'!E29/'WMT Income Statement'!E$18</f>
        <v>1.3210937297014249E-3</v>
      </c>
      <c r="F29" s="32">
        <f>'WMT Income Statement'!F29/'WMT Income Statement'!F$18</f>
        <v>9.8949271488418659E-4</v>
      </c>
      <c r="G29" s="32">
        <f>'WMT Income Statement'!G29/'WMT Income Statement'!G$18</f>
        <v>6.1072898138040017E-4</v>
      </c>
      <c r="H29" s="32">
        <f>'WMT Income Statement'!H29/'WMT Income Statement'!H$18</f>
        <v>3.5053143068688064E-4</v>
      </c>
      <c r="I29" s="32">
        <f>'WMT Income Statement'!I29/'WMT Income Statement'!I$18</f>
        <v>4.6616872165013254E-4</v>
      </c>
      <c r="J29" s="32">
        <f>'WMT Income Statement'!J29/'WMT Income Statement'!J$18</f>
        <v>-6.3472432842730687E-4</v>
      </c>
      <c r="K29" s="32">
        <f>'WMT Income Statement'!K29/'WMT Income Statement'!K$18</f>
        <v>1.1710703953712633E-3</v>
      </c>
      <c r="L29" s="27"/>
    </row>
    <row r="30" spans="1:12" s="29" customFormat="1" ht="14" x14ac:dyDescent="0.15">
      <c r="A30" s="28" t="s">
        <v>32</v>
      </c>
      <c r="B30" s="33">
        <f>'WMT Income Statement'!B30/'WMT Income Statement'!B$18</f>
        <v>3.369291940096901E-2</v>
      </c>
      <c r="C30" s="33">
        <f>'WMT Income Statement'!C30/'WMT Income Statement'!C$18</f>
        <v>3.0477257171302344E-2</v>
      </c>
      <c r="D30" s="33">
        <f>'WMT Income Statement'!D30/'WMT Income Statement'!D$18</f>
        <v>2.8079354069890691E-2</v>
      </c>
      <c r="E30" s="33">
        <f>'WMT Income Statement'!E30/'WMT Income Statement'!E$18</f>
        <v>1.9710478611672393E-2</v>
      </c>
      <c r="F30" s="33">
        <f>'WMT Income Statement'!F30/'WMT Income Statement'!F$18</f>
        <v>1.2966436951429322E-2</v>
      </c>
      <c r="G30" s="33">
        <f>'WMT Income Statement'!G30/'WMT Income Statement'!G$18</f>
        <v>2.8400806162255422E-2</v>
      </c>
      <c r="H30" s="33">
        <f>'WMT Income Statement'!H30/'WMT Income Statement'!H$18</f>
        <v>2.4161630758059986E-2</v>
      </c>
      <c r="I30" s="33">
        <f>'WMT Income Statement'!I30/'WMT Income Statement'!I$18</f>
        <v>2.3872378019184501E-2</v>
      </c>
      <c r="J30" s="33">
        <f>'WMT Income Statement'!J30/'WMT Income Statement'!J$18</f>
        <v>1.9107165350595218E-2</v>
      </c>
      <c r="K30" s="33">
        <f>'WMT Income Statement'!K30/'WMT Income Statement'!K$18</f>
        <v>2.3932111861137896E-2</v>
      </c>
      <c r="L30" s="28"/>
    </row>
    <row r="31" spans="1:12" ht="14" x14ac:dyDescent="0.15">
      <c r="A31" s="27" t="s">
        <v>34</v>
      </c>
      <c r="B31" s="32">
        <f>'WMT Income Statement'!B31/'WMT Income Statement'!B$18</f>
        <v>3.369291940096901E-2</v>
      </c>
      <c r="C31" s="32">
        <f>'WMT Income Statement'!C31/'WMT Income Statement'!C$18</f>
        <v>3.0477257171302344E-2</v>
      </c>
      <c r="D31" s="32">
        <f>'WMT Income Statement'!D31/'WMT Income Statement'!D$18</f>
        <v>2.8079354069890691E-2</v>
      </c>
      <c r="E31" s="32">
        <f>'WMT Income Statement'!E31/'WMT Income Statement'!E$18</f>
        <v>1.9710478611672393E-2</v>
      </c>
      <c r="F31" s="32">
        <f>'WMT Income Statement'!F31/'WMT Income Statement'!F$18</f>
        <v>1.2966436951429322E-2</v>
      </c>
      <c r="G31" s="32">
        <f>'WMT Income Statement'!G31/'WMT Income Statement'!G$18</f>
        <v>2.8400806162255422E-2</v>
      </c>
      <c r="H31" s="32">
        <f>'WMT Income Statement'!H31/'WMT Income Statement'!H$18</f>
        <v>2.4161630758059986E-2</v>
      </c>
      <c r="I31" s="32">
        <f>'WMT Income Statement'!I31/'WMT Income Statement'!I$18</f>
        <v>2.3872378019184501E-2</v>
      </c>
      <c r="J31" s="32">
        <f>'WMT Income Statement'!J31/'WMT Income Statement'!J$18</f>
        <v>1.9107165350595218E-2</v>
      </c>
      <c r="K31" s="32">
        <f>'WMT Income Statement'!K31/'WMT Income Statement'!K$18</f>
        <v>2.3932111861137896E-2</v>
      </c>
      <c r="L31" s="27"/>
    </row>
    <row r="32" spans="1:12" ht="14" x14ac:dyDescent="0.15">
      <c r="A32" s="27" t="s">
        <v>35</v>
      </c>
      <c r="B32" s="32">
        <f>'WMT Income Statement'!B32/'WMT Income Statement'!B$18</f>
        <v>1.9952599706373506E-2</v>
      </c>
      <c r="C32" s="32">
        <f>'WMT Income Statement'!C32/'WMT Income Statement'!C$18</f>
        <v>1.9955198805301475E-2</v>
      </c>
      <c r="D32" s="32">
        <f>'WMT Income Statement'!D32/'WMT Income Statement'!D$18</f>
        <v>1.9146978737242037E-2</v>
      </c>
      <c r="E32" s="32">
        <f>'WMT Income Statement'!E32/'WMT Income Statement'!E$18</f>
        <v>1.7957681030812862E-2</v>
      </c>
      <c r="F32" s="32">
        <f>'WMT Income Statement'!F32/'WMT Income Statement'!F$18</f>
        <v>1.7081871288187323E-2</v>
      </c>
      <c r="G32" s="32">
        <f>'WMT Income Statement'!G32/'WMT Income Statement'!G$18</f>
        <v>1.6317914971257567E-2</v>
      </c>
      <c r="H32" s="32">
        <f>'WMT Income Statement'!H32/'WMT Income Statement'!H$18</f>
        <v>1.5189099187875905E-2</v>
      </c>
      <c r="I32" s="32">
        <f>'WMT Income Statement'!I32/'WMT Income Statement'!I$18</f>
        <v>1.4624079447721011E-2</v>
      </c>
      <c r="J32" s="32">
        <f>'WMT Income Statement'!J32/'WMT Income Statement'!J$18</f>
        <v>1.3368472195639051E-2</v>
      </c>
      <c r="K32" s="32">
        <f>'WMT Income Statement'!K32/'WMT Income Statement'!K$18</f>
        <v>1.2462102217936356E-2</v>
      </c>
      <c r="L32" s="27"/>
    </row>
    <row r="33" spans="1:12" ht="14" x14ac:dyDescent="0.15">
      <c r="A33" s="27" t="s">
        <v>36</v>
      </c>
      <c r="B33" s="32">
        <f>'WMT Income Statement'!B33/'WMT Income Statement'!B$18</f>
        <v>3.4798651706678252E-9</v>
      </c>
      <c r="C33" s="32">
        <f>'WMT Income Statement'!C33/'WMT Income Statement'!C$18</f>
        <v>3.1734179578122082E-9</v>
      </c>
      <c r="D33" s="32">
        <f>'WMT Income Statement'!D33/'WMT Income Statement'!D$18</f>
        <v>3.0254819675100284E-9</v>
      </c>
      <c r="E33" s="32">
        <f>'WMT Income Statement'!E33/'WMT Income Statement'!E$18</f>
        <v>2.1984918346014635E-9</v>
      </c>
      <c r="F33" s="32">
        <f>'WMT Income Statement'!F33/'WMT Income Statement'!F$18</f>
        <v>1.4774350949154849E-9</v>
      </c>
      <c r="G33" s="32">
        <f>'WMT Income Statement'!G33/'WMT Income Statement'!G$18</f>
        <v>3.3208388362559259E-9</v>
      </c>
      <c r="H33" s="32">
        <f>'WMT Income Statement'!H33/'WMT Income Statement'!H$18</f>
        <v>2.8435968101639807E-9</v>
      </c>
      <c r="I33" s="32">
        <f>'WMT Income Statement'!I33/'WMT Income Statement'!I$18</f>
        <v>2.8458989374146665E-9</v>
      </c>
      <c r="J33" s="32">
        <f>'WMT Income Statement'!J33/'WMT Income Statement'!J$18</f>
        <v>2.3393190454923937E-9</v>
      </c>
      <c r="K33" s="32">
        <f>'WMT Income Statement'!K33/'WMT Income Statement'!K$18</f>
        <v>2.9623915139826423E-9</v>
      </c>
      <c r="L33" s="27"/>
    </row>
    <row r="34" spans="1:12" ht="14" x14ac:dyDescent="0.15">
      <c r="A34" s="27" t="s">
        <v>37</v>
      </c>
      <c r="B34" s="32">
        <f>'WMT Income Statement'!B34/'WMT Income Statement'!B$18</f>
        <v>3.438683334328561E-9</v>
      </c>
      <c r="C34" s="32">
        <f>'WMT Income Statement'!C34/'WMT Income Statement'!C$18</f>
        <v>3.1734179578122082E-9</v>
      </c>
      <c r="D34" s="32">
        <f>'WMT Income Statement'!D34/'WMT Income Statement'!D$18</f>
        <v>3.0254819675100284E-9</v>
      </c>
      <c r="E34" s="32">
        <f>'WMT Income Statement'!E34/'WMT Income Statement'!E$18</f>
        <v>2.1984918346014635E-9</v>
      </c>
      <c r="F34" s="32">
        <f>'WMT Income Statement'!F34/'WMT Income Statement'!F$18</f>
        <v>1.4774350949154849E-9</v>
      </c>
      <c r="G34" s="32">
        <f>'WMT Income Statement'!G34/'WMT Income Statement'!G$18</f>
        <v>3.3208388362559259E-9</v>
      </c>
      <c r="H34" s="32">
        <f>'WMT Income Statement'!H34/'WMT Income Statement'!H$18</f>
        <v>2.8435968101639807E-9</v>
      </c>
      <c r="I34" s="32">
        <f>'WMT Income Statement'!I34/'WMT Income Statement'!I$18</f>
        <v>2.8458989374146665E-9</v>
      </c>
      <c r="J34" s="32">
        <f>'WMT Income Statement'!J34/'WMT Income Statement'!J$18</f>
        <v>2.3393190454923937E-9</v>
      </c>
      <c r="K34" s="32">
        <f>'WMT Income Statement'!K34/'WMT Income Statement'!K$18</f>
        <v>2.9623915139826423E-9</v>
      </c>
      <c r="L34" s="27"/>
    </row>
    <row r="35" spans="1:12" ht="14" x14ac:dyDescent="0.15">
      <c r="A35" s="27" t="s">
        <v>38</v>
      </c>
      <c r="B35" s="32">
        <f>'WMT Income Statement'!B35/'WMT Income Statement'!B$18</f>
        <v>2.0032904287235073E-2</v>
      </c>
      <c r="C35" s="32">
        <f>'WMT Income Statement'!C35/'WMT Income Statement'!C$18</f>
        <v>2.0017422686827203E-2</v>
      </c>
      <c r="D35" s="32">
        <f>'WMT Income Statement'!D35/'WMT Income Statement'!D$18</f>
        <v>1.9214897720186138E-2</v>
      </c>
      <c r="E35" s="32">
        <f>'WMT Income Statement'!E35/'WMT Income Statement'!E$18</f>
        <v>1.8047619333137466E-2</v>
      </c>
      <c r="F35" s="32">
        <f>'WMT Income Statement'!F35/'WMT Income Statement'!F$18</f>
        <v>1.717518297839251E-2</v>
      </c>
      <c r="G35" s="32">
        <f>'WMT Income Statement'!G35/'WMT Income Statement'!G$18</f>
        <v>1.6420975486865511E-2</v>
      </c>
      <c r="H35" s="32">
        <f>'WMT Income Statement'!H35/'WMT Income Statement'!H$18</f>
        <v>1.5274943619880856E-2</v>
      </c>
      <c r="I35" s="32">
        <f>'WMT Income Statement'!I35/'WMT Income Statement'!I$18</f>
        <v>1.469217150818676E-2</v>
      </c>
      <c r="J35" s="32">
        <f>'WMT Income Statement'!J35/'WMT Income Statement'!J$18</f>
        <v>1.3417548818971059E-2</v>
      </c>
      <c r="K35" s="32">
        <f>'WMT Income Statement'!K35/'WMT Income Statement'!K$18</f>
        <v>1.25099324975892E-2</v>
      </c>
      <c r="L35" s="27"/>
    </row>
    <row r="36" spans="1:12" ht="14" x14ac:dyDescent="0.15">
      <c r="A36" s="27" t="s">
        <v>39</v>
      </c>
      <c r="B36" s="32">
        <f>'WMT Income Statement'!B36/'WMT Income Statement'!B$18</f>
        <v>3.4592742524981929E-9</v>
      </c>
      <c r="C36" s="32">
        <f>'WMT Income Statement'!C36/'WMT Income Statement'!C$18</f>
        <v>3.1526766639702985E-9</v>
      </c>
      <c r="D36" s="32">
        <f>'WMT Income Statement'!D36/'WMT Income Statement'!D$18</f>
        <v>3.0049004575269668E-9</v>
      </c>
      <c r="E36" s="32">
        <f>'WMT Income Statement'!E36/'WMT Income Statement'!E$18</f>
        <v>2.1785055451959955E-9</v>
      </c>
      <c r="F36" s="32">
        <f>'WMT Income Statement'!F36/'WMT Income Statement'!F$18</f>
        <v>1.4579951594560705E-9</v>
      </c>
      <c r="G36" s="32">
        <f>'WMT Income Statement'!G36/'WMT Income Statement'!G$18</f>
        <v>3.3017535555877883E-9</v>
      </c>
      <c r="H36" s="32">
        <f>'WMT Income Statement'!H36/'WMT Income Statement'!H$18</f>
        <v>2.8257125534962829E-9</v>
      </c>
      <c r="I36" s="32">
        <f>'WMT Income Statement'!I36/'WMT Income Statement'!I$18</f>
        <v>2.8284394347311414E-9</v>
      </c>
      <c r="J36" s="32">
        <f>'WMT Income Statement'!J36/'WMT Income Statement'!J$18</f>
        <v>2.3229601710483912E-9</v>
      </c>
      <c r="K36" s="32">
        <f>'WMT Income Statement'!K36/'WMT Income Statement'!K$18</f>
        <v>2.9469623915139825E-9</v>
      </c>
      <c r="L36" s="27"/>
    </row>
    <row r="37" spans="1:12" ht="14" x14ac:dyDescent="0.15">
      <c r="A37" s="27" t="s">
        <v>40</v>
      </c>
      <c r="B37" s="32">
        <f>'WMT Income Statement'!B37/'WMT Income Statement'!B$18</f>
        <v>3.4180924161589287E-9</v>
      </c>
      <c r="C37" s="32">
        <f>'WMT Income Statement'!C37/'WMT Income Statement'!C$18</f>
        <v>3.1526766639702985E-9</v>
      </c>
      <c r="D37" s="32">
        <f>'WMT Income Statement'!D37/'WMT Income Statement'!D$18</f>
        <v>3.0049004575269668E-9</v>
      </c>
      <c r="E37" s="32">
        <f>'WMT Income Statement'!E37/'WMT Income Statement'!E$18</f>
        <v>2.1785055451959955E-9</v>
      </c>
      <c r="F37" s="32">
        <f>'WMT Income Statement'!F37/'WMT Income Statement'!F$18</f>
        <v>1.4579951594560705E-9</v>
      </c>
      <c r="G37" s="32">
        <f>'WMT Income Statement'!G37/'WMT Income Statement'!G$18</f>
        <v>3.3017535555877883E-9</v>
      </c>
      <c r="H37" s="32">
        <f>'WMT Income Statement'!H37/'WMT Income Statement'!H$18</f>
        <v>2.8257125534962829E-9</v>
      </c>
      <c r="I37" s="32">
        <f>'WMT Income Statement'!I37/'WMT Income Statement'!I$18</f>
        <v>2.8284394347311414E-9</v>
      </c>
      <c r="J37" s="32">
        <f>'WMT Income Statement'!J37/'WMT Income Statement'!J$18</f>
        <v>2.3229601710483912E-9</v>
      </c>
      <c r="K37" s="32">
        <f>'WMT Income Statement'!K37/'WMT Income Statement'!K$18</f>
        <v>2.9469623915139825E-9</v>
      </c>
      <c r="L37" s="27"/>
    </row>
    <row r="38" spans="1:12" ht="14" x14ac:dyDescent="0.15">
      <c r="A38" s="27" t="s">
        <v>41</v>
      </c>
      <c r="B38" s="32">
        <f>'WMT Income Statement'!B38/'WMT Income Statement'!B$18</f>
        <v>1.9940245155471728E-2</v>
      </c>
      <c r="C38" s="32">
        <f>'WMT Income Statement'!C38/'WMT Income Statement'!C$18</f>
        <v>1.9675191338435691E-2</v>
      </c>
      <c r="D38" s="32">
        <f>'WMT Income Statement'!D38/'WMT Income Statement'!D$18</f>
        <v>1.8819732728511361E-2</v>
      </c>
      <c r="E38" s="32">
        <f>'WMT Income Statement'!E38/'WMT Income Statement'!E$18</f>
        <v>1.7699857897482327E-2</v>
      </c>
      <c r="F38" s="32">
        <f>'WMT Income Statement'!F38/'WMT Income Statement'!F$18</f>
        <v>1.6784440275658286E-2</v>
      </c>
      <c r="G38" s="32">
        <f>'WMT Income Statement'!G38/'WMT Income Statement'!G$18</f>
        <v>1.6214854455649626E-2</v>
      </c>
      <c r="H38" s="32">
        <f>'WMT Income Statement'!H38/'WMT Income Statement'!H$18</f>
        <v>1.5135446417872811E-2</v>
      </c>
      <c r="I38" s="32">
        <f>'WMT Income Statement'!I38/'WMT Income Statement'!I$18</f>
        <v>1.4461706072764223E-2</v>
      </c>
      <c r="J38" s="32">
        <f>'WMT Income Statement'!J38/'WMT Income Statement'!J$18</f>
        <v>1.3216334663309825E-2</v>
      </c>
      <c r="K38" s="32">
        <f>'WMT Income Statement'!K38/'WMT Income Statement'!K$18</f>
        <v>1.2426615236258438E-2</v>
      </c>
      <c r="L38" s="27"/>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0901D-0D70-9448-B87A-9E3799913788}">
  <dimension ref="A4:L46"/>
  <sheetViews>
    <sheetView topLeftCell="A14" workbookViewId="0">
      <selection activeCell="N73" sqref="N73"/>
    </sheetView>
  </sheetViews>
  <sheetFormatPr baseColWidth="10" defaultColWidth="8.83203125" defaultRowHeight="13" x14ac:dyDescent="0.15"/>
  <cols>
    <col min="1" max="1" width="50" style="20" customWidth="1"/>
    <col min="2" max="11" width="14.6640625" style="20" bestFit="1" customWidth="1"/>
    <col min="12" max="191" width="12" style="20" customWidth="1"/>
    <col min="192" max="16384" width="8.83203125" style="20"/>
  </cols>
  <sheetData>
    <row r="4" spans="1:12" x14ac:dyDescent="0.15">
      <c r="A4" s="21" t="s">
        <v>0</v>
      </c>
    </row>
    <row r="5" spans="1:12" ht="20" x14ac:dyDescent="0.2">
      <c r="A5" s="22" t="s">
        <v>134</v>
      </c>
    </row>
    <row r="7" spans="1:12" ht="14" x14ac:dyDescent="0.15">
      <c r="A7" s="23" t="s">
        <v>2</v>
      </c>
    </row>
    <row r="10" spans="1:12" ht="14" x14ac:dyDescent="0.15">
      <c r="A10" s="24" t="s">
        <v>47</v>
      </c>
    </row>
    <row r="11" spans="1:12" ht="14" x14ac:dyDescent="0.15">
      <c r="A11" s="25" t="s">
        <v>4</v>
      </c>
      <c r="B11" s="26" t="s">
        <v>135</v>
      </c>
      <c r="C11" s="26" t="s">
        <v>13</v>
      </c>
      <c r="D11" s="26" t="s">
        <v>136</v>
      </c>
      <c r="E11" s="26" t="s">
        <v>137</v>
      </c>
      <c r="F11" s="26" t="s">
        <v>138</v>
      </c>
      <c r="G11" s="26" t="s">
        <v>139</v>
      </c>
      <c r="H11" s="26" t="s">
        <v>8</v>
      </c>
      <c r="I11" s="26" t="s">
        <v>140</v>
      </c>
      <c r="J11" s="26" t="s">
        <v>141</v>
      </c>
      <c r="K11" s="26" t="s">
        <v>142</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x14ac:dyDescent="0.15">
      <c r="A16" s="27" t="s">
        <v>48</v>
      </c>
      <c r="B16" s="70">
        <v>9135000</v>
      </c>
      <c r="C16" s="70">
        <v>8705000</v>
      </c>
      <c r="D16" s="70">
        <v>6867000</v>
      </c>
      <c r="E16" s="70">
        <v>6756000</v>
      </c>
      <c r="F16" s="70">
        <v>7722000</v>
      </c>
      <c r="G16" s="70">
        <v>9465000</v>
      </c>
      <c r="H16" s="70">
        <v>17741000</v>
      </c>
      <c r="I16" s="70">
        <v>14760000</v>
      </c>
      <c r="J16" s="70">
        <v>8625000</v>
      </c>
      <c r="K16" s="70">
        <v>9867000</v>
      </c>
      <c r="L16" s="27"/>
    </row>
    <row r="17" spans="1:12" x14ac:dyDescent="0.15">
      <c r="A17" s="27" t="s">
        <v>49</v>
      </c>
      <c r="B17" s="70">
        <v>9135000</v>
      </c>
      <c r="C17" s="70">
        <v>8705000</v>
      </c>
      <c r="D17" s="70">
        <v>6867000</v>
      </c>
      <c r="E17" s="70">
        <v>6756000</v>
      </c>
      <c r="F17" s="70">
        <v>7722000</v>
      </c>
      <c r="G17" s="70">
        <v>9465000</v>
      </c>
      <c r="H17" s="70">
        <v>17741000</v>
      </c>
      <c r="I17" s="70">
        <v>14760000</v>
      </c>
      <c r="J17" s="70">
        <v>8625000</v>
      </c>
      <c r="K17" s="70">
        <v>9867000</v>
      </c>
      <c r="L17" s="27"/>
    </row>
    <row r="18" spans="1:12" x14ac:dyDescent="0.15">
      <c r="A18" s="27" t="s">
        <v>50</v>
      </c>
      <c r="B18" s="70">
        <v>6778000</v>
      </c>
      <c r="C18" s="70">
        <v>5624000</v>
      </c>
      <c r="D18" s="70">
        <v>5835000</v>
      </c>
      <c r="E18" s="70">
        <v>5614000</v>
      </c>
      <c r="F18" s="70">
        <v>6283000</v>
      </c>
      <c r="G18" s="70">
        <v>6284000</v>
      </c>
      <c r="H18" s="70">
        <v>6516000</v>
      </c>
      <c r="I18" s="70">
        <v>8280000</v>
      </c>
      <c r="J18" s="70">
        <v>7933000</v>
      </c>
      <c r="K18" s="70">
        <v>8796000</v>
      </c>
      <c r="L18" s="27"/>
    </row>
    <row r="19" spans="1:12" x14ac:dyDescent="0.15">
      <c r="A19" s="27" t="s">
        <v>51</v>
      </c>
      <c r="B19" s="70">
        <v>45141000</v>
      </c>
      <c r="C19" s="70">
        <v>44469000</v>
      </c>
      <c r="D19" s="70">
        <v>43046000</v>
      </c>
      <c r="E19" s="70">
        <v>43783000</v>
      </c>
      <c r="F19" s="70">
        <v>44269000</v>
      </c>
      <c r="G19" s="70">
        <v>44435000</v>
      </c>
      <c r="H19" s="70">
        <v>44949000</v>
      </c>
      <c r="I19" s="70">
        <v>56511000</v>
      </c>
      <c r="J19" s="70">
        <v>56576000</v>
      </c>
      <c r="K19" s="70">
        <v>54892000</v>
      </c>
      <c r="L19" s="27"/>
    </row>
    <row r="20" spans="1:12" x14ac:dyDescent="0.15">
      <c r="A20" s="27" t="s">
        <v>52</v>
      </c>
      <c r="B20" s="70">
        <v>2224000</v>
      </c>
      <c r="C20" s="70">
        <v>1441000</v>
      </c>
      <c r="D20" s="70">
        <v>1941000</v>
      </c>
      <c r="E20" s="70">
        <v>3511000</v>
      </c>
      <c r="F20" s="70">
        <v>3623000</v>
      </c>
      <c r="G20" s="70">
        <v>1622000</v>
      </c>
      <c r="H20" s="70">
        <v>20861000</v>
      </c>
      <c r="I20" s="70">
        <v>1519000</v>
      </c>
      <c r="J20" s="70">
        <v>2521000</v>
      </c>
      <c r="K20" s="70">
        <v>0</v>
      </c>
      <c r="L20" s="27"/>
    </row>
    <row r="21" spans="1:12" s="29" customFormat="1" ht="14" x14ac:dyDescent="0.15">
      <c r="A21" s="28" t="s">
        <v>53</v>
      </c>
      <c r="B21" s="71">
        <v>63278000</v>
      </c>
      <c r="C21" s="71">
        <v>60239000</v>
      </c>
      <c r="D21" s="71">
        <v>57689000</v>
      </c>
      <c r="E21" s="71">
        <v>59664000</v>
      </c>
      <c r="F21" s="71">
        <v>61897000</v>
      </c>
      <c r="G21" s="71">
        <v>61806000</v>
      </c>
      <c r="H21" s="71">
        <v>90067000</v>
      </c>
      <c r="I21" s="71">
        <v>81070000</v>
      </c>
      <c r="J21" s="71">
        <v>75655000</v>
      </c>
      <c r="K21" s="71">
        <v>76877000</v>
      </c>
      <c r="L21" s="28"/>
    </row>
    <row r="22" spans="1:12" x14ac:dyDescent="0.15">
      <c r="A22" s="27" t="s">
        <v>54</v>
      </c>
      <c r="B22" s="70">
        <v>177395000</v>
      </c>
      <c r="C22" s="70">
        <v>176958000</v>
      </c>
      <c r="D22" s="70">
        <v>179492000</v>
      </c>
      <c r="E22" s="70">
        <v>185154000</v>
      </c>
      <c r="F22" s="70">
        <v>185810000</v>
      </c>
      <c r="G22" s="70">
        <v>195028000</v>
      </c>
      <c r="H22" s="70">
        <v>180571000</v>
      </c>
      <c r="I22" s="70">
        <v>189324000</v>
      </c>
      <c r="J22" s="70">
        <v>202370000</v>
      </c>
      <c r="K22" s="70">
        <v>219859000</v>
      </c>
      <c r="L22" s="27"/>
    </row>
    <row r="23" spans="1:12" x14ac:dyDescent="0.15">
      <c r="A23" s="27" t="s">
        <v>55</v>
      </c>
      <c r="B23" s="70">
        <v>63115000</v>
      </c>
      <c r="C23" s="70">
        <v>66787000</v>
      </c>
      <c r="D23" s="70">
        <v>71782000</v>
      </c>
      <c r="E23" s="70">
        <v>77479000</v>
      </c>
      <c r="F23" s="70">
        <v>81493000</v>
      </c>
      <c r="G23" s="70">
        <v>89820000</v>
      </c>
      <c r="H23" s="70">
        <v>88370000</v>
      </c>
      <c r="I23" s="70">
        <v>94809000</v>
      </c>
      <c r="J23" s="70">
        <v>101610000</v>
      </c>
      <c r="K23" s="70">
        <v>109049000</v>
      </c>
      <c r="L23" s="27"/>
    </row>
    <row r="24" spans="1:12" x14ac:dyDescent="0.15">
      <c r="A24" s="27" t="s">
        <v>56</v>
      </c>
      <c r="B24" s="70">
        <v>114280000</v>
      </c>
      <c r="C24" s="70">
        <v>110171000</v>
      </c>
      <c r="D24" s="70">
        <v>107710000</v>
      </c>
      <c r="E24" s="70">
        <v>107675000</v>
      </c>
      <c r="F24" s="70">
        <v>104317000</v>
      </c>
      <c r="G24" s="70">
        <v>105208000</v>
      </c>
      <c r="H24" s="70">
        <v>92201000</v>
      </c>
      <c r="I24" s="70">
        <v>94515000</v>
      </c>
      <c r="J24" s="70">
        <v>100760000</v>
      </c>
      <c r="K24" s="70">
        <v>110810000</v>
      </c>
      <c r="L24" s="27"/>
    </row>
    <row r="25" spans="1:12" x14ac:dyDescent="0.15">
      <c r="A25" s="27" t="s">
        <v>57</v>
      </c>
      <c r="B25" s="70">
        <v>18102000</v>
      </c>
      <c r="C25" s="70">
        <v>16695000</v>
      </c>
      <c r="D25" s="70">
        <v>17037000</v>
      </c>
      <c r="E25" s="70">
        <v>18242000</v>
      </c>
      <c r="F25" s="70">
        <v>31181000</v>
      </c>
      <c r="G25" s="70">
        <v>31073000</v>
      </c>
      <c r="H25" s="70">
        <v>28983000</v>
      </c>
      <c r="I25" s="70">
        <v>29014000</v>
      </c>
      <c r="J25" s="70">
        <v>28174000</v>
      </c>
      <c r="K25" s="70">
        <v>28113000</v>
      </c>
      <c r="L25" s="27"/>
    </row>
    <row r="26" spans="1:12" x14ac:dyDescent="0.15">
      <c r="A26" s="27" t="s">
        <v>58</v>
      </c>
      <c r="B26" s="70">
        <v>8046000</v>
      </c>
      <c r="C26" s="70">
        <v>12476000</v>
      </c>
      <c r="D26" s="70">
        <v>16389000</v>
      </c>
      <c r="E26" s="70">
        <v>18941000</v>
      </c>
      <c r="F26" s="70">
        <v>21900000</v>
      </c>
      <c r="G26" s="70">
        <v>38408000</v>
      </c>
      <c r="H26" s="70">
        <v>41245000</v>
      </c>
      <c r="I26" s="70">
        <v>40261000</v>
      </c>
      <c r="J26" s="70">
        <v>38608000</v>
      </c>
      <c r="K26" s="70">
        <v>36599000</v>
      </c>
      <c r="L26" s="27"/>
    </row>
    <row r="27" spans="1:12" s="29" customFormat="1" ht="14" x14ac:dyDescent="0.15">
      <c r="A27" s="28" t="s">
        <v>59</v>
      </c>
      <c r="B27" s="71">
        <v>203706000</v>
      </c>
      <c r="C27" s="71">
        <v>199581000</v>
      </c>
      <c r="D27" s="71">
        <v>198825000</v>
      </c>
      <c r="E27" s="71">
        <v>204522000</v>
      </c>
      <c r="F27" s="71">
        <v>219295000</v>
      </c>
      <c r="G27" s="71">
        <v>236495000</v>
      </c>
      <c r="H27" s="71">
        <v>252496000</v>
      </c>
      <c r="I27" s="71">
        <v>244860000</v>
      </c>
      <c r="J27" s="71">
        <v>243197000</v>
      </c>
      <c r="K27" s="71">
        <v>252399000</v>
      </c>
      <c r="L27" s="28"/>
    </row>
    <row r="28" spans="1:12" x14ac:dyDescent="0.15">
      <c r="A28" s="27" t="s">
        <v>60</v>
      </c>
      <c r="B28" s="70">
        <v>58583000</v>
      </c>
      <c r="C28" s="70">
        <v>58615000</v>
      </c>
      <c r="D28" s="70">
        <v>63008000</v>
      </c>
      <c r="E28" s="70">
        <v>66842000</v>
      </c>
      <c r="F28" s="70">
        <v>67715000</v>
      </c>
      <c r="G28" s="70">
        <v>67559000</v>
      </c>
      <c r="H28" s="70">
        <v>72305000</v>
      </c>
      <c r="I28" s="70">
        <v>79592000</v>
      </c>
      <c r="J28" s="70">
        <v>83107000</v>
      </c>
      <c r="K28" s="70">
        <v>85878000</v>
      </c>
      <c r="L28" s="27"/>
    </row>
    <row r="29" spans="1:12" x14ac:dyDescent="0.15">
      <c r="A29" s="27" t="s">
        <v>61</v>
      </c>
      <c r="B29" s="70">
        <v>38410000</v>
      </c>
      <c r="C29" s="70">
        <v>38487000</v>
      </c>
      <c r="D29" s="70">
        <v>41433000</v>
      </c>
      <c r="E29" s="70">
        <v>46092000</v>
      </c>
      <c r="F29" s="70">
        <v>47060000</v>
      </c>
      <c r="G29" s="70">
        <v>46973000</v>
      </c>
      <c r="H29" s="70">
        <v>49141000</v>
      </c>
      <c r="I29" s="70">
        <v>55261000</v>
      </c>
      <c r="J29" s="70">
        <v>53742000</v>
      </c>
      <c r="K29" s="70">
        <v>56812000</v>
      </c>
      <c r="L29" s="27"/>
    </row>
    <row r="30" spans="1:12" x14ac:dyDescent="0.15">
      <c r="A30" s="27" t="s">
        <v>62</v>
      </c>
      <c r="B30" s="70">
        <v>20173000</v>
      </c>
      <c r="C30" s="70">
        <v>20128000</v>
      </c>
      <c r="D30" s="70">
        <v>21575000</v>
      </c>
      <c r="E30" s="70">
        <v>20750000</v>
      </c>
      <c r="F30" s="70">
        <v>20655000</v>
      </c>
      <c r="G30" s="70">
        <v>20586000</v>
      </c>
      <c r="H30" s="70">
        <v>23164000</v>
      </c>
      <c r="I30" s="70">
        <v>24331000</v>
      </c>
      <c r="J30" s="70">
        <v>29365000</v>
      </c>
      <c r="K30" s="70">
        <v>29066000</v>
      </c>
      <c r="L30" s="27"/>
    </row>
    <row r="31" spans="1:12" x14ac:dyDescent="0.15">
      <c r="A31" s="27" t="s">
        <v>63</v>
      </c>
      <c r="B31" s="70">
        <v>6402000</v>
      </c>
      <c r="C31" s="70">
        <v>5453000</v>
      </c>
      <c r="D31" s="70">
        <v>3355000</v>
      </c>
      <c r="E31" s="70">
        <v>8995000</v>
      </c>
      <c r="F31" s="70">
        <v>7101000</v>
      </c>
      <c r="G31" s="70">
        <v>5937000</v>
      </c>
      <c r="H31" s="70">
        <v>3339000</v>
      </c>
      <c r="I31" s="70">
        <v>3213000</v>
      </c>
      <c r="J31" s="70">
        <v>4563000</v>
      </c>
      <c r="K31" s="70">
        <v>4325000</v>
      </c>
      <c r="L31" s="27"/>
    </row>
    <row r="32" spans="1:12" x14ac:dyDescent="0.15">
      <c r="A32" s="27" t="s">
        <v>143</v>
      </c>
      <c r="B32" s="70">
        <v>287000</v>
      </c>
      <c r="C32" s="70">
        <v>551000</v>
      </c>
      <c r="D32" s="70">
        <v>565000</v>
      </c>
      <c r="E32" s="70">
        <v>667000</v>
      </c>
      <c r="F32" s="70">
        <v>729000</v>
      </c>
      <c r="G32" s="70">
        <v>511000</v>
      </c>
      <c r="H32" s="70">
        <v>491000</v>
      </c>
      <c r="I32" s="70">
        <v>511000</v>
      </c>
      <c r="J32" s="70">
        <v>567000</v>
      </c>
      <c r="K32" s="70">
        <v>725000</v>
      </c>
      <c r="L32" s="27"/>
    </row>
    <row r="33" spans="1:12" x14ac:dyDescent="0.15">
      <c r="A33" s="27" t="s">
        <v>64</v>
      </c>
      <c r="B33" s="70">
        <v>0</v>
      </c>
      <c r="C33" s="70">
        <v>0</v>
      </c>
      <c r="D33" s="70">
        <v>0</v>
      </c>
      <c r="E33" s="70">
        <v>2017000</v>
      </c>
      <c r="F33" s="70">
        <v>1932000</v>
      </c>
      <c r="G33" s="70">
        <v>3783000</v>
      </c>
      <c r="H33" s="70">
        <v>16510000</v>
      </c>
      <c r="I33" s="70">
        <v>4063000</v>
      </c>
      <c r="J33" s="70">
        <v>3961000</v>
      </c>
      <c r="K33" s="70">
        <v>1487000</v>
      </c>
      <c r="L33" s="27"/>
    </row>
    <row r="34" spans="1:12" s="29" customFormat="1" ht="14" x14ac:dyDescent="0.15">
      <c r="A34" s="28" t="s">
        <v>65</v>
      </c>
      <c r="B34" s="71">
        <v>65272000</v>
      </c>
      <c r="C34" s="71">
        <v>64619000</v>
      </c>
      <c r="D34" s="71">
        <v>66928000</v>
      </c>
      <c r="E34" s="71">
        <v>78521000</v>
      </c>
      <c r="F34" s="71">
        <v>77477000</v>
      </c>
      <c r="G34" s="71">
        <v>77790000</v>
      </c>
      <c r="H34" s="71">
        <v>92645000</v>
      </c>
      <c r="I34" s="71">
        <v>87379000</v>
      </c>
      <c r="J34" s="71">
        <v>92198000</v>
      </c>
      <c r="K34" s="71">
        <v>92415000</v>
      </c>
      <c r="L34" s="28"/>
    </row>
    <row r="35" spans="1:12" x14ac:dyDescent="0.15">
      <c r="A35" s="27" t="s">
        <v>66</v>
      </c>
      <c r="B35" s="70">
        <v>43692000</v>
      </c>
      <c r="C35" s="70">
        <v>44030000</v>
      </c>
      <c r="D35" s="70">
        <v>42018000</v>
      </c>
      <c r="E35" s="70">
        <v>36825000</v>
      </c>
      <c r="F35" s="70">
        <v>50203000</v>
      </c>
      <c r="G35" s="70">
        <v>48021000</v>
      </c>
      <c r="H35" s="70">
        <v>45041000</v>
      </c>
      <c r="I35" s="70">
        <v>39107000</v>
      </c>
      <c r="J35" s="70">
        <v>39492000</v>
      </c>
      <c r="K35" s="70">
        <v>41841000</v>
      </c>
      <c r="L35" s="27"/>
    </row>
    <row r="36" spans="1:12" x14ac:dyDescent="0.15">
      <c r="A36" s="27" t="s">
        <v>144</v>
      </c>
      <c r="B36" s="70">
        <v>4543000</v>
      </c>
      <c r="C36" s="70">
        <v>3065000</v>
      </c>
      <c r="D36" s="70">
        <v>2737000</v>
      </c>
      <c r="E36" s="70">
        <v>2953000</v>
      </c>
      <c r="F36" s="70">
        <v>7138000</v>
      </c>
      <c r="G36" s="70">
        <v>6883000</v>
      </c>
      <c r="H36" s="70">
        <v>6606000</v>
      </c>
      <c r="I36" s="70">
        <v>8638000</v>
      </c>
      <c r="J36" s="70">
        <v>7298000</v>
      </c>
      <c r="K36" s="70">
        <v>6710000</v>
      </c>
      <c r="L36" s="27"/>
    </row>
    <row r="37" spans="1:12" x14ac:dyDescent="0.15">
      <c r="A37" s="27" t="s">
        <v>68</v>
      </c>
      <c r="B37" s="70">
        <v>8805000</v>
      </c>
      <c r="C37" s="70">
        <v>7321000</v>
      </c>
      <c r="D37" s="70">
        <v>9344000</v>
      </c>
      <c r="E37" s="70">
        <v>8354000</v>
      </c>
      <c r="F37" s="70">
        <v>11981000</v>
      </c>
      <c r="G37" s="70">
        <v>29132000</v>
      </c>
      <c r="H37" s="70">
        <v>27279000</v>
      </c>
      <c r="I37" s="70">
        <v>26483000</v>
      </c>
      <c r="J37" s="70">
        <v>27516000</v>
      </c>
      <c r="K37" s="70">
        <v>12943000</v>
      </c>
      <c r="L37" s="27"/>
    </row>
    <row r="38" spans="1:12" s="29" customFormat="1" ht="14" x14ac:dyDescent="0.15">
      <c r="A38" s="28" t="s">
        <v>69</v>
      </c>
      <c r="B38" s="71">
        <v>122312000</v>
      </c>
      <c r="C38" s="71">
        <v>119035000</v>
      </c>
      <c r="D38" s="71">
        <v>121027000</v>
      </c>
      <c r="E38" s="71">
        <v>126653000</v>
      </c>
      <c r="F38" s="71">
        <v>146799000</v>
      </c>
      <c r="G38" s="71">
        <v>161826000</v>
      </c>
      <c r="H38" s="71">
        <v>171571000</v>
      </c>
      <c r="I38" s="71">
        <v>161607000</v>
      </c>
      <c r="J38" s="71">
        <v>166504000</v>
      </c>
      <c r="K38" s="71">
        <v>168538000</v>
      </c>
      <c r="L38" s="28"/>
    </row>
    <row r="39" spans="1:12" x14ac:dyDescent="0.15">
      <c r="A39" s="27" t="s">
        <v>70</v>
      </c>
      <c r="B39" s="70">
        <v>323000</v>
      </c>
      <c r="C39" s="70">
        <v>317000</v>
      </c>
      <c r="D39" s="70">
        <v>305000</v>
      </c>
      <c r="E39" s="70">
        <v>295000</v>
      </c>
      <c r="F39" s="70">
        <v>288000</v>
      </c>
      <c r="G39" s="70">
        <v>284000</v>
      </c>
      <c r="H39" s="70">
        <v>282000</v>
      </c>
      <c r="I39" s="70">
        <v>276000</v>
      </c>
      <c r="J39" s="70">
        <v>269000</v>
      </c>
      <c r="K39" s="70">
        <v>805000</v>
      </c>
      <c r="L39" s="27"/>
    </row>
    <row r="40" spans="1:12" x14ac:dyDescent="0.15">
      <c r="A40" s="27" t="s">
        <v>71</v>
      </c>
      <c r="B40" s="70">
        <v>2462000</v>
      </c>
      <c r="C40" s="70">
        <v>1805000</v>
      </c>
      <c r="D40" s="70">
        <v>2371000</v>
      </c>
      <c r="E40" s="70">
        <v>2648000</v>
      </c>
      <c r="F40" s="70">
        <v>2965000</v>
      </c>
      <c r="G40" s="70">
        <v>3247000</v>
      </c>
      <c r="H40" s="70">
        <v>3646000</v>
      </c>
      <c r="I40" s="70">
        <v>4839000</v>
      </c>
      <c r="J40" s="70">
        <v>4969000</v>
      </c>
      <c r="K40" s="70">
        <v>4544000</v>
      </c>
      <c r="L40" s="27"/>
    </row>
    <row r="41" spans="1:12" x14ac:dyDescent="0.15">
      <c r="A41" s="27" t="s">
        <v>72</v>
      </c>
      <c r="B41" s="70">
        <v>85777000</v>
      </c>
      <c r="C41" s="70">
        <v>90021000</v>
      </c>
      <c r="D41" s="70">
        <v>89354000</v>
      </c>
      <c r="E41" s="70">
        <v>85107000</v>
      </c>
      <c r="F41" s="70">
        <v>80785000</v>
      </c>
      <c r="G41" s="70">
        <v>83943000</v>
      </c>
      <c r="H41" s="70">
        <v>88763000</v>
      </c>
      <c r="I41" s="70">
        <v>86904000</v>
      </c>
      <c r="J41" s="70">
        <v>83135000</v>
      </c>
      <c r="K41" s="70">
        <v>89814000</v>
      </c>
      <c r="L41" s="27"/>
    </row>
    <row r="42" spans="1:12" x14ac:dyDescent="0.15">
      <c r="A42" s="27" t="s">
        <v>73</v>
      </c>
      <c r="B42" s="70">
        <v>-7168000</v>
      </c>
      <c r="C42" s="70">
        <v>-11597000</v>
      </c>
      <c r="D42" s="70">
        <v>-14232000</v>
      </c>
      <c r="E42" s="70">
        <v>-10181000</v>
      </c>
      <c r="F42" s="70">
        <v>-11542000</v>
      </c>
      <c r="G42" s="70">
        <v>-12805000</v>
      </c>
      <c r="H42" s="70">
        <v>-11766000</v>
      </c>
      <c r="I42" s="70">
        <v>-8766000</v>
      </c>
      <c r="J42" s="70">
        <v>-11680000</v>
      </c>
      <c r="K42" s="70">
        <v>-11302000</v>
      </c>
      <c r="L42" s="27"/>
    </row>
    <row r="43" spans="1:12" x14ac:dyDescent="0.15">
      <c r="A43" s="27" t="s">
        <v>145</v>
      </c>
      <c r="B43" s="70">
        <v>-6355000</v>
      </c>
      <c r="C43" s="70">
        <v>-11690000</v>
      </c>
      <c r="D43" s="70">
        <v>-14362000</v>
      </c>
      <c r="E43" s="70">
        <v>-12136000</v>
      </c>
      <c r="F43" s="70">
        <v>-12085000</v>
      </c>
      <c r="G43" s="70">
        <v>-11827000</v>
      </c>
      <c r="H43" s="70">
        <v>-10772000</v>
      </c>
      <c r="I43" s="70">
        <v>-8100000</v>
      </c>
      <c r="J43" s="70">
        <v>-10816000</v>
      </c>
      <c r="K43" s="70">
        <v>-10483000</v>
      </c>
      <c r="L43" s="27"/>
    </row>
    <row r="44" spans="1:12" x14ac:dyDescent="0.15">
      <c r="A44" s="27" t="s">
        <v>146</v>
      </c>
      <c r="B44" s="70">
        <v>6355000</v>
      </c>
      <c r="C44" s="70">
        <v>11690000</v>
      </c>
      <c r="D44" s="70">
        <v>14362000</v>
      </c>
      <c r="E44" s="70">
        <v>12136000</v>
      </c>
      <c r="F44" s="70">
        <v>12085000</v>
      </c>
      <c r="G44" s="70">
        <v>11827000</v>
      </c>
      <c r="H44" s="70">
        <v>10772000</v>
      </c>
      <c r="I44" s="70">
        <v>8100000</v>
      </c>
      <c r="J44" s="70">
        <v>10816000</v>
      </c>
      <c r="K44" s="70">
        <v>10483000</v>
      </c>
      <c r="L44" s="27"/>
    </row>
    <row r="45" spans="1:12" x14ac:dyDescent="0.15">
      <c r="A45" s="27" t="s">
        <v>75</v>
      </c>
      <c r="B45" s="70">
        <v>81394000</v>
      </c>
      <c r="C45" s="70">
        <v>80546000</v>
      </c>
      <c r="D45" s="70">
        <v>77798000</v>
      </c>
      <c r="E45" s="70">
        <v>77869000</v>
      </c>
      <c r="F45" s="70">
        <v>72496000</v>
      </c>
      <c r="G45" s="70">
        <v>74669000</v>
      </c>
      <c r="H45" s="70">
        <v>80925000</v>
      </c>
      <c r="I45" s="70">
        <v>83253000</v>
      </c>
      <c r="J45" s="70">
        <v>76693000</v>
      </c>
      <c r="K45" s="70">
        <v>83861000</v>
      </c>
      <c r="L45" s="27"/>
    </row>
    <row r="46" spans="1:12" s="29" customFormat="1" ht="14" x14ac:dyDescent="0.15">
      <c r="A46" s="28" t="s">
        <v>76</v>
      </c>
      <c r="B46" s="71">
        <v>203706000</v>
      </c>
      <c r="C46" s="71">
        <v>199581000</v>
      </c>
      <c r="D46" s="71">
        <v>198825000</v>
      </c>
      <c r="E46" s="71">
        <v>204522000</v>
      </c>
      <c r="F46" s="71">
        <v>219295000</v>
      </c>
      <c r="G46" s="71">
        <v>236495000</v>
      </c>
      <c r="H46" s="71">
        <v>252496000</v>
      </c>
      <c r="I46" s="71">
        <v>244860000</v>
      </c>
      <c r="J46" s="71">
        <v>243197000</v>
      </c>
      <c r="K46" s="71">
        <v>252399000</v>
      </c>
      <c r="L46" s="28"/>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AF6E3-A485-3D4D-B390-D8BA89FF9451}">
  <dimension ref="A4:M65"/>
  <sheetViews>
    <sheetView topLeftCell="A62" workbookViewId="0">
      <selection activeCell="N73" sqref="N73"/>
    </sheetView>
  </sheetViews>
  <sheetFormatPr baseColWidth="10" defaultColWidth="8.83203125" defaultRowHeight="13" x14ac:dyDescent="0.15"/>
  <cols>
    <col min="1" max="1" width="50" style="20" customWidth="1"/>
    <col min="2" max="11" width="11.6640625" style="20" bestFit="1" customWidth="1"/>
    <col min="12" max="191" width="12" style="20" customWidth="1"/>
    <col min="192" max="16384" width="8.83203125" style="20"/>
  </cols>
  <sheetData>
    <row r="4" spans="1:12" x14ac:dyDescent="0.15">
      <c r="A4" s="21" t="s">
        <v>0</v>
      </c>
    </row>
    <row r="5" spans="1:12" ht="20" x14ac:dyDescent="0.2">
      <c r="A5" s="22" t="s">
        <v>134</v>
      </c>
    </row>
    <row r="7" spans="1:12" ht="14" x14ac:dyDescent="0.15">
      <c r="A7" s="23" t="s">
        <v>2</v>
      </c>
    </row>
    <row r="10" spans="1:12" ht="14" x14ac:dyDescent="0.15">
      <c r="A10" s="24" t="s">
        <v>47</v>
      </c>
    </row>
    <row r="11" spans="1:12" ht="14" x14ac:dyDescent="0.15">
      <c r="A11" s="25" t="s">
        <v>4</v>
      </c>
      <c r="B11" s="26" t="s">
        <v>135</v>
      </c>
      <c r="C11" s="26" t="s">
        <v>13</v>
      </c>
      <c r="D11" s="26" t="s">
        <v>136</v>
      </c>
      <c r="E11" s="26" t="s">
        <v>137</v>
      </c>
      <c r="F11" s="26" t="s">
        <v>138</v>
      </c>
      <c r="G11" s="26" t="s">
        <v>139</v>
      </c>
      <c r="H11" s="26" t="s">
        <v>8</v>
      </c>
      <c r="I11" s="26" t="s">
        <v>140</v>
      </c>
      <c r="J11" s="26" t="s">
        <v>141</v>
      </c>
      <c r="K11" s="26" t="s">
        <v>142</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ht="14" x14ac:dyDescent="0.15">
      <c r="A16" s="27" t="s">
        <v>48</v>
      </c>
      <c r="B16" s="32">
        <f>'WMT Balance Sheet'!K16/'WMT Income Statement'!K$18</f>
        <v>1.5223915139826422E-2</v>
      </c>
      <c r="C16" s="32">
        <f>'WMT Balance Sheet'!J16/'WMT Income Statement'!J$18</f>
        <v>1.4109529207952377E-2</v>
      </c>
      <c r="D16" s="32">
        <f>'WMT Balance Sheet'!I16/'WMT Income Statement'!I$18</f>
        <v>2.5770225960883731E-2</v>
      </c>
      <c r="E16" s="32">
        <f>'WMT Balance Sheet'!H16/'WMT Income Statement'!H$18</f>
        <v>3.172845975416301E-2</v>
      </c>
      <c r="F16" s="32">
        <f>'WMT Balance Sheet'!G16/'WMT Income Statement'!G$18</f>
        <v>1.8064218152392147E-2</v>
      </c>
      <c r="G16" s="32">
        <f>'WMT Balance Sheet'!F16/'WMT Income Statement'!F$18</f>
        <v>1.5011518161759703E-2</v>
      </c>
      <c r="H16" s="32">
        <f>'WMT Balance Sheet'!E16/'WMT Income Statement'!E$18</f>
        <v>1.3502737122334079E-2</v>
      </c>
      <c r="I16" s="32">
        <f>'WMT Balance Sheet'!D16/'WMT Income Statement'!D$18</f>
        <v>1.4133322905368275E-2</v>
      </c>
      <c r="J16" s="32">
        <f>'WMT Balance Sheet'!C16/'WMT Income Statement'!C$18</f>
        <v>1.805529628938253E-2</v>
      </c>
      <c r="K16" s="32">
        <f>'WMT Balance Sheet'!B16/'WMT Income Statement'!B$18</f>
        <v>1.8809803747958924E-2</v>
      </c>
      <c r="L16" s="27"/>
    </row>
    <row r="17" spans="1:13" ht="14" x14ac:dyDescent="0.15">
      <c r="A17" s="27" t="s">
        <v>49</v>
      </c>
      <c r="B17" s="32">
        <f>'WMT Balance Sheet'!K17/'WMT Income Statement'!K$18</f>
        <v>1.5223915139826422E-2</v>
      </c>
      <c r="C17" s="32">
        <f>'WMT Balance Sheet'!J17/'WMT Income Statement'!J$18</f>
        <v>1.4109529207952377E-2</v>
      </c>
      <c r="D17" s="32">
        <f>'WMT Balance Sheet'!I17/'WMT Income Statement'!I$18</f>
        <v>2.5770225960883731E-2</v>
      </c>
      <c r="E17" s="32">
        <f>'WMT Balance Sheet'!H17/'WMT Income Statement'!H$18</f>
        <v>3.172845975416301E-2</v>
      </c>
      <c r="F17" s="32">
        <f>'WMT Balance Sheet'!G17/'WMT Income Statement'!G$18</f>
        <v>1.8064218152392147E-2</v>
      </c>
      <c r="G17" s="32">
        <f>'WMT Balance Sheet'!F17/'WMT Income Statement'!F$18</f>
        <v>1.5011518161759703E-2</v>
      </c>
      <c r="H17" s="32">
        <f>'WMT Balance Sheet'!E17/'WMT Income Statement'!E$18</f>
        <v>1.3502737122334079E-2</v>
      </c>
      <c r="I17" s="32">
        <f>'WMT Balance Sheet'!D17/'WMT Income Statement'!D$18</f>
        <v>1.4133322905368275E-2</v>
      </c>
      <c r="J17" s="32">
        <f>'WMT Balance Sheet'!C17/'WMT Income Statement'!C$18</f>
        <v>1.805529628938253E-2</v>
      </c>
      <c r="K17" s="32">
        <f>'WMT Balance Sheet'!B17/'WMT Income Statement'!B$18</f>
        <v>1.8809803747958924E-2</v>
      </c>
      <c r="L17" s="27"/>
    </row>
    <row r="18" spans="1:13" ht="14" x14ac:dyDescent="0.15">
      <c r="A18" s="27" t="s">
        <v>50</v>
      </c>
      <c r="B18" s="32">
        <f>'WMT Balance Sheet'!K18/'WMT Income Statement'!K$18</f>
        <v>1.357145612343298E-2</v>
      </c>
      <c r="C18" s="32">
        <f>'WMT Balance Sheet'!J18/'WMT Income Statement'!J$18</f>
        <v>1.2977495096427386E-2</v>
      </c>
      <c r="D18" s="32">
        <f>'WMT Balance Sheet'!I18/'WMT Income Statement'!I$18</f>
        <v>1.4456468221959166E-2</v>
      </c>
      <c r="E18" s="32">
        <f>'WMT Balance Sheet'!H18/'WMT Income Statement'!H$18</f>
        <v>1.1653381644672011E-2</v>
      </c>
      <c r="F18" s="32">
        <f>'WMT Balance Sheet'!G18/'WMT Income Statement'!G$18</f>
        <v>1.1993190371857608E-2</v>
      </c>
      <c r="G18" s="32">
        <f>'WMT Balance Sheet'!F18/'WMT Income Statement'!F$18</f>
        <v>1.2214111449149989E-2</v>
      </c>
      <c r="H18" s="32">
        <f>'WMT Balance Sheet'!E18/'WMT Income Statement'!E$18</f>
        <v>1.1220302872229651E-2</v>
      </c>
      <c r="I18" s="32">
        <f>'WMT Balance Sheet'!D18/'WMT Income Statement'!D$18</f>
        <v>1.2009311075116337E-2</v>
      </c>
      <c r="J18" s="32">
        <f>'WMT Balance Sheet'!C18/'WMT Income Statement'!C$18</f>
        <v>1.1664903656690104E-2</v>
      </c>
      <c r="K18" s="32">
        <f>'WMT Balance Sheet'!B18/'WMT Income Statement'!B$18</f>
        <v>1.3956524335376639E-2</v>
      </c>
      <c r="L18" s="27"/>
    </row>
    <row r="19" spans="1:13" ht="14" x14ac:dyDescent="0.15">
      <c r="A19" s="27" t="s">
        <v>51</v>
      </c>
      <c r="B19" s="32">
        <f>'WMT Balance Sheet'!K19/'WMT Income Statement'!K$18</f>
        <v>8.4693539054966252E-2</v>
      </c>
      <c r="C19" s="32">
        <f>'WMT Balance Sheet'!J19/'WMT Income Statement'!J$18</f>
        <v>9.2551968054389991E-2</v>
      </c>
      <c r="D19" s="32">
        <f>'WMT Balance Sheet'!I19/'WMT Income Statement'!I$18</f>
        <v>9.866539561487131E-2</v>
      </c>
      <c r="E19" s="32">
        <f>'WMT Balance Sheet'!H19/'WMT Income Statement'!H$18</f>
        <v>8.0387945295635699E-2</v>
      </c>
      <c r="F19" s="32">
        <f>'WMT Balance Sheet'!G19/'WMT Income Statement'!G$18</f>
        <v>8.4805444648869008E-2</v>
      </c>
      <c r="G19" s="32">
        <f>'WMT Balance Sheet'!F19/'WMT Income Statement'!F$18</f>
        <v>8.6058650285281049E-2</v>
      </c>
      <c r="H19" s="32">
        <f>'WMT Balance Sheet'!E19/'WMT Income Statement'!E$18</f>
        <v>8.7505970903959882E-2</v>
      </c>
      <c r="I19" s="32">
        <f>'WMT Balance Sheet'!D19/'WMT Income Statement'!D$18</f>
        <v>8.8595167873086175E-2</v>
      </c>
      <c r="J19" s="32">
        <f>'WMT Balance Sheet'!C19/'WMT Income Statement'!C$18</f>
        <v>9.2234459585588943E-2</v>
      </c>
      <c r="K19" s="32">
        <f>'WMT Balance Sheet'!B19/'WMT Income Statement'!B$18</f>
        <v>9.2949463709536273E-2</v>
      </c>
      <c r="L19" s="27"/>
    </row>
    <row r="20" spans="1:13" ht="14" x14ac:dyDescent="0.15">
      <c r="A20" s="27" t="s">
        <v>52</v>
      </c>
      <c r="B20" s="32">
        <f>'WMT Balance Sheet'!K20/'WMT Income Statement'!K$18</f>
        <v>0</v>
      </c>
      <c r="C20" s="32">
        <f>'WMT Balance Sheet'!J20/'WMT Income Statement'!J$18</f>
        <v>4.1240722473330944E-3</v>
      </c>
      <c r="D20" s="32">
        <f>'WMT Balance Sheet'!I20/'WMT Income Statement'!I$18</f>
        <v>2.652098457627533E-3</v>
      </c>
      <c r="E20" s="32">
        <f>'WMT Balance Sheet'!H20/'WMT Income Statement'!H$18</f>
        <v>3.7308347834484779E-2</v>
      </c>
      <c r="F20" s="32">
        <f>'WMT Balance Sheet'!G20/'WMT Income Statement'!G$18</f>
        <v>3.0956325243719036E-3</v>
      </c>
      <c r="G20" s="32">
        <f>'WMT Balance Sheet'!F20/'WMT Income Statement'!F$18</f>
        <v>7.0430886169457916E-3</v>
      </c>
      <c r="H20" s="32">
        <f>'WMT Balance Sheet'!E20/'WMT Income Statement'!E$18</f>
        <v>7.0171862102597618E-3</v>
      </c>
      <c r="I20" s="32">
        <f>'WMT Balance Sheet'!D20/'WMT Income Statement'!D$18</f>
        <v>3.9948710877122208E-3</v>
      </c>
      <c r="J20" s="32">
        <f>'WMT Balance Sheet'!C20/'WMT Income Statement'!C$18</f>
        <v>2.9888204426192105E-3</v>
      </c>
      <c r="K20" s="32">
        <f>'WMT Balance Sheet'!B20/'WMT Income Statement'!B$18</f>
        <v>4.5794202009261792E-3</v>
      </c>
      <c r="L20" s="27"/>
    </row>
    <row r="21" spans="1:13" s="29" customFormat="1" ht="14" x14ac:dyDescent="0.15">
      <c r="A21" s="28" t="s">
        <v>53</v>
      </c>
      <c r="B21" s="33">
        <f>'WMT Balance Sheet'!K21/'WMT Income Statement'!K$18</f>
        <v>0.11861446480231437</v>
      </c>
      <c r="C21" s="33">
        <f>'WMT Balance Sheet'!J21/'WMT Income Statement'!J$18</f>
        <v>0.12376306460610284</v>
      </c>
      <c r="D21" s="33">
        <f>'WMT Balance Sheet'!I21/'WMT Income Statement'!I$18</f>
        <v>0.14154418825534174</v>
      </c>
      <c r="E21" s="33">
        <f>'WMT Balance Sheet'!H21/'WMT Income Statement'!H$18</f>
        <v>0.1610781345289555</v>
      </c>
      <c r="F21" s="33">
        <f>'WMT Balance Sheet'!G21/'WMT Income Statement'!G$18</f>
        <v>0.11795848569749066</v>
      </c>
      <c r="G21" s="33">
        <f>'WMT Balance Sheet'!F21/'WMT Income Statement'!F$18</f>
        <v>0.12032736851313654</v>
      </c>
      <c r="H21" s="33">
        <f>'WMT Balance Sheet'!E21/'WMT Income Statement'!E$18</f>
        <v>0.11924619710878337</v>
      </c>
      <c r="I21" s="33">
        <f>'WMT Balance Sheet'!D21/'WMT Income Statement'!D$18</f>
        <v>0.11873267294128301</v>
      </c>
      <c r="J21" s="33">
        <f>'WMT Balance Sheet'!C21/'WMT Income Statement'!C$18</f>
        <v>0.12494347997428079</v>
      </c>
      <c r="K21" s="33">
        <f>'WMT Balance Sheet'!B21/'WMT Income Statement'!B$18</f>
        <v>0.13029521199379801</v>
      </c>
      <c r="L21" s="28"/>
      <c r="M21" s="189"/>
    </row>
    <row r="22" spans="1:13" ht="14" x14ac:dyDescent="0.15">
      <c r="A22" s="27" t="s">
        <v>54</v>
      </c>
      <c r="B22" s="32">
        <f>'WMT Balance Sheet'!K22/'WMT Income Statement'!K$18</f>
        <v>0.33922314368370299</v>
      </c>
      <c r="C22" s="32">
        <f>'WMT Balance Sheet'!J22/'WMT Income Statement'!J$18</f>
        <v>0.33105454212328372</v>
      </c>
      <c r="D22" s="32">
        <f>'WMT Balance Sheet'!I22/'WMT Income Statement'!I$18</f>
        <v>0.33055028860557933</v>
      </c>
      <c r="E22" s="32">
        <f>'WMT Balance Sheet'!H22/'WMT Income Statement'!H$18</f>
        <v>0.32293781107428943</v>
      </c>
      <c r="F22" s="32">
        <f>'WMT Balance Sheet'!G22/'WMT Income Statement'!G$18</f>
        <v>0.37221641181455212</v>
      </c>
      <c r="G22" s="32">
        <f>'WMT Balance Sheet'!F22/'WMT Income Statement'!F$18</f>
        <v>0.36121344077137663</v>
      </c>
      <c r="H22" s="32">
        <f>'WMT Balance Sheet'!E22/'WMT Income Statement'!E$18</f>
        <v>0.37005414285799942</v>
      </c>
      <c r="I22" s="32">
        <f>'WMT Balance Sheet'!D22/'WMT Income Statement'!D$18</f>
        <v>0.36942163898796598</v>
      </c>
      <c r="J22" s="32">
        <f>'WMT Balance Sheet'!C22/'WMT Income Statement'!C$18</f>
        <v>0.36703378756766847</v>
      </c>
      <c r="K22" s="32">
        <f>'WMT Balance Sheet'!B22/'WMT Income Statement'!B$18</f>
        <v>0.36527259287018865</v>
      </c>
      <c r="L22" s="27"/>
    </row>
    <row r="23" spans="1:13" ht="14" x14ac:dyDescent="0.15">
      <c r="A23" s="27" t="s">
        <v>55</v>
      </c>
      <c r="B23" s="32">
        <f>'WMT Balance Sheet'!K23/'WMT Income Statement'!K$18</f>
        <v>0.16825303760848601</v>
      </c>
      <c r="C23" s="32">
        <f>'WMT Balance Sheet'!J23/'WMT Income Statement'!J$18</f>
        <v>0.16622252322551198</v>
      </c>
      <c r="D23" s="32">
        <f>'WMT Balance Sheet'!I23/'WMT Income Statement'!I$18</f>
        <v>0.16553179899223749</v>
      </c>
      <c r="E23" s="32">
        <f>'WMT Balance Sheet'!H23/'WMT Income Statement'!H$18</f>
        <v>0.15804317617244715</v>
      </c>
      <c r="F23" s="32">
        <f>'WMT Balance Sheet'!G23/'WMT Income Statement'!G$18</f>
        <v>0.17142399096121108</v>
      </c>
      <c r="G23" s="32">
        <f>'WMT Balance Sheet'!F23/'WMT Income Statement'!F$18</f>
        <v>0.15842186603940475</v>
      </c>
      <c r="H23" s="32">
        <f>'WMT Balance Sheet'!E23/'WMT Income Statement'!E$18</f>
        <v>0.15485177168462436</v>
      </c>
      <c r="I23" s="32">
        <f>'WMT Balance Sheet'!D23/'WMT Income Statement'!D$18</f>
        <v>0.14773819496041146</v>
      </c>
      <c r="J23" s="32">
        <f>'WMT Balance Sheet'!C23/'WMT Income Statement'!C$18</f>
        <v>0.13852487918196338</v>
      </c>
      <c r="K23" s="32">
        <f>'WMT Balance Sheet'!B23/'WMT Income Statement'!B$18</f>
        <v>0.12995958002763303</v>
      </c>
      <c r="L23" s="27"/>
    </row>
    <row r="24" spans="1:13" ht="14" x14ac:dyDescent="0.15">
      <c r="A24" s="27" t="s">
        <v>56</v>
      </c>
      <c r="B24" s="32">
        <f>'WMT Balance Sheet'!K24/'WMT Income Statement'!K$18</f>
        <v>0.17097010607521698</v>
      </c>
      <c r="C24" s="32">
        <f>'WMT Balance Sheet'!J24/'WMT Income Statement'!J$18</f>
        <v>0.16483201889777177</v>
      </c>
      <c r="D24" s="32">
        <f>'WMT Balance Sheet'!I24/'WMT Income Statement'!I$18</f>
        <v>0.16501848961334184</v>
      </c>
      <c r="E24" s="32">
        <f>'WMT Balance Sheet'!H24/'WMT Income Statement'!H$18</f>
        <v>0.16489463490184225</v>
      </c>
      <c r="F24" s="32">
        <f>'WMT Balance Sheet'!G24/'WMT Income Statement'!G$18</f>
        <v>0.20079242085334106</v>
      </c>
      <c r="G24" s="32">
        <f>'WMT Balance Sheet'!F24/'WMT Income Statement'!F$18</f>
        <v>0.2027915747319719</v>
      </c>
      <c r="H24" s="32">
        <f>'WMT Balance Sheet'!E24/'WMT Income Statement'!E$18</f>
        <v>0.21520237117337507</v>
      </c>
      <c r="I24" s="32">
        <f>'WMT Balance Sheet'!D24/'WMT Income Statement'!D$18</f>
        <v>0.22168344402755452</v>
      </c>
      <c r="J24" s="32">
        <f>'WMT Balance Sheet'!C24/'WMT Income Statement'!C$18</f>
        <v>0.22850890838570509</v>
      </c>
      <c r="K24" s="32">
        <f>'WMT Balance Sheet'!B24/'WMT Income Statement'!B$18</f>
        <v>0.23531301284255565</v>
      </c>
      <c r="L24" s="27"/>
    </row>
    <row r="25" spans="1:13" ht="14" x14ac:dyDescent="0.15">
      <c r="A25" s="27" t="s">
        <v>57</v>
      </c>
      <c r="B25" s="32">
        <f>'WMT Balance Sheet'!K25/'WMT Income Statement'!K$18</f>
        <v>4.3375891996142717E-2</v>
      </c>
      <c r="C25" s="32">
        <f>'WMT Balance Sheet'!J25/'WMT Income Statement'!J$18</f>
        <v>4.6089492858533358E-2</v>
      </c>
      <c r="D25" s="32">
        <f>'WMT Balance Sheet'!I25/'WMT Income Statement'!I$18</f>
        <v>5.065700108598107E-2</v>
      </c>
      <c r="E25" s="32">
        <f>'WMT Balance Sheet'!H25/'WMT Income Statement'!H$18</f>
        <v>5.1833941099989088E-2</v>
      </c>
      <c r="F25" s="32">
        <f>'WMT Balance Sheet'!G25/'WMT Income Statement'!G$18</f>
        <v>5.9303692620103668E-2</v>
      </c>
      <c r="G25" s="32">
        <f>'WMT Balance Sheet'!F25/'WMT Income Statement'!F$18</f>
        <v>6.0615662755999652E-2</v>
      </c>
      <c r="H25" s="32">
        <f>'WMT Balance Sheet'!E25/'WMT Income Statement'!E$18</f>
        <v>3.6458989133454453E-2</v>
      </c>
      <c r="I25" s="32">
        <f>'WMT Balance Sheet'!D25/'WMT Income Statement'!D$18</f>
        <v>3.5064718558141736E-2</v>
      </c>
      <c r="J25" s="32">
        <f>'WMT Balance Sheet'!C25/'WMT Income Statement'!C$18</f>
        <v>3.4627590069068508E-2</v>
      </c>
      <c r="K25" s="32">
        <f>'WMT Balance Sheet'!B25/'WMT Income Statement'!B$18</f>
        <v>3.727368007066803E-2</v>
      </c>
      <c r="L25" s="27"/>
    </row>
    <row r="26" spans="1:13" ht="14" x14ac:dyDescent="0.15">
      <c r="A26" s="27" t="s">
        <v>58</v>
      </c>
      <c r="B26" s="32">
        <f>'WMT Balance Sheet'!K26/'WMT Income Statement'!K$18</f>
        <v>5.6469045323047251E-2</v>
      </c>
      <c r="C26" s="32">
        <f>'WMT Balance Sheet'!J26/'WMT Income Statement'!J$18</f>
        <v>6.3158342453405833E-2</v>
      </c>
      <c r="D26" s="32">
        <f>'WMT Balance Sheet'!I26/'WMT Income Statement'!I$18</f>
        <v>7.0293703754142262E-2</v>
      </c>
      <c r="E26" s="32">
        <f>'WMT Balance Sheet'!H26/'WMT Income Statement'!H$18</f>
        <v>7.3763616625920375E-2</v>
      </c>
      <c r="F26" s="32">
        <f>'WMT Balance Sheet'!G26/'WMT Income Statement'!G$18</f>
        <v>7.3302745990182536E-2</v>
      </c>
      <c r="G26" s="32">
        <f>'WMT Balance Sheet'!F26/'WMT Income Statement'!F$18</f>
        <v>4.2573458656117259E-2</v>
      </c>
      <c r="H26" s="32">
        <f>'WMT Balance Sheet'!E26/'WMT Income Statement'!E$18</f>
        <v>3.7856030762896654E-2</v>
      </c>
      <c r="I26" s="32">
        <f>'WMT Balance Sheet'!D26/'WMT Income Statement'!D$18</f>
        <v>3.3731036711239358E-2</v>
      </c>
      <c r="J26" s="32">
        <f>'WMT Balance Sheet'!C26/'WMT Income Statement'!C$18</f>
        <v>2.587683819716674E-2</v>
      </c>
      <c r="K26" s="32">
        <f>'WMT Balance Sheet'!B26/'WMT Income Statement'!B$18</f>
        <v>1.6567452759285988E-2</v>
      </c>
      <c r="L26" s="27"/>
    </row>
    <row r="27" spans="1:13" s="29" customFormat="1" ht="14" x14ac:dyDescent="0.15">
      <c r="A27" s="28" t="s">
        <v>59</v>
      </c>
      <c r="B27" s="33">
        <f>'WMT Balance Sheet'!K27/'WMT Income Statement'!K$18</f>
        <v>0.38942950819672129</v>
      </c>
      <c r="C27" s="33">
        <f>'WMT Balance Sheet'!J27/'WMT Income Statement'!J$18</f>
        <v>0.3978429188158138</v>
      </c>
      <c r="D27" s="33">
        <f>'WMT Balance Sheet'!I27/'WMT Income Statement'!I$18</f>
        <v>0.4275133827088069</v>
      </c>
      <c r="E27" s="33">
        <f>'WMT Balance Sheet'!H27/'WMT Income Statement'!H$18</f>
        <v>0.4515703271567072</v>
      </c>
      <c r="F27" s="33">
        <f>'WMT Balance Sheet'!G27/'WMT Income Statement'!G$18</f>
        <v>0.45135734516111792</v>
      </c>
      <c r="G27" s="33">
        <f>'WMT Balance Sheet'!F27/'WMT Income Statement'!F$18</f>
        <v>0.42630806465722532</v>
      </c>
      <c r="H27" s="33">
        <f>'WMT Balance Sheet'!E27/'WMT Income Statement'!E$18</f>
        <v>0.40876358817850955</v>
      </c>
      <c r="I27" s="33">
        <f>'WMT Balance Sheet'!D27/'WMT Income Statement'!D$18</f>
        <v>0.40921187223821864</v>
      </c>
      <c r="J27" s="33">
        <f>'WMT Balance Sheet'!C27/'WMT Income Statement'!C$18</f>
        <v>0.41395681662622114</v>
      </c>
      <c r="K27" s="33">
        <f>'WMT Balance Sheet'!B27/'WMT Income Statement'!B$18</f>
        <v>0.4194493576663077</v>
      </c>
      <c r="L27" s="28"/>
    </row>
    <row r="28" spans="1:13" ht="14" x14ac:dyDescent="0.15">
      <c r="A28" s="27" t="s">
        <v>60</v>
      </c>
      <c r="B28" s="32">
        <f>'WMT Balance Sheet'!K28/'WMT Income Statement'!K$18</f>
        <v>0.13250221793635486</v>
      </c>
      <c r="C28" s="32">
        <f>'WMT Balance Sheet'!J28/'WMT Income Statement'!J$18</f>
        <v>0.13595369784177369</v>
      </c>
      <c r="D28" s="32">
        <f>'WMT Balance Sheet'!I28/'WMT Income Statement'!I$18</f>
        <v>0.13896367375871665</v>
      </c>
      <c r="E28" s="32">
        <f>'WMT Balance Sheet'!H28/'WMT Income Statement'!H$18</f>
        <v>0.12931211783579033</v>
      </c>
      <c r="F28" s="32">
        <f>'WMT Balance Sheet'!G28/'WMT Income Statement'!G$18</f>
        <v>0.12893824766587017</v>
      </c>
      <c r="G28" s="32">
        <f>'WMT Balance Sheet'!F28/'WMT Income Statement'!F$18</f>
        <v>0.13163752296342376</v>
      </c>
      <c r="H28" s="32">
        <f>'WMT Balance Sheet'!E28/'WMT Income Statement'!E$18</f>
        <v>0.13359235564402819</v>
      </c>
      <c r="I28" s="32">
        <f>'WMT Balance Sheet'!D28/'WMT Income Statement'!D$18</f>
        <v>0.12967997810127338</v>
      </c>
      <c r="J28" s="32">
        <f>'WMT Balance Sheet'!C28/'WMT Income Statement'!C$18</f>
        <v>0.12157509385435464</v>
      </c>
      <c r="K28" s="32">
        <f>'WMT Balance Sheet'!B28/'WMT Income Statement'!B$18</f>
        <v>0.12062777591315574</v>
      </c>
      <c r="L28" s="27"/>
    </row>
    <row r="29" spans="1:13" ht="14" x14ac:dyDescent="0.15">
      <c r="A29" s="27" t="s">
        <v>61</v>
      </c>
      <c r="B29" s="32">
        <f>'WMT Balance Sheet'!K29/'WMT Income Statement'!K$18</f>
        <v>8.7655930568948895E-2</v>
      </c>
      <c r="C29" s="32">
        <f>'WMT Balance Sheet'!J29/'WMT Income Statement'!J$18</f>
        <v>8.7915863036959599E-2</v>
      </c>
      <c r="D29" s="32">
        <f>'WMT Balance Sheet'!I29/'WMT Income Statement'!I$18</f>
        <v>9.6482957779430611E-2</v>
      </c>
      <c r="E29" s="32">
        <f>'WMT Balance Sheet'!H29/'WMT Income Statement'!H$18</f>
        <v>8.7885025690734697E-2</v>
      </c>
      <c r="F29" s="32">
        <f>'WMT Balance Sheet'!G29/'WMT Income Statement'!G$18</f>
        <v>8.9649288882442307E-2</v>
      </c>
      <c r="G29" s="32">
        <f>'WMT Balance Sheet'!F29/'WMT Income Statement'!F$18</f>
        <v>9.1484336272003572E-2</v>
      </c>
      <c r="H29" s="32">
        <f>'WMT Balance Sheet'!E29/'WMT Income Statement'!E$18</f>
        <v>9.2120805127682406E-2</v>
      </c>
      <c r="I29" s="32">
        <f>'WMT Balance Sheet'!D29/'WMT Income Statement'!D$18</f>
        <v>8.5275370312818372E-2</v>
      </c>
      <c r="J29" s="32">
        <f>'WMT Balance Sheet'!C29/'WMT Income Statement'!C$18</f>
        <v>7.9827017609358467E-2</v>
      </c>
      <c r="K29" s="32">
        <f>'WMT Balance Sheet'!B29/'WMT Income Statement'!B$18</f>
        <v>7.9089716689556902E-2</v>
      </c>
      <c r="L29" s="27"/>
    </row>
    <row r="30" spans="1:13" ht="14" x14ac:dyDescent="0.15">
      <c r="A30" s="27" t="s">
        <v>62</v>
      </c>
      <c r="B30" s="32">
        <f>'WMT Balance Sheet'!K30/'WMT Income Statement'!K$18</f>
        <v>4.4846287367405979E-2</v>
      </c>
      <c r="C30" s="32">
        <f>'WMT Balance Sheet'!J30/'WMT Income Statement'!J$18</f>
        <v>4.8037834804814092E-2</v>
      </c>
      <c r="D30" s="32">
        <f>'WMT Balance Sheet'!I30/'WMT Income Statement'!I$18</f>
        <v>4.2480715979286043E-2</v>
      </c>
      <c r="E30" s="32">
        <f>'WMT Balance Sheet'!H30/'WMT Income Statement'!H$18</f>
        <v>4.1427092145055626E-2</v>
      </c>
      <c r="F30" s="32">
        <f>'WMT Balance Sheet'!G30/'WMT Income Statement'!G$18</f>
        <v>3.928895878342787E-2</v>
      </c>
      <c r="G30" s="32">
        <f>'WMT Balance Sheet'!F30/'WMT Income Statement'!F$18</f>
        <v>4.0153186691420185E-2</v>
      </c>
      <c r="H30" s="32">
        <f>'WMT Balance Sheet'!E30/'WMT Income Statement'!E$18</f>
        <v>4.1471550516345788E-2</v>
      </c>
      <c r="I30" s="32">
        <f>'WMT Balance Sheet'!D30/'WMT Income Statement'!D$18</f>
        <v>4.4404607788455008E-2</v>
      </c>
      <c r="J30" s="32">
        <f>'WMT Balance Sheet'!C30/'WMT Income Statement'!C$18</f>
        <v>4.1748076244996164E-2</v>
      </c>
      <c r="K30" s="32">
        <f>'WMT Balance Sheet'!B30/'WMT Income Statement'!B$18</f>
        <v>4.1538059223598836E-2</v>
      </c>
      <c r="L30" s="27"/>
    </row>
    <row r="31" spans="1:13" ht="14" x14ac:dyDescent="0.15">
      <c r="A31" s="27" t="s">
        <v>63</v>
      </c>
      <c r="B31" s="32">
        <f>'WMT Balance Sheet'!K31/'WMT Income Statement'!K$18</f>
        <v>6.6730954676952744E-3</v>
      </c>
      <c r="C31" s="32">
        <f>'WMT Balance Sheet'!J31/'WMT Income Statement'!J$18</f>
        <v>7.4645544087984569E-3</v>
      </c>
      <c r="D31" s="32">
        <f>'WMT Balance Sheet'!I31/'WMT Income Statement'!I$18</f>
        <v>5.6097382122167628E-3</v>
      </c>
      <c r="E31" s="32">
        <f>'WMT Balance Sheet'!H31/'WMT Income Statement'!H$18</f>
        <v>5.9715533013443593E-3</v>
      </c>
      <c r="F31" s="32">
        <f>'WMT Balance Sheet'!G31/'WMT Income Statement'!G$18</f>
        <v>1.1330931132673238E-2</v>
      </c>
      <c r="G31" s="32">
        <f>'WMT Balance Sheet'!F31/'WMT Income Statement'!F$18</f>
        <v>1.3804298169730077E-2</v>
      </c>
      <c r="H31" s="32">
        <f>'WMT Balance Sheet'!E31/'WMT Income Statement'!E$18</f>
        <v>1.797766732021833E-2</v>
      </c>
      <c r="I31" s="32">
        <f>'WMT Balance Sheet'!D31/'WMT Income Statement'!D$18</f>
        <v>6.9050965993171058E-3</v>
      </c>
      <c r="J31" s="32">
        <f>'WMT Balance Sheet'!C31/'WMT Income Statement'!C$18</f>
        <v>1.1310227531993445E-2</v>
      </c>
      <c r="K31" s="32">
        <f>'WMT Balance Sheet'!B31/'WMT Income Statement'!B$18</f>
        <v>1.3182305812198472E-2</v>
      </c>
      <c r="L31" s="27"/>
    </row>
    <row r="32" spans="1:13" ht="14" x14ac:dyDescent="0.15">
      <c r="A32" s="27" t="s">
        <v>143</v>
      </c>
      <c r="B32" s="32">
        <f>'WMT Balance Sheet'!K32/'WMT Income Statement'!K$18</f>
        <v>1.1186113789778207E-3</v>
      </c>
      <c r="C32" s="32">
        <f>'WMT Balance Sheet'!J32/'WMT Income Statement'!J$18</f>
        <v>9.275481809749562E-4</v>
      </c>
      <c r="D32" s="32">
        <f>'WMT Balance Sheet'!I32/'WMT Income Statement'!I$18</f>
        <v>8.9218058712815622E-4</v>
      </c>
      <c r="E32" s="32">
        <f>'WMT Balance Sheet'!H32/'WMT Income Statement'!H$18</f>
        <v>8.7811700238397137E-4</v>
      </c>
      <c r="F32" s="32">
        <f>'WMT Balance Sheet'!G32/'WMT Income Statement'!G$18</f>
        <v>9.7525784214182653E-4</v>
      </c>
      <c r="G32" s="32">
        <f>'WMT Balance Sheet'!F32/'WMT Income Statement'!F$18</f>
        <v>1.4171712949913005E-3</v>
      </c>
      <c r="H32" s="32">
        <f>'WMT Balance Sheet'!E32/'WMT Income Statement'!E$18</f>
        <v>1.3330855033447055E-3</v>
      </c>
      <c r="I32" s="32">
        <f>'WMT Balance Sheet'!D32/'WMT Income Statement'!D$18</f>
        <v>1.16285531404297E-3</v>
      </c>
      <c r="J32" s="32">
        <f>'WMT Balance Sheet'!C32/'WMT Income Statement'!C$18</f>
        <v>1.1428452906892333E-3</v>
      </c>
      <c r="K32" s="32">
        <f>'WMT Balance Sheet'!B32/'WMT Income Statement'!B$18</f>
        <v>5.9095935146844132E-4</v>
      </c>
      <c r="L32" s="27"/>
    </row>
    <row r="33" spans="1:12" ht="14" x14ac:dyDescent="0.15">
      <c r="A33" s="27" t="s">
        <v>64</v>
      </c>
      <c r="B33" s="32">
        <f>'WMT Balance Sheet'!K33/'WMT Income Statement'!K$18</f>
        <v>2.2943105110896818E-3</v>
      </c>
      <c r="C33" s="32">
        <f>'WMT Balance Sheet'!J33/'WMT Income Statement'!J$18</f>
        <v>6.4797501672694911E-3</v>
      </c>
      <c r="D33" s="32">
        <f>'WMT Balance Sheet'!I33/'WMT Income Statement'!I$18</f>
        <v>7.0937959403164358E-3</v>
      </c>
      <c r="E33" s="32">
        <f>'WMT Balance Sheet'!H33/'WMT Income Statement'!H$18</f>
        <v>2.9526907758369386E-2</v>
      </c>
      <c r="F33" s="32">
        <f>'WMT Balance Sheet'!G33/'WMT Income Statement'!G$18</f>
        <v>7.2199616767564187E-3</v>
      </c>
      <c r="G33" s="32">
        <f>'WMT Balance Sheet'!F33/'WMT Income Statement'!F$18</f>
        <v>3.7557955307588381E-3</v>
      </c>
      <c r="H33" s="32">
        <f>'WMT Balance Sheet'!E33/'WMT Income Statement'!E$18</f>
        <v>4.0312345730828649E-3</v>
      </c>
      <c r="I33" s="32">
        <f>'WMT Balance Sheet'!D33/'WMT Income Statement'!D$18</f>
        <v>0</v>
      </c>
      <c r="J33" s="32">
        <f>'WMT Balance Sheet'!C33/'WMT Income Statement'!C$18</f>
        <v>0</v>
      </c>
      <c r="K33" s="32">
        <f>'WMT Balance Sheet'!B33/'WMT Income Statement'!B$18</f>
        <v>0</v>
      </c>
      <c r="L33" s="27"/>
    </row>
    <row r="34" spans="1:12" s="29" customFormat="1" ht="14" x14ac:dyDescent="0.15">
      <c r="A34" s="28" t="s">
        <v>65</v>
      </c>
      <c r="B34" s="33">
        <f>'WMT Balance Sheet'!K34/'WMT Income Statement'!K$18</f>
        <v>0.14258823529411765</v>
      </c>
      <c r="C34" s="33">
        <f>'WMT Balance Sheet'!J34/'WMT Income Statement'!J$18</f>
        <v>0.15082555059881661</v>
      </c>
      <c r="D34" s="33">
        <f>'WMT Balance Sheet'!I34/'WMT Income Statement'!I$18</f>
        <v>0.15255938849837802</v>
      </c>
      <c r="E34" s="33">
        <f>'WMT Balance Sheet'!H34/'WMT Income Statement'!H$18</f>
        <v>0.16568869589788804</v>
      </c>
      <c r="F34" s="33">
        <f>'WMT Balance Sheet'!G34/'WMT Income Statement'!G$18</f>
        <v>0.14846439831744165</v>
      </c>
      <c r="G34" s="33">
        <f>'WMT Balance Sheet'!F34/'WMT Income Statement'!F$18</f>
        <v>0.15061478795890398</v>
      </c>
      <c r="H34" s="33">
        <f>'WMT Balance Sheet'!E34/'WMT Income Statement'!E$18</f>
        <v>0.15693434304067411</v>
      </c>
      <c r="I34" s="33">
        <f>'WMT Balance Sheet'!D34/'WMT Income Statement'!D$18</f>
        <v>0.13774793001463345</v>
      </c>
      <c r="J34" s="33">
        <f>'WMT Balance Sheet'!C34/'WMT Income Statement'!C$18</f>
        <v>0.13402816667703732</v>
      </c>
      <c r="K34" s="33">
        <f>'WMT Balance Sheet'!B34/'WMT Income Statement'!B$18</f>
        <v>0.13440104107682266</v>
      </c>
      <c r="L34" s="28"/>
    </row>
    <row r="35" spans="1:12" ht="14" x14ac:dyDescent="0.15">
      <c r="A35" s="27" t="s">
        <v>66</v>
      </c>
      <c r="B35" s="32">
        <f>'WMT Balance Sheet'!K35/'WMT Income Statement'!K$18</f>
        <v>6.4556991321118612E-2</v>
      </c>
      <c r="C35" s="32">
        <f>'WMT Balance Sheet'!J35/'WMT Income Statement'!J$18</f>
        <v>6.4604466954255674E-2</v>
      </c>
      <c r="D35" s="32">
        <f>'WMT Balance Sheet'!I35/'WMT Income Statement'!I$18</f>
        <v>6.8278877144463415E-2</v>
      </c>
      <c r="E35" s="32">
        <f>'WMT Balance Sheet'!H35/'WMT Income Statement'!H$18</f>
        <v>8.055248045697852E-2</v>
      </c>
      <c r="F35" s="32">
        <f>'WMT Balance Sheet'!G35/'WMT Income Statement'!G$18</f>
        <v>9.164942629646311E-2</v>
      </c>
      <c r="G35" s="32">
        <f>'WMT Balance Sheet'!F35/'WMT Income Statement'!F$18</f>
        <v>9.7594307986897486E-2</v>
      </c>
      <c r="H35" s="32">
        <f>'WMT Balance Sheet'!E35/'WMT Income Statement'!E$18</f>
        <v>7.3599510735635351E-2</v>
      </c>
      <c r="I35" s="32">
        <f>'WMT Balance Sheet'!D35/'WMT Income Statement'!D$18</f>
        <v>8.6479388646827457E-2</v>
      </c>
      <c r="J35" s="32">
        <f>'WMT Balance Sheet'!C35/'WMT Income Statement'!C$18</f>
        <v>9.1323916785929105E-2</v>
      </c>
      <c r="K35" s="32">
        <f>'WMT Balance Sheet'!B35/'WMT Income Statement'!B$18</f>
        <v>8.9965839666756586E-2</v>
      </c>
      <c r="L35" s="27"/>
    </row>
    <row r="36" spans="1:12" ht="14" x14ac:dyDescent="0.15">
      <c r="A36" s="27" t="s">
        <v>144</v>
      </c>
      <c r="B36" s="32">
        <f>'WMT Balance Sheet'!K36/'WMT Income Statement'!K$18</f>
        <v>1.0352941176470589E-2</v>
      </c>
      <c r="C36" s="32">
        <f>'WMT Balance Sheet'!J36/'WMT Income Statement'!J$18</f>
        <v>1.1938706569233211E-2</v>
      </c>
      <c r="D36" s="32">
        <f>'WMT Balance Sheet'!I36/'WMT Income Statement'!I$18</f>
        <v>1.5081518418029381E-2</v>
      </c>
      <c r="E36" s="32">
        <f>'WMT Balance Sheet'!H36/'WMT Income Statement'!H$18</f>
        <v>1.1814339954681294E-2</v>
      </c>
      <c r="F36" s="32">
        <f>'WMT Balance Sheet'!G36/'WMT Income Statement'!G$18</f>
        <v>1.3136398683879046E-2</v>
      </c>
      <c r="G36" s="32">
        <f>'WMT Balance Sheet'!F36/'WMT Income Statement'!F$18</f>
        <v>1.3876225930929909E-2</v>
      </c>
      <c r="H36" s="32">
        <f>'WMT Balance Sheet'!E36/'WMT Income Statement'!E$18</f>
        <v>5.9019512614346559E-3</v>
      </c>
      <c r="I36" s="32">
        <f>'WMT Balance Sheet'!D36/'WMT Income Statement'!D$18</f>
        <v>5.6331592823639096E-3</v>
      </c>
      <c r="J36" s="32">
        <f>'WMT Balance Sheet'!C36/'WMT Income Statement'!C$18</f>
        <v>6.3572065625453712E-3</v>
      </c>
      <c r="K36" s="32">
        <f>'WMT Balance Sheet'!B36/'WMT Income Statement'!B$18</f>
        <v>9.3544541244638645E-3</v>
      </c>
      <c r="L36" s="27"/>
    </row>
    <row r="37" spans="1:12" ht="14" x14ac:dyDescent="0.15">
      <c r="A37" s="27" t="s">
        <v>68</v>
      </c>
      <c r="B37" s="32">
        <f>'WMT Balance Sheet'!K37/'WMT Income Statement'!K$18</f>
        <v>1.9969913211186113E-2</v>
      </c>
      <c r="C37" s="32">
        <f>'WMT Balance Sheet'!J37/'WMT Income Statement'!J$18</f>
        <v>4.501307892011798E-2</v>
      </c>
      <c r="D37" s="32">
        <f>'WMT Balance Sheet'!I37/'WMT Income Statement'!I$18</f>
        <v>4.6238000956780746E-2</v>
      </c>
      <c r="E37" s="32">
        <f>'WMT Balance Sheet'!H37/'WMT Income Statement'!H$18</f>
        <v>4.8786463763813355E-2</v>
      </c>
      <c r="F37" s="32">
        <f>'WMT Balance Sheet'!G37/'WMT Income Statement'!G$18</f>
        <v>5.5599239642418183E-2</v>
      </c>
      <c r="G37" s="32">
        <f>'WMT Balance Sheet'!F37/'WMT Income Statement'!F$18</f>
        <v>2.3290986673924242E-2</v>
      </c>
      <c r="H37" s="32">
        <f>'WMT Balance Sheet'!E37/'WMT Income Statement'!E$18</f>
        <v>1.669654616932784E-2</v>
      </c>
      <c r="I37" s="32">
        <f>'WMT Balance Sheet'!D37/'WMT Income Statement'!D$18</f>
        <v>1.9231362928172589E-2</v>
      </c>
      <c r="J37" s="32">
        <f>'WMT Balance Sheet'!C37/'WMT Income Statement'!C$18</f>
        <v>1.5184701221662208E-2</v>
      </c>
      <c r="K37" s="32">
        <f>'WMT Balance Sheet'!B37/'WMT Income Statement'!B$18</f>
        <v>1.8130303448361067E-2</v>
      </c>
      <c r="L37" s="27"/>
    </row>
    <row r="38" spans="1:12" s="29" customFormat="1" ht="14" x14ac:dyDescent="0.15">
      <c r="A38" s="28" t="s">
        <v>69</v>
      </c>
      <c r="B38" s="33">
        <f>'WMT Balance Sheet'!K38/'WMT Income Statement'!K$18</f>
        <v>0.26003934426229508</v>
      </c>
      <c r="C38" s="33">
        <f>'WMT Balance Sheet'!J38/'WMT Income Statement'!J$18</f>
        <v>0.27238180304242349</v>
      </c>
      <c r="D38" s="33">
        <f>'WMT Balance Sheet'!I38/'WMT Income Statement'!I$18</f>
        <v>0.28215778501765154</v>
      </c>
      <c r="E38" s="33">
        <f>'WMT Balance Sheet'!H38/'WMT Income Statement'!H$18</f>
        <v>0.30684198007336122</v>
      </c>
      <c r="F38" s="33">
        <f>'WMT Balance Sheet'!G38/'WMT Income Statement'!G$18</f>
        <v>0.30884946294020199</v>
      </c>
      <c r="G38" s="33">
        <f>'WMT Balance Sheet'!F38/'WMT Income Statement'!F$18</f>
        <v>0.2853763085506556</v>
      </c>
      <c r="H38" s="33">
        <f>'WMT Balance Sheet'!E38/'WMT Income Statement'!E$18</f>
        <v>0.25313235120707195</v>
      </c>
      <c r="I38" s="33">
        <f>'WMT Balance Sheet'!D38/'WMT Income Statement'!D$18</f>
        <v>0.24909184087199743</v>
      </c>
      <c r="J38" s="33">
        <f>'WMT Balance Sheet'!C38/'WMT Income Statement'!C$18</f>
        <v>0.24689399124717401</v>
      </c>
      <c r="K38" s="33">
        <f>'WMT Balance Sheet'!B38/'WMT Income Statement'!B$18</f>
        <v>0.25185163831640417</v>
      </c>
      <c r="L38" s="28"/>
    </row>
    <row r="39" spans="1:12" ht="14" x14ac:dyDescent="0.15">
      <c r="A39" s="27" t="s">
        <v>70</v>
      </c>
      <c r="B39" s="32">
        <f>'WMT Balance Sheet'!K39/'WMT Income Statement'!K$18</f>
        <v>1.2420443587270974E-3</v>
      </c>
      <c r="C39" s="32">
        <f>'WMT Balance Sheet'!J39/'WMT Income Statement'!J$18</f>
        <v>4.4005372254367413E-4</v>
      </c>
      <c r="D39" s="32">
        <f>'WMT Balance Sheet'!I39/'WMT Income Statement'!I$18</f>
        <v>4.8188227406530554E-4</v>
      </c>
      <c r="E39" s="32">
        <f>'WMT Balance Sheet'!H39/'WMT Income Statement'!H$18</f>
        <v>5.0433603802908333E-4</v>
      </c>
      <c r="F39" s="32">
        <f>'WMT Balance Sheet'!G39/'WMT Income Statement'!G$18</f>
        <v>5.4202197097510518E-4</v>
      </c>
      <c r="G39" s="32">
        <f>'WMT Balance Sheet'!F39/'WMT Income Statement'!F$18</f>
        <v>5.5987014123113114E-4</v>
      </c>
      <c r="H39" s="32">
        <f>'WMT Balance Sheet'!E39/'WMT Income Statement'!E$18</f>
        <v>5.8959553746130153E-4</v>
      </c>
      <c r="I39" s="32">
        <f>'WMT Balance Sheet'!D39/'WMT Income Statement'!D$18</f>
        <v>6.2773605448337327E-4</v>
      </c>
      <c r="J39" s="32">
        <f>'WMT Balance Sheet'!C39/'WMT Income Statement'!C$18</f>
        <v>6.5749901478854254E-4</v>
      </c>
      <c r="K39" s="32">
        <f>'WMT Balance Sheet'!B39/'WMT Income Statement'!B$18</f>
        <v>6.6508665687911692E-4</v>
      </c>
      <c r="L39" s="27"/>
    </row>
    <row r="40" spans="1:12" ht="14" x14ac:dyDescent="0.15">
      <c r="A40" s="27" t="s">
        <v>71</v>
      </c>
      <c r="B40" s="32">
        <f>'WMT Balance Sheet'!K40/'WMT Income Statement'!K$18</f>
        <v>7.0109932497589202E-3</v>
      </c>
      <c r="C40" s="32">
        <f>'WMT Balance Sheet'!J40/'WMT Income Statement'!J$18</f>
        <v>8.1287247112249682E-3</v>
      </c>
      <c r="D40" s="32">
        <f>'WMT Balance Sheet'!I40/'WMT Income Statement'!I$18</f>
        <v>8.4486533485580197E-3</v>
      </c>
      <c r="E40" s="32">
        <f>'WMT Balance Sheet'!H40/'WMT Income Statement'!H$18</f>
        <v>6.5205999810426882E-3</v>
      </c>
      <c r="F40" s="32">
        <f>'WMT Balance Sheet'!G40/'WMT Income Statement'!G$18</f>
        <v>6.1969906329442477E-3</v>
      </c>
      <c r="G40" s="32">
        <f>'WMT Balance Sheet'!F40/'WMT Income Statement'!F$18</f>
        <v>5.7639408637163323E-3</v>
      </c>
      <c r="H40" s="32">
        <f>'WMT Balance Sheet'!E40/'WMT Income Statement'!E$18</f>
        <v>5.2923694345678868E-3</v>
      </c>
      <c r="I40" s="32">
        <f>'WMT Balance Sheet'!D40/'WMT Income Statement'!D$18</f>
        <v>4.8798760169838622E-3</v>
      </c>
      <c r="J40" s="32">
        <f>'WMT Balance Sheet'!C40/'WMT Income Statement'!C$18</f>
        <v>3.7438035384647294E-3</v>
      </c>
      <c r="K40" s="32">
        <f>'WMT Balance Sheet'!B40/'WMT Income Statement'!B$18</f>
        <v>5.0694840533634239E-3</v>
      </c>
      <c r="L40" s="27"/>
    </row>
    <row r="41" spans="1:12" ht="14" x14ac:dyDescent="0.15">
      <c r="A41" s="27" t="s">
        <v>72</v>
      </c>
      <c r="B41" s="32">
        <f>'WMT Balance Sheet'!K41/'WMT Income Statement'!K$18</f>
        <v>0.13857512054001928</v>
      </c>
      <c r="C41" s="32">
        <f>'WMT Balance Sheet'!J41/'WMT Income Statement'!J$18</f>
        <v>0.13599950269021691</v>
      </c>
      <c r="D41" s="32">
        <f>'WMT Balance Sheet'!I41/'WMT Income Statement'!I$18</f>
        <v>0.15173006212091056</v>
      </c>
      <c r="E41" s="32">
        <f>'WMT Balance Sheet'!H41/'WMT Income Statement'!H$18</f>
        <v>0.15874602745948768</v>
      </c>
      <c r="F41" s="32">
        <f>'WMT Balance Sheet'!G41/'WMT Income Statement'!G$18</f>
        <v>0.16020757151254666</v>
      </c>
      <c r="G41" s="32">
        <f>'WMT Balance Sheet'!F41/'WMT Income Statement'!F$18</f>
        <v>0.15704551860887822</v>
      </c>
      <c r="H41" s="32">
        <f>'WMT Balance Sheet'!E41/'WMT Income Statement'!E$18</f>
        <v>0.17009731324311522</v>
      </c>
      <c r="I41" s="32">
        <f>'WMT Balance Sheet'!D41/'WMT Income Statement'!D$18</f>
        <v>0.18390402430264699</v>
      </c>
      <c r="J41" s="32">
        <f>'WMT Balance Sheet'!C41/'WMT Income Statement'!C$18</f>
        <v>0.18671520129425673</v>
      </c>
      <c r="K41" s="32">
        <f>'WMT Balance Sheet'!B41/'WMT Income Statement'!B$18</f>
        <v>0.17662271878365329</v>
      </c>
      <c r="L41" s="27"/>
    </row>
    <row r="42" spans="1:12" ht="14" x14ac:dyDescent="0.15">
      <c r="A42" s="27" t="s">
        <v>73</v>
      </c>
      <c r="B42" s="32">
        <f>'WMT Balance Sheet'!K42/'WMT Income Statement'!K$18</f>
        <v>-1.7437994214079076E-2</v>
      </c>
      <c r="C42" s="32">
        <f>'WMT Balance Sheet'!J42/'WMT Income Statement'!J$18</f>
        <v>-1.9107165350595218E-2</v>
      </c>
      <c r="D42" s="32">
        <f>'WMT Balance Sheet'!I42/'WMT Income Statement'!I$18</f>
        <v>-1.5305000052378509E-2</v>
      </c>
      <c r="E42" s="32">
        <f>'WMT Balance Sheet'!H42/'WMT Income Statement'!H$18</f>
        <v>-2.1042616395213459E-2</v>
      </c>
      <c r="F42" s="32">
        <f>'WMT Balance Sheet'!G42/'WMT Income Statement'!G$18</f>
        <v>-2.4438701895550075E-2</v>
      </c>
      <c r="G42" s="32">
        <f>'WMT Balance Sheet'!F42/'WMT Income Statement'!F$18</f>
        <v>-2.2437573507255955E-2</v>
      </c>
      <c r="H42" s="32">
        <f>'WMT Balance Sheet'!E42/'WMT Income Statement'!E$18</f>
        <v>-2.0348041243706816E-2</v>
      </c>
      <c r="I42" s="32">
        <f>'WMT Balance Sheet'!D42/'WMT Income Statement'!D$18</f>
        <v>-2.9291605007893008E-2</v>
      </c>
      <c r="J42" s="32">
        <f>'WMT Balance Sheet'!C42/'WMT Income Statement'!C$18</f>
        <v>-2.4053678468462864E-2</v>
      </c>
      <c r="K42" s="32">
        <f>'WMT Balance Sheet'!B42/'WMT Income Statement'!B$18</f>
        <v>-1.475957014399229E-2</v>
      </c>
      <c r="L42" s="27"/>
    </row>
    <row r="43" spans="1:12" ht="14" x14ac:dyDescent="0.15">
      <c r="A43" s="27" t="s">
        <v>145</v>
      </c>
      <c r="B43" s="32">
        <f>'WMT Balance Sheet'!K43/'WMT Income Statement'!K$18</f>
        <v>-1.6174349083895853E-2</v>
      </c>
      <c r="C43" s="32">
        <f>'WMT Balance Sheet'!J43/'WMT Income Statement'!J$18</f>
        <v>-1.7693758598633379E-2</v>
      </c>
      <c r="D43" s="32">
        <f>'WMT Balance Sheet'!I43/'WMT Income Statement'!I$18</f>
        <v>-1.4142197173655705E-2</v>
      </c>
      <c r="E43" s="32">
        <f>'WMT Balance Sheet'!H43/'WMT Income Statement'!H$18</f>
        <v>-1.9264921282444277E-2</v>
      </c>
      <c r="F43" s="32">
        <f>'WMT Balance Sheet'!G43/'WMT Income Statement'!G$18</f>
        <v>-2.2572161446206229E-2</v>
      </c>
      <c r="G43" s="32">
        <f>'WMT Balance Sheet'!F43/'WMT Income Statement'!F$18</f>
        <v>-2.3493162002702152E-2</v>
      </c>
      <c r="H43" s="32">
        <f>'WMT Balance Sheet'!E43/'WMT Income Statement'!E$18</f>
        <v>-2.4255360822475782E-2</v>
      </c>
      <c r="I43" s="32">
        <f>'WMT Balance Sheet'!D43/'WMT Income Statement'!D$18</f>
        <v>-2.9559164637672806E-2</v>
      </c>
      <c r="J43" s="32">
        <f>'WMT Balance Sheet'!C43/'WMT Income Statement'!C$18</f>
        <v>-2.4246572501192623E-2</v>
      </c>
      <c r="K43" s="32">
        <f>'WMT Balance Sheet'!B43/'WMT Income Statement'!B$18</f>
        <v>-1.3085528496801202E-2</v>
      </c>
      <c r="L43" s="27"/>
    </row>
    <row r="44" spans="1:12" ht="14" x14ac:dyDescent="0.15">
      <c r="A44" s="27" t="s">
        <v>146</v>
      </c>
      <c r="B44" s="32">
        <f>'WMT Balance Sheet'!K44/'WMT Income Statement'!K$18</f>
        <v>1.6174349083895853E-2</v>
      </c>
      <c r="C44" s="32">
        <f>'WMT Balance Sheet'!J44/'WMT Income Statement'!J$18</f>
        <v>1.7693758598633379E-2</v>
      </c>
      <c r="D44" s="32">
        <f>'WMT Balance Sheet'!I44/'WMT Income Statement'!I$18</f>
        <v>1.4142197173655705E-2</v>
      </c>
      <c r="E44" s="32">
        <f>'WMT Balance Sheet'!H44/'WMT Income Statement'!H$18</f>
        <v>1.9264921282444277E-2</v>
      </c>
      <c r="F44" s="32">
        <f>'WMT Balance Sheet'!G44/'WMT Income Statement'!G$18</f>
        <v>2.2572161446206229E-2</v>
      </c>
      <c r="G44" s="32">
        <f>'WMT Balance Sheet'!F44/'WMT Income Statement'!F$18</f>
        <v>2.3493162002702152E-2</v>
      </c>
      <c r="H44" s="32">
        <f>'WMT Balance Sheet'!E44/'WMT Income Statement'!E$18</f>
        <v>2.4255360822475782E-2</v>
      </c>
      <c r="I44" s="32">
        <f>'WMT Balance Sheet'!D44/'WMT Income Statement'!D$18</f>
        <v>2.9559164637672806E-2</v>
      </c>
      <c r="J44" s="32">
        <f>'WMT Balance Sheet'!C44/'WMT Income Statement'!C$18</f>
        <v>2.4246572501192623E-2</v>
      </c>
      <c r="K44" s="32">
        <f>'WMT Balance Sheet'!B44/'WMT Income Statement'!B$18</f>
        <v>1.3085528496801202E-2</v>
      </c>
      <c r="L44" s="27"/>
    </row>
    <row r="45" spans="1:12" ht="14" x14ac:dyDescent="0.15">
      <c r="A45" s="27" t="s">
        <v>75</v>
      </c>
      <c r="B45" s="32">
        <f>'WMT Balance Sheet'!K45/'WMT Income Statement'!K$18</f>
        <v>0.12939016393442623</v>
      </c>
      <c r="C45" s="32">
        <f>'WMT Balance Sheet'!J45/'WMT Income Statement'!J$18</f>
        <v>0.12546111577339034</v>
      </c>
      <c r="D45" s="32">
        <f>'WMT Balance Sheet'!I45/'WMT Income Statement'!I$18</f>
        <v>0.14535559769115536</v>
      </c>
      <c r="E45" s="32">
        <f>'WMT Balance Sheet'!H45/'WMT Income Statement'!H$18</f>
        <v>0.144728347083346</v>
      </c>
      <c r="F45" s="32">
        <f>'WMT Balance Sheet'!G45/'WMT Income Statement'!G$18</f>
        <v>0.14250788222091595</v>
      </c>
      <c r="G45" s="32">
        <f>'WMT Balance Sheet'!F45/'WMT Income Statement'!F$18</f>
        <v>0.14093175610656972</v>
      </c>
      <c r="H45" s="32">
        <f>'WMT Balance Sheet'!E45/'WMT Income Statement'!E$18</f>
        <v>0.1556312369714376</v>
      </c>
      <c r="I45" s="32">
        <f>'WMT Balance Sheet'!D45/'WMT Income Statement'!D$18</f>
        <v>0.16012003136622122</v>
      </c>
      <c r="J45" s="32">
        <f>'WMT Balance Sheet'!C45/'WMT Income Statement'!C$18</f>
        <v>0.16706282537904715</v>
      </c>
      <c r="K45" s="32">
        <f>'WMT Balance Sheet'!B45/'WMT Income Statement'!B$18</f>
        <v>0.16759771934990353</v>
      </c>
      <c r="L45" s="27"/>
    </row>
    <row r="46" spans="1:12" s="29" customFormat="1" ht="14" x14ac:dyDescent="0.15">
      <c r="A46" s="28" t="s">
        <v>76</v>
      </c>
      <c r="B46" s="33">
        <f>'WMT Balance Sheet'!K46/'WMT Income Statement'!K$18</f>
        <v>0.38942950819672129</v>
      </c>
      <c r="C46" s="33">
        <f>'WMT Balance Sheet'!J46/'WMT Income Statement'!J$18</f>
        <v>0.3978429188158138</v>
      </c>
      <c r="D46" s="33">
        <f>'WMT Balance Sheet'!I46/'WMT Income Statement'!I$18</f>
        <v>0.4275133827088069</v>
      </c>
      <c r="E46" s="33">
        <f>'WMT Balance Sheet'!H46/'WMT Income Statement'!H$18</f>
        <v>0.4515703271567072</v>
      </c>
      <c r="F46" s="33">
        <f>'WMT Balance Sheet'!G46/'WMT Income Statement'!G$18</f>
        <v>0.45135734516111792</v>
      </c>
      <c r="G46" s="33">
        <f>'WMT Balance Sheet'!F46/'WMT Income Statement'!F$18</f>
        <v>0.42630806465722532</v>
      </c>
      <c r="H46" s="33">
        <f>'WMT Balance Sheet'!E46/'WMT Income Statement'!E$18</f>
        <v>0.40876358817850955</v>
      </c>
      <c r="I46" s="33">
        <f>'WMT Balance Sheet'!D46/'WMT Income Statement'!D$18</f>
        <v>0.40921187223821864</v>
      </c>
      <c r="J46" s="33">
        <f>'WMT Balance Sheet'!C46/'WMT Income Statement'!C$18</f>
        <v>0.41395681662622114</v>
      </c>
      <c r="K46" s="33">
        <f>'WMT Balance Sheet'!B46/'WMT Income Statement'!B$18</f>
        <v>0.4194493576663077</v>
      </c>
      <c r="L46" s="28"/>
    </row>
    <row r="49" spans="1:11" x14ac:dyDescent="0.15">
      <c r="A49" s="35" t="s">
        <v>79</v>
      </c>
    </row>
    <row r="50" spans="1:11" x14ac:dyDescent="0.15">
      <c r="A50" s="20" t="s">
        <v>77</v>
      </c>
      <c r="B50" s="34">
        <f>B21/B34</f>
        <v>0.83186712113834327</v>
      </c>
      <c r="C50" s="34">
        <f t="shared" ref="C50:K50" si="0">C21/C34</f>
        <v>0.82057094513980777</v>
      </c>
      <c r="D50" s="34">
        <f t="shared" si="0"/>
        <v>0.92779729683333523</v>
      </c>
      <c r="E50" s="34">
        <f t="shared" si="0"/>
        <v>0.97217334988396575</v>
      </c>
      <c r="F50" s="34">
        <f t="shared" si="0"/>
        <v>0.7945237177015041</v>
      </c>
      <c r="G50" s="34">
        <f t="shared" si="0"/>
        <v>0.79890806303806283</v>
      </c>
      <c r="H50" s="34">
        <f t="shared" si="0"/>
        <v>0.75984768405904146</v>
      </c>
      <c r="I50" s="34">
        <f t="shared" si="0"/>
        <v>0.86195613196270615</v>
      </c>
      <c r="J50" s="34">
        <f t="shared" si="0"/>
        <v>0.93221807827419167</v>
      </c>
      <c r="K50" s="34">
        <f t="shared" si="0"/>
        <v>0.96945091310209575</v>
      </c>
    </row>
    <row r="51" spans="1:11" x14ac:dyDescent="0.15">
      <c r="A51" s="20" t="s">
        <v>78</v>
      </c>
      <c r="B51" s="34">
        <f>(B21-B19)/B34</f>
        <v>0.2378942812314018</v>
      </c>
      <c r="C51" s="34">
        <f t="shared" ref="C51:K51" si="1">(C21-C19)/C34</f>
        <v>0.20693507451354687</v>
      </c>
      <c r="D51" s="34">
        <f t="shared" si="1"/>
        <v>0.28106295563007128</v>
      </c>
      <c r="E51" s="34">
        <f t="shared" si="1"/>
        <v>0.48699875870257436</v>
      </c>
      <c r="F51" s="34">
        <f t="shared" si="1"/>
        <v>0.22330633757552382</v>
      </c>
      <c r="G51" s="34">
        <f t="shared" si="1"/>
        <v>0.22752558823909033</v>
      </c>
      <c r="H51" s="34">
        <f t="shared" si="1"/>
        <v>0.2022516269532991</v>
      </c>
      <c r="I51" s="34">
        <f t="shared" si="1"/>
        <v>0.21878735357398996</v>
      </c>
      <c r="J51" s="34">
        <f t="shared" si="1"/>
        <v>0.24404586886209939</v>
      </c>
      <c r="K51" s="34">
        <f t="shared" si="1"/>
        <v>0.2778679985292315</v>
      </c>
    </row>
    <row r="52" spans="1:11" x14ac:dyDescent="0.15">
      <c r="A52" s="20" t="s">
        <v>80</v>
      </c>
      <c r="B52" s="34">
        <f>B17/B34</f>
        <v>0.1067683817562084</v>
      </c>
      <c r="C52" s="34">
        <f t="shared" ref="C52:K52" si="2">C17/C34</f>
        <v>9.3548666999284144E-2</v>
      </c>
      <c r="D52" s="34">
        <f t="shared" si="2"/>
        <v>0.16891930555396606</v>
      </c>
      <c r="E52" s="34">
        <f t="shared" si="2"/>
        <v>0.19149441416158458</v>
      </c>
      <c r="F52" s="34">
        <f t="shared" si="2"/>
        <v>0.12167373698418819</v>
      </c>
      <c r="G52" s="34">
        <f t="shared" si="2"/>
        <v>9.9668288653406809E-2</v>
      </c>
      <c r="H52" s="34">
        <f t="shared" si="2"/>
        <v>8.6040677016339578E-2</v>
      </c>
      <c r="I52" s="34">
        <f t="shared" si="2"/>
        <v>0.10260279703562038</v>
      </c>
      <c r="J52" s="34">
        <f t="shared" si="2"/>
        <v>0.13471270059889504</v>
      </c>
      <c r="K52" s="34">
        <f t="shared" si="2"/>
        <v>0.13995281284471134</v>
      </c>
    </row>
    <row r="54" spans="1:11" x14ac:dyDescent="0.15">
      <c r="A54" s="35" t="s">
        <v>81</v>
      </c>
    </row>
    <row r="55" spans="1:11" x14ac:dyDescent="0.15">
      <c r="A55" s="20" t="s">
        <v>82</v>
      </c>
      <c r="B55" s="34">
        <f>B38/B27</f>
        <v>0.66774432545295348</v>
      </c>
      <c r="C55" s="34">
        <f t="shared" ref="C55:K55" si="3">C38/C27</f>
        <v>0.68464660337092975</v>
      </c>
      <c r="D55" s="34">
        <f t="shared" si="3"/>
        <v>0.65999754962019108</v>
      </c>
      <c r="E55" s="34">
        <f t="shared" si="3"/>
        <v>0.67949987326531913</v>
      </c>
      <c r="F55" s="34">
        <f t="shared" si="3"/>
        <v>0.68426816634601151</v>
      </c>
      <c r="G55" s="34">
        <f t="shared" si="3"/>
        <v>0.66941334731754032</v>
      </c>
      <c r="H55" s="34">
        <f t="shared" si="3"/>
        <v>0.61926345332042521</v>
      </c>
      <c r="I55" s="34">
        <f t="shared" si="3"/>
        <v>0.60871117817175913</v>
      </c>
      <c r="J55" s="34">
        <f t="shared" si="3"/>
        <v>0.59642450934708213</v>
      </c>
      <c r="K55" s="34">
        <f t="shared" si="3"/>
        <v>0.60043395874446504</v>
      </c>
    </row>
    <row r="56" spans="1:11" x14ac:dyDescent="0.15">
      <c r="A56" s="20" t="s">
        <v>83</v>
      </c>
      <c r="B56" s="34">
        <f>B38/B45</f>
        <v>2.0097303871883234</v>
      </c>
      <c r="C56" s="34">
        <f t="shared" ref="C56:K56" si="4">C38/C45</f>
        <v>2.1710455973817688</v>
      </c>
      <c r="D56" s="34">
        <f t="shared" si="4"/>
        <v>1.9411552736838311</v>
      </c>
      <c r="E56" s="34">
        <f t="shared" si="4"/>
        <v>2.1201235712079085</v>
      </c>
      <c r="F56" s="34">
        <f t="shared" si="4"/>
        <v>2.1672447736008249</v>
      </c>
      <c r="G56" s="34">
        <f t="shared" si="4"/>
        <v>2.0249255131317589</v>
      </c>
      <c r="H56" s="34">
        <f t="shared" si="4"/>
        <v>1.6264880761278557</v>
      </c>
      <c r="I56" s="34">
        <f t="shared" si="4"/>
        <v>1.5556569577624104</v>
      </c>
      <c r="J56" s="34">
        <f t="shared" si="4"/>
        <v>1.4778511657934597</v>
      </c>
      <c r="K56" s="34">
        <f t="shared" si="4"/>
        <v>1.5027151878516845</v>
      </c>
    </row>
    <row r="58" spans="1:11" x14ac:dyDescent="0.15">
      <c r="A58" s="35" t="s">
        <v>85</v>
      </c>
    </row>
    <row r="59" spans="1:11" x14ac:dyDescent="0.15">
      <c r="A59" s="20" t="s">
        <v>86</v>
      </c>
      <c r="B59" s="34">
        <f>'WMT CS Income Statement'!B19/'WMT CS Balance Sheet'!B19</f>
        <v>8.8760678025267836</v>
      </c>
      <c r="C59" s="34">
        <f>'WMT CS Income Statement'!C19/'WMT CS Balance Sheet'!C19</f>
        <v>8.0898065958229477</v>
      </c>
      <c r="D59" s="34">
        <f>'WMT CS Income Statement'!D19/'WMT CS Balance Sheet'!D19</f>
        <v>7.5357666425047691</v>
      </c>
      <c r="E59" s="34">
        <f>'WMT CS Income Statement'!E19/'WMT CS Balance Sheet'!E19</f>
        <v>9.2834821084166101</v>
      </c>
      <c r="F59" s="34">
        <f>'WMT CS Income Statement'!F19/'WMT CS Balance Sheet'!F19</f>
        <v>8.8322472731090986</v>
      </c>
      <c r="G59" s="34">
        <f>'WMT CS Income Statement'!G19/'WMT CS Balance Sheet'!G19</f>
        <v>8.7511797513497402</v>
      </c>
      <c r="H59" s="34">
        <f>'WMT CS Income Statement'!H19/'WMT CS Balance Sheet'!H19</f>
        <v>8.590295340570087</v>
      </c>
      <c r="I59" s="34">
        <f>'WMT CS Income Statement'!I19/'WMT CS Balance Sheet'!I19</f>
        <v>8.4543286400926263</v>
      </c>
      <c r="J59" s="34">
        <f>'WMT CS Income Statement'!J19/'WMT CS Balance Sheet'!J19</f>
        <v>8.2246414736219258</v>
      </c>
      <c r="K59" s="34">
        <f>'WMT CS Income Statement'!K19/'WMT CS Balance Sheet'!K19</f>
        <v>8.1360995999569923</v>
      </c>
    </row>
    <row r="60" spans="1:11" x14ac:dyDescent="0.15">
      <c r="A60" s="20" t="s">
        <v>87</v>
      </c>
      <c r="B60" s="34">
        <f>365/B59</f>
        <v>41.121812960474919</v>
      </c>
      <c r="C60" s="34">
        <f t="shared" ref="C60:K60" si="5">365/C59</f>
        <v>45.118507553501018</v>
      </c>
      <c r="D60" s="34">
        <f t="shared" si="5"/>
        <v>48.435682434916771</v>
      </c>
      <c r="E60" s="34">
        <f t="shared" si="5"/>
        <v>39.317143689982764</v>
      </c>
      <c r="F60" s="34">
        <f t="shared" si="5"/>
        <v>41.325835737331424</v>
      </c>
      <c r="G60" s="34">
        <f t="shared" si="5"/>
        <v>41.708662188512825</v>
      </c>
      <c r="H60" s="34">
        <f t="shared" si="5"/>
        <v>42.489808036772004</v>
      </c>
      <c r="I60" s="34">
        <f t="shared" si="5"/>
        <v>43.173150174110219</v>
      </c>
      <c r="J60" s="34">
        <f t="shared" si="5"/>
        <v>44.378834162027388</v>
      </c>
      <c r="K60" s="34">
        <f t="shared" si="5"/>
        <v>44.861791023542708</v>
      </c>
    </row>
    <row r="61" spans="1:11" x14ac:dyDescent="0.15">
      <c r="A61" s="20" t="s">
        <v>88</v>
      </c>
      <c r="B61" s="34">
        <f>'WMT CS Income Statement'!B18/'WMT CS Balance Sheet'!B27</f>
        <v>2.5678588266989966</v>
      </c>
      <c r="C61" s="34">
        <f>'WMT CS Income Statement'!C18/'WMT CS Balance Sheet'!C27</f>
        <v>2.5135548547062672</v>
      </c>
      <c r="D61" s="34">
        <f>'WMT CS Income Statement'!D18/'WMT CS Balance Sheet'!D27</f>
        <v>2.3391080617495712</v>
      </c>
      <c r="E61" s="34">
        <f>'WMT CS Income Statement'!E18/'WMT CS Balance Sheet'!E27</f>
        <v>2.214494487041379</v>
      </c>
      <c r="F61" s="34">
        <f>'WMT CS Income Statement'!F18/'WMT CS Balance Sheet'!F27</f>
        <v>2.2155394405801392</v>
      </c>
      <c r="G61" s="34">
        <f>'WMT CS Income Statement'!G18/'WMT CS Balance Sheet'!G27</f>
        <v>2.3457215166784469</v>
      </c>
      <c r="H61" s="34">
        <f>'WMT CS Income Statement'!H18/'WMT CS Balance Sheet'!H27</f>
        <v>2.4464018540792676</v>
      </c>
      <c r="I61" s="34">
        <f>'WMT CS Income Statement'!I18/'WMT CS Balance Sheet'!I27</f>
        <v>2.4437218659625297</v>
      </c>
      <c r="J61" s="34">
        <f>'WMT CS Income Statement'!J18/'WMT CS Balance Sheet'!J27</f>
        <v>2.4157109143655959</v>
      </c>
      <c r="K61" s="34">
        <f>'WMT CS Income Statement'!K18/'WMT CS Balance Sheet'!K27</f>
        <v>2.3840780340294345</v>
      </c>
    </row>
    <row r="64" spans="1:11" x14ac:dyDescent="0.15">
      <c r="A64" s="35" t="s">
        <v>89</v>
      </c>
    </row>
    <row r="65" spans="1:11" x14ac:dyDescent="0.15">
      <c r="A65" s="20" t="s">
        <v>90</v>
      </c>
      <c r="B65" s="187">
        <f>'WMT CS Income Statement'!B30/'WMT CS Income Statement'!B18</f>
        <v>3.369291940096901E-2</v>
      </c>
      <c r="C65" s="187">
        <f>'WMT CS Income Statement'!C30/'WMT CS Income Statement'!C18</f>
        <v>3.0477257171302344E-2</v>
      </c>
      <c r="D65" s="187">
        <f>'WMT CS Income Statement'!D30/'WMT CS Income Statement'!D18</f>
        <v>2.8079354069890691E-2</v>
      </c>
      <c r="E65" s="187">
        <f>'WMT CS Income Statement'!E30/'WMT CS Income Statement'!E18</f>
        <v>1.9710478611672393E-2</v>
      </c>
      <c r="F65" s="187">
        <f>'WMT CS Income Statement'!F30/'WMT CS Income Statement'!F18</f>
        <v>1.2966436951429322E-2</v>
      </c>
      <c r="G65" s="187">
        <f>'WMT CS Income Statement'!G30/'WMT CS Income Statement'!G18</f>
        <v>2.8400806162255422E-2</v>
      </c>
      <c r="H65" s="187">
        <f>'WMT CS Income Statement'!H30/'WMT CS Income Statement'!H18</f>
        <v>2.4161630758059986E-2</v>
      </c>
      <c r="I65" s="187">
        <f>'WMT CS Income Statement'!I30/'WMT CS Income Statement'!I18</f>
        <v>2.3872378019184501E-2</v>
      </c>
      <c r="J65" s="187">
        <f>'WMT CS Income Statement'!J30/'WMT CS Income Statement'!J18</f>
        <v>1.9107165350595218E-2</v>
      </c>
      <c r="K65" s="187">
        <f>'WMT CS Income Statement'!K30/'WMT CS Income Statement'!K18</f>
        <v>2.3932111861137896E-2</v>
      </c>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0F5D7-C3A7-314D-A111-73C3542BAB96}">
  <dimension ref="A1:N37"/>
  <sheetViews>
    <sheetView topLeftCell="A34" workbookViewId="0">
      <selection activeCell="N73" sqref="N73"/>
    </sheetView>
  </sheetViews>
  <sheetFormatPr baseColWidth="10" defaultRowHeight="13" x14ac:dyDescent="0.15"/>
  <cols>
    <col min="1" max="1" width="14.33203125" style="20" bestFit="1" customWidth="1"/>
    <col min="2" max="2" width="7.33203125" style="20" bestFit="1" customWidth="1"/>
    <col min="3" max="3" width="24.33203125" style="20" bestFit="1" customWidth="1"/>
    <col min="4" max="4" width="41.5" style="20" customWidth="1"/>
    <col min="5" max="14" width="10.1640625" style="20" bestFit="1" customWidth="1"/>
    <col min="15" max="16384" width="10.83203125" style="20"/>
  </cols>
  <sheetData>
    <row r="1" spans="1:14" ht="14" thickBot="1" x14ac:dyDescent="0.2">
      <c r="A1" s="190" t="s">
        <v>291</v>
      </c>
      <c r="B1" s="191" t="s">
        <v>292</v>
      </c>
      <c r="C1" s="191" t="s">
        <v>293</v>
      </c>
      <c r="D1" s="191" t="s">
        <v>294</v>
      </c>
      <c r="E1" s="192">
        <v>42036</v>
      </c>
      <c r="F1" s="192">
        <v>42400</v>
      </c>
      <c r="G1" s="192">
        <v>42764</v>
      </c>
      <c r="H1" s="192">
        <v>43128</v>
      </c>
      <c r="I1" s="192">
        <v>43499</v>
      </c>
      <c r="J1" s="192">
        <v>43863</v>
      </c>
      <c r="K1" s="192">
        <v>44227</v>
      </c>
      <c r="L1" s="192">
        <v>44591</v>
      </c>
      <c r="M1" s="192">
        <v>44955</v>
      </c>
      <c r="N1" s="193">
        <v>45319</v>
      </c>
    </row>
    <row r="2" spans="1:14" x14ac:dyDescent="0.15">
      <c r="A2" s="194" t="s">
        <v>295</v>
      </c>
      <c r="B2" s="20" t="s">
        <v>191</v>
      </c>
      <c r="C2" s="35" t="s">
        <v>79</v>
      </c>
      <c r="D2" s="20" t="s">
        <v>77</v>
      </c>
      <c r="E2" s="34">
        <v>1.3578844617978525</v>
      </c>
      <c r="F2" s="34">
        <v>1.3566182340731276</v>
      </c>
      <c r="G2" s="34">
        <v>1.2540861812778605</v>
      </c>
      <c r="H2" s="34">
        <v>1.1691367173027047</v>
      </c>
      <c r="I2" s="34">
        <v>1.108458961474037</v>
      </c>
      <c r="J2" s="34">
        <v>1.0780952380952382</v>
      </c>
      <c r="K2" s="34">
        <v>1.2292583959250625</v>
      </c>
      <c r="L2" s="34">
        <v>1.0126163175687448</v>
      </c>
      <c r="M2" s="34">
        <v>1.4050627434011249</v>
      </c>
      <c r="N2" s="195">
        <v>1.3524869407222349</v>
      </c>
    </row>
    <row r="3" spans="1:14" x14ac:dyDescent="0.15">
      <c r="A3" s="194"/>
      <c r="D3" s="20" t="s">
        <v>78</v>
      </c>
      <c r="E3" s="34">
        <v>0.37474487532167883</v>
      </c>
      <c r="F3" s="34">
        <v>0.4138591729203257</v>
      </c>
      <c r="G3" s="34">
        <v>0.36616429632774372</v>
      </c>
      <c r="H3" s="34">
        <v>0.38193157959738167</v>
      </c>
      <c r="I3" s="34">
        <v>0.2754247427614262</v>
      </c>
      <c r="J3" s="34">
        <v>0.28729251700680286</v>
      </c>
      <c r="K3" s="34">
        <v>0.51152551152551162</v>
      </c>
      <c r="L3" s="34">
        <v>0.24350886975917471</v>
      </c>
      <c r="M3" s="34">
        <v>0.32821289485071387</v>
      </c>
      <c r="N3" s="195">
        <v>0.39968203497615268</v>
      </c>
    </row>
    <row r="4" spans="1:14" x14ac:dyDescent="0.15">
      <c r="A4" s="194"/>
      <c r="D4" s="20" t="s">
        <v>80</v>
      </c>
      <c r="E4" s="34">
        <v>0.15289732895554176</v>
      </c>
      <c r="F4" s="34">
        <v>0.17691202299217626</v>
      </c>
      <c r="G4" s="34">
        <v>0.17957970706856294</v>
      </c>
      <c r="H4" s="34">
        <v>0.22199580091391877</v>
      </c>
      <c r="I4" s="34">
        <v>0.10636515912897823</v>
      </c>
      <c r="J4" s="34">
        <v>0.11608163265306125</v>
      </c>
      <c r="K4" s="34">
        <v>0.34080117413450745</v>
      </c>
      <c r="L4" s="34">
        <v>8.1657547136932351E-2</v>
      </c>
      <c r="M4" s="34">
        <v>0.11929900475984422</v>
      </c>
      <c r="N4" s="195">
        <v>0.17079264138087669</v>
      </c>
    </row>
    <row r="5" spans="1:14" x14ac:dyDescent="0.15">
      <c r="A5" s="194"/>
      <c r="C5" s="35" t="s">
        <v>81</v>
      </c>
      <c r="D5" s="20" t="s">
        <v>82</v>
      </c>
      <c r="E5" s="34">
        <v>0.76663495719220942</v>
      </c>
      <c r="F5" s="34">
        <v>0.85155937859879205</v>
      </c>
      <c r="G5" s="34">
        <v>0.89915281850765727</v>
      </c>
      <c r="H5" s="34">
        <v>0.96734712210020446</v>
      </c>
      <c r="I5" s="34">
        <v>1.0426789082562553</v>
      </c>
      <c r="J5" s="34">
        <v>1.0608166133187602</v>
      </c>
      <c r="K5" s="34">
        <v>0.95325937575268138</v>
      </c>
      <c r="L5" s="34">
        <v>1.0235961934442652</v>
      </c>
      <c r="M5" s="34">
        <v>0.97956700896069071</v>
      </c>
      <c r="N5" s="195">
        <v>0.98635829086632698</v>
      </c>
    </row>
    <row r="6" spans="1:14" x14ac:dyDescent="0.15">
      <c r="A6" s="194"/>
      <c r="D6" s="20" t="s">
        <v>83</v>
      </c>
      <c r="E6" s="34">
        <v>3.2851319459343489</v>
      </c>
      <c r="F6" s="34">
        <v>5.736700443318556</v>
      </c>
      <c r="G6" s="34">
        <v>8.915993537964459</v>
      </c>
      <c r="H6" s="34">
        <v>29.625171939477305</v>
      </c>
      <c r="I6" s="34">
        <v>-24.430777422790204</v>
      </c>
      <c r="J6" s="34">
        <v>-17.442875481386391</v>
      </c>
      <c r="K6" s="34">
        <v>20.394665050015156</v>
      </c>
      <c r="L6" s="34">
        <v>-43.379716981132077</v>
      </c>
      <c r="M6" s="34">
        <v>47.940460947503205</v>
      </c>
      <c r="N6" s="195">
        <v>72.304597701149433</v>
      </c>
    </row>
    <row r="7" spans="1:14" x14ac:dyDescent="0.15">
      <c r="A7" s="194"/>
      <c r="C7" s="35" t="s">
        <v>85</v>
      </c>
      <c r="D7" s="20" t="s">
        <v>86</v>
      </c>
      <c r="E7" s="34">
        <v>4.8941240184132138</v>
      </c>
      <c r="F7" s="34">
        <v>4.9330171902786013</v>
      </c>
      <c r="G7" s="34">
        <v>4.9631046298509842</v>
      </c>
      <c r="H7" s="34">
        <v>5.2202698462503916</v>
      </c>
      <c r="I7" s="34">
        <v>5.101831238779174</v>
      </c>
      <c r="J7" s="34">
        <v>4.9998623632234533</v>
      </c>
      <c r="K7" s="34">
        <v>5.2479100258615503</v>
      </c>
      <c r="L7" s="34">
        <v>4.5461754576762736</v>
      </c>
      <c r="M7" s="34">
        <v>4.2041710198505182</v>
      </c>
      <c r="N7" s="195">
        <v>4.8488272311212812</v>
      </c>
    </row>
    <row r="8" spans="1:14" x14ac:dyDescent="0.15">
      <c r="A8" s="194"/>
      <c r="D8" s="20" t="s">
        <v>87</v>
      </c>
      <c r="E8" s="34">
        <v>74.579229832909164</v>
      </c>
      <c r="F8" s="34">
        <v>73.991228070175438</v>
      </c>
      <c r="G8" s="34">
        <v>73.542676856876781</v>
      </c>
      <c r="H8" s="34">
        <v>69.919757167758618</v>
      </c>
      <c r="I8" s="34">
        <v>71.542938783553623</v>
      </c>
      <c r="J8" s="34">
        <v>73.002009552255245</v>
      </c>
      <c r="K8" s="34">
        <v>69.551497301076139</v>
      </c>
      <c r="L8" s="34">
        <v>80.287266384251183</v>
      </c>
      <c r="M8" s="34">
        <v>86.818542413381124</v>
      </c>
      <c r="N8" s="195">
        <v>75.27593428310179</v>
      </c>
    </row>
    <row r="9" spans="1:14" x14ac:dyDescent="0.15">
      <c r="A9" s="194"/>
      <c r="D9" s="20" t="s">
        <v>88</v>
      </c>
      <c r="E9" s="34">
        <v>2.0822109848295196</v>
      </c>
      <c r="F9" s="34">
        <v>2.0804014195398248</v>
      </c>
      <c r="G9" s="34">
        <v>2.2016245403342176</v>
      </c>
      <c r="H9" s="34">
        <v>2.266028880055694</v>
      </c>
      <c r="I9" s="34">
        <v>2.4589914324023363</v>
      </c>
      <c r="J9" s="34">
        <v>2.1513193848075569</v>
      </c>
      <c r="K9" s="34">
        <v>1.8717501877275755</v>
      </c>
      <c r="L9" s="34">
        <v>2.1030246535700372</v>
      </c>
      <c r="M9" s="34">
        <v>2.059035908169272</v>
      </c>
      <c r="N9" s="195">
        <v>1.9948908924604731</v>
      </c>
    </row>
    <row r="10" spans="1:14" ht="14" thickBot="1" x14ac:dyDescent="0.2">
      <c r="A10" s="196"/>
      <c r="B10" s="197"/>
      <c r="C10" s="198" t="s">
        <v>89</v>
      </c>
      <c r="D10" s="197" t="s">
        <v>90</v>
      </c>
      <c r="E10" s="199">
        <v>7.6284024237760886E-2</v>
      </c>
      <c r="F10" s="199">
        <v>7.9180740857894921E-2</v>
      </c>
      <c r="G10" s="199">
        <v>8.4116496643585809E-2</v>
      </c>
      <c r="H10" s="199">
        <v>8.5526837389994448E-2</v>
      </c>
      <c r="I10" s="199">
        <v>0.10277903570141309</v>
      </c>
      <c r="J10" s="199">
        <v>0.10199138126559311</v>
      </c>
      <c r="K10" s="199">
        <v>9.738853985315267E-2</v>
      </c>
      <c r="L10" s="199">
        <v>0.10871477999695681</v>
      </c>
      <c r="M10" s="199">
        <v>0.10867010158637383</v>
      </c>
      <c r="N10" s="200">
        <v>9.9188440351348342E-2</v>
      </c>
    </row>
    <row r="11" spans="1:14" x14ac:dyDescent="0.15">
      <c r="A11" s="194" t="s">
        <v>296</v>
      </c>
      <c r="B11" s="20" t="s">
        <v>193</v>
      </c>
      <c r="C11" s="35" t="s">
        <v>79</v>
      </c>
      <c r="D11" s="20" t="s">
        <v>77</v>
      </c>
      <c r="E11" s="34">
        <v>1.5525450975205268</v>
      </c>
      <c r="F11" s="34">
        <v>1.3795473382735501</v>
      </c>
      <c r="G11" s="34">
        <v>1.4005343723907597</v>
      </c>
      <c r="H11" s="34">
        <v>1.3838208194714123</v>
      </c>
      <c r="I11" s="34">
        <v>1.2695637065846697</v>
      </c>
      <c r="J11" s="34">
        <v>1.4888414449169765</v>
      </c>
      <c r="K11" s="34">
        <v>1.2338435003367199</v>
      </c>
      <c r="L11" s="34">
        <v>1.4477014337109813</v>
      </c>
      <c r="M11" s="34">
        <v>1.1429037693151032</v>
      </c>
      <c r="N11" s="201"/>
    </row>
    <row r="12" spans="1:14" x14ac:dyDescent="0.15">
      <c r="A12" s="194"/>
      <c r="D12" s="20" t="s">
        <v>78</v>
      </c>
      <c r="E12" s="34">
        <v>0.16594768382390351</v>
      </c>
      <c r="F12" s="34">
        <v>0.17443807085354152</v>
      </c>
      <c r="G12" s="34">
        <v>0.20946841079877551</v>
      </c>
      <c r="H12" s="34">
        <v>0.21876646425170346</v>
      </c>
      <c r="I12" s="34">
        <v>0.21649253177592256</v>
      </c>
      <c r="J12" s="34">
        <v>0.5529995592671243</v>
      </c>
      <c r="K12" s="34">
        <v>0.25696719524425504</v>
      </c>
      <c r="L12" s="34">
        <v>0.16404041487626625</v>
      </c>
      <c r="M12" s="34">
        <v>0.18271495200140955</v>
      </c>
      <c r="N12" s="201"/>
    </row>
    <row r="13" spans="1:14" x14ac:dyDescent="0.15">
      <c r="A13" s="194"/>
      <c r="D13" s="20" t="s">
        <v>80</v>
      </c>
      <c r="E13" s="34">
        <v>1.6177113962172007E-3</v>
      </c>
      <c r="F13" s="34">
        <v>1.850529719261101E-3</v>
      </c>
      <c r="G13" s="34">
        <v>1.5474533815752851E-3</v>
      </c>
      <c r="H13" s="34">
        <v>1.5929356765647996E-3</v>
      </c>
      <c r="I13" s="34">
        <v>4.8932115444826715E-2</v>
      </c>
      <c r="J13" s="34">
        <v>0.44040661900646222</v>
      </c>
      <c r="K13" s="34">
        <v>0.13511819111156331</v>
      </c>
      <c r="L13" s="34">
        <v>9.728256442958487E-3</v>
      </c>
      <c r="M13" s="34">
        <v>2.984514931689139E-2</v>
      </c>
      <c r="N13" s="201"/>
    </row>
    <row r="14" spans="1:14" x14ac:dyDescent="0.15">
      <c r="A14" s="194"/>
      <c r="C14" s="35" t="s">
        <v>81</v>
      </c>
      <c r="D14" s="20" t="s">
        <v>82</v>
      </c>
      <c r="E14" s="34">
        <v>0.58289490551324097</v>
      </c>
      <c r="F14" s="34">
        <v>0.83844021531198354</v>
      </c>
      <c r="G14" s="34">
        <v>0.58533397253912012</v>
      </c>
      <c r="H14" s="34">
        <v>0.52652681204222374</v>
      </c>
      <c r="I14" s="34">
        <v>0.67115559936307956</v>
      </c>
      <c r="J14" s="34">
        <v>0.65373582023486121</v>
      </c>
      <c r="K14" s="34">
        <v>0.64532104607854557</v>
      </c>
      <c r="L14" s="34">
        <v>0.61914873960124484</v>
      </c>
      <c r="M14" s="34">
        <v>0.58585109006873926</v>
      </c>
      <c r="N14" s="201"/>
    </row>
    <row r="15" spans="1:14" x14ac:dyDescent="0.15">
      <c r="A15" s="194"/>
      <c r="D15" s="20" t="s">
        <v>83</v>
      </c>
      <c r="E15" s="34">
        <v>1.3974773101980054</v>
      </c>
      <c r="F15" s="34">
        <v>5.1896591526850013</v>
      </c>
      <c r="G15" s="34">
        <v>1.4115792801336766</v>
      </c>
      <c r="H15" s="34">
        <v>1.1120520135750092</v>
      </c>
      <c r="I15" s="34">
        <v>2.0409518850348536</v>
      </c>
      <c r="J15" s="34">
        <v>1.8879683733912982</v>
      </c>
      <c r="K15" s="34">
        <v>1.8194511936602127</v>
      </c>
      <c r="L15" s="34">
        <v>1.6256969688192442</v>
      </c>
      <c r="M15" s="34">
        <v>1.4145904432441392</v>
      </c>
      <c r="N15" s="201"/>
    </row>
    <row r="16" spans="1:14" x14ac:dyDescent="0.15">
      <c r="A16" s="194"/>
      <c r="C16" s="35" t="s">
        <v>85</v>
      </c>
      <c r="D16" s="20" t="s">
        <v>86</v>
      </c>
      <c r="E16" s="34">
        <v>1.7294336479937189</v>
      </c>
      <c r="F16" s="34">
        <v>2.1160802446016711</v>
      </c>
      <c r="G16" s="34">
        <v>1.8978922771351792</v>
      </c>
      <c r="H16" s="34">
        <v>2.1391720840569493</v>
      </c>
      <c r="I16" s="34">
        <v>2.0321586622326486</v>
      </c>
      <c r="J16" s="34">
        <v>2.1267522935779817</v>
      </c>
      <c r="K16" s="34">
        <v>1.9950057084702588</v>
      </c>
      <c r="L16" s="34">
        <v>1.9629237288135593</v>
      </c>
      <c r="M16" s="34">
        <v>2.3102978800343532</v>
      </c>
      <c r="N16" s="201"/>
    </row>
    <row r="17" spans="1:14" x14ac:dyDescent="0.15">
      <c r="A17" s="194"/>
      <c r="D17" s="20" t="s">
        <v>87</v>
      </c>
      <c r="E17" s="34">
        <v>211.0517512038864</v>
      </c>
      <c r="F17" s="34">
        <v>172.48873284987698</v>
      </c>
      <c r="G17" s="34">
        <v>192.31860754023319</v>
      </c>
      <c r="H17" s="34">
        <v>170.62675916552533</v>
      </c>
      <c r="I17" s="34">
        <v>179.61195982551362</v>
      </c>
      <c r="J17" s="34">
        <v>171.62318390447595</v>
      </c>
      <c r="K17" s="34">
        <v>182.95686997300709</v>
      </c>
      <c r="L17" s="34">
        <v>185.94711279007015</v>
      </c>
      <c r="M17" s="34">
        <v>157.98828504078989</v>
      </c>
      <c r="N17" s="201"/>
    </row>
    <row r="18" spans="1:14" x14ac:dyDescent="0.15">
      <c r="A18" s="194"/>
      <c r="D18" s="20" t="s">
        <v>88</v>
      </c>
      <c r="E18" s="34">
        <v>1.0469015393490082</v>
      </c>
      <c r="F18" s="34">
        <v>1.2641987280519176</v>
      </c>
      <c r="G18" s="34">
        <v>1.2966080270264198</v>
      </c>
      <c r="H18" s="34">
        <v>1.3855120894650395</v>
      </c>
      <c r="I18" s="34">
        <v>0.88002756948409189</v>
      </c>
      <c r="J18" s="34">
        <v>0.84216322244113284</v>
      </c>
      <c r="K18" s="34">
        <v>0.92034674504348379</v>
      </c>
      <c r="L18" s="34">
        <v>0.98005879700554455</v>
      </c>
      <c r="M18" s="34">
        <v>0.94666738158303931</v>
      </c>
      <c r="N18" s="201"/>
    </row>
    <row r="19" spans="1:14" ht="14" thickBot="1" x14ac:dyDescent="0.2">
      <c r="A19" s="196"/>
      <c r="B19" s="197"/>
      <c r="C19" s="198" t="s">
        <v>89</v>
      </c>
      <c r="D19" s="197" t="s">
        <v>90</v>
      </c>
      <c r="E19" s="202">
        <v>3.4192078692673072E-2</v>
      </c>
      <c r="F19" s="202">
        <v>4.0959915641931216E-2</v>
      </c>
      <c r="G19" s="202">
        <v>7.422764985011919E-2</v>
      </c>
      <c r="H19" s="202">
        <v>6.7951654182126134E-2</v>
      </c>
      <c r="I19" s="202">
        <v>7.364176985474144E-2</v>
      </c>
      <c r="J19" s="202">
        <v>8.0378417240088582E-2</v>
      </c>
      <c r="K19" s="202">
        <v>8.2489377559499213E-2</v>
      </c>
      <c r="L19" s="202">
        <v>6.992540461623277E-2</v>
      </c>
      <c r="M19" s="202">
        <v>5.5728696087164957E-2</v>
      </c>
      <c r="N19" s="203"/>
    </row>
    <row r="20" spans="1:14" x14ac:dyDescent="0.15">
      <c r="A20" s="194" t="s">
        <v>297</v>
      </c>
      <c r="B20" s="20" t="s">
        <v>194</v>
      </c>
      <c r="C20" s="35" t="s">
        <v>79</v>
      </c>
      <c r="D20" s="20" t="s">
        <v>77</v>
      </c>
      <c r="E20" s="34">
        <v>1.0783055198973042</v>
      </c>
      <c r="F20" s="34">
        <v>1.0065764391917651</v>
      </c>
      <c r="G20" s="34">
        <v>1.0021713713044931</v>
      </c>
      <c r="H20" s="34">
        <v>1.0558862433862433</v>
      </c>
      <c r="I20" s="34">
        <v>0.98144443678002347</v>
      </c>
      <c r="J20" s="34">
        <v>1.0089579765511789</v>
      </c>
      <c r="K20" s="34">
        <v>1.191991457554725</v>
      </c>
      <c r="L20" s="34">
        <v>1.0199308521456174</v>
      </c>
      <c r="M20" s="34">
        <v>1.098969811900979</v>
      </c>
      <c r="N20" s="195">
        <v>1.2250128468653647</v>
      </c>
    </row>
    <row r="21" spans="1:14" x14ac:dyDescent="0.15">
      <c r="A21" s="194"/>
      <c r="D21" s="20" t="s">
        <v>78</v>
      </c>
      <c r="E21" s="34">
        <v>0.12505348737697894</v>
      </c>
      <c r="F21" s="34">
        <v>0.10512771635531833</v>
      </c>
      <c r="G21" s="34">
        <v>0.12877902121262733</v>
      </c>
      <c r="H21" s="34">
        <v>0.11400462962962948</v>
      </c>
      <c r="I21" s="34">
        <v>0.11498930813271714</v>
      </c>
      <c r="J21" s="34">
        <v>0.14089052825714657</v>
      </c>
      <c r="K21" s="34">
        <v>0.32744260544580883</v>
      </c>
      <c r="L21" s="34">
        <v>0.12482204596298556</v>
      </c>
      <c r="M21" s="34">
        <v>0.14914663523140792</v>
      </c>
      <c r="N21" s="195">
        <v>0.13983812949640281</v>
      </c>
    </row>
    <row r="22" spans="1:14" x14ac:dyDescent="0.15">
      <c r="A22" s="194"/>
      <c r="D22" s="20" t="s">
        <v>80</v>
      </c>
      <c r="E22" s="34">
        <v>6.322207958921694E-2</v>
      </c>
      <c r="F22" s="34">
        <v>6.786122760198246E-2</v>
      </c>
      <c r="G22" s="34">
        <v>5.4952396859863042E-2</v>
      </c>
      <c r="H22" s="34">
        <v>5.7043650793650799E-2</v>
      </c>
      <c r="I22" s="34">
        <v>5.0286266124025661E-2</v>
      </c>
      <c r="J22" s="34">
        <v>5.7699907785535506E-2</v>
      </c>
      <c r="K22" s="34">
        <v>0.27741591030432461</v>
      </c>
      <c r="L22" s="34">
        <v>7.1384990848078103E-2</v>
      </c>
      <c r="M22" s="34">
        <v>8.8770437189277823E-2</v>
      </c>
      <c r="N22" s="195">
        <v>7.8879753340184988E-2</v>
      </c>
    </row>
    <row r="23" spans="1:14" x14ac:dyDescent="0.15">
      <c r="A23" s="194"/>
      <c r="C23" s="35" t="s">
        <v>81</v>
      </c>
      <c r="D23" s="20" t="s">
        <v>82</v>
      </c>
      <c r="E23" s="34">
        <v>0.6868067992584912</v>
      </c>
      <c r="F23" s="34">
        <v>0.75519733896245111</v>
      </c>
      <c r="G23" s="34">
        <v>0.81300860265054642</v>
      </c>
      <c r="H23" s="34">
        <v>0.83358363322093454</v>
      </c>
      <c r="I23" s="34">
        <v>0.89440129824968118</v>
      </c>
      <c r="J23" s="34">
        <v>0.95003926933698168</v>
      </c>
      <c r="K23" s="34">
        <v>0.96925216647052548</v>
      </c>
      <c r="L23" s="34">
        <v>1.1078853046594981</v>
      </c>
      <c r="M23" s="34">
        <v>1.3261187883225038</v>
      </c>
      <c r="N23" s="195">
        <v>1.360090919966503</v>
      </c>
    </row>
    <row r="24" spans="1:14" x14ac:dyDescent="0.15">
      <c r="A24" s="194"/>
      <c r="D24" s="20" t="s">
        <v>83</v>
      </c>
      <c r="E24" s="34">
        <v>2.1929173354735152</v>
      </c>
      <c r="F24" s="34">
        <v>3.0849229161222893</v>
      </c>
      <c r="G24" s="34">
        <v>4.3478396021137709</v>
      </c>
      <c r="H24" s="34">
        <v>5.0090243487144566</v>
      </c>
      <c r="I24" s="34">
        <v>8.4698133918770573</v>
      </c>
      <c r="J24" s="34">
        <v>19.015720081135903</v>
      </c>
      <c r="K24" s="34">
        <v>31.522616562282533</v>
      </c>
      <c r="L24" s="34">
        <v>-10.269102990033222</v>
      </c>
      <c r="M24" s="34">
        <v>-4.0663673354847756</v>
      </c>
      <c r="N24" s="195">
        <v>-3.7770764119601328</v>
      </c>
    </row>
    <row r="25" spans="1:14" x14ac:dyDescent="0.15">
      <c r="A25" s="194"/>
      <c r="C25" s="35" t="s">
        <v>85</v>
      </c>
      <c r="D25" s="20" t="s">
        <v>86</v>
      </c>
      <c r="E25" s="34">
        <v>4.1145774884973623</v>
      </c>
      <c r="F25" s="34">
        <v>4.0710509621484459</v>
      </c>
      <c r="G25" s="34">
        <v>4.0689424364123159</v>
      </c>
      <c r="H25" s="34">
        <v>3.9682261037479147</v>
      </c>
      <c r="I25" s="34">
        <v>3.8532760130562851</v>
      </c>
      <c r="J25" s="34">
        <v>3.7335913195234842</v>
      </c>
      <c r="K25" s="34">
        <v>3.7068486383004999</v>
      </c>
      <c r="L25" s="34">
        <v>3.6463504686168706</v>
      </c>
      <c r="M25" s="34">
        <v>3.4967623570041009</v>
      </c>
      <c r="N25" s="195">
        <v>3.4055285900319641</v>
      </c>
    </row>
    <row r="26" spans="1:14" x14ac:dyDescent="0.15">
      <c r="A26" s="194"/>
      <c r="D26" s="20" t="s">
        <v>87</v>
      </c>
      <c r="E26" s="34">
        <v>88.708986772126011</v>
      </c>
      <c r="F26" s="34">
        <v>89.657438188240178</v>
      </c>
      <c r="G26" s="34">
        <v>89.70389866754401</v>
      </c>
      <c r="H26" s="34">
        <v>91.98064587480647</v>
      </c>
      <c r="I26" s="34">
        <v>94.724592467097793</v>
      </c>
      <c r="J26" s="34">
        <v>97.761101514073772</v>
      </c>
      <c r="K26" s="34">
        <v>98.46638900458143</v>
      </c>
      <c r="L26" s="34">
        <v>100.10008723556717</v>
      </c>
      <c r="M26" s="34">
        <v>104.38227215209407</v>
      </c>
      <c r="N26" s="195">
        <v>107.17866268054856</v>
      </c>
    </row>
    <row r="27" spans="1:14" x14ac:dyDescent="0.15">
      <c r="A27" s="194"/>
      <c r="D27" s="20" t="s">
        <v>88</v>
      </c>
      <c r="E27" s="34">
        <v>1.7665189933075689</v>
      </c>
      <c r="F27" s="34">
        <v>1.8894006268790378</v>
      </c>
      <c r="G27" s="34">
        <v>1.8895896303185307</v>
      </c>
      <c r="H27" s="34">
        <v>1.944376753279873</v>
      </c>
      <c r="I27" s="34">
        <v>2.066448359800626</v>
      </c>
      <c r="J27" s="34">
        <v>1.8278736287400879</v>
      </c>
      <c r="K27" s="34">
        <v>1.9171284904247352</v>
      </c>
      <c r="L27" s="34">
        <v>2.1561379928315412</v>
      </c>
      <c r="M27" s="34">
        <v>2.2206232268692232</v>
      </c>
      <c r="N27" s="195">
        <v>2.0666826175379831</v>
      </c>
    </row>
    <row r="28" spans="1:14" ht="14" thickBot="1" x14ac:dyDescent="0.2">
      <c r="A28" s="196"/>
      <c r="B28" s="197"/>
      <c r="C28" s="198" t="s">
        <v>89</v>
      </c>
      <c r="D28" s="197" t="s">
        <v>90</v>
      </c>
      <c r="E28" s="202">
        <v>4.798747843409281E-2</v>
      </c>
      <c r="F28" s="202">
        <v>4.30984866438704E-2</v>
      </c>
      <c r="G28" s="202">
        <v>4.7572173431564051E-2</v>
      </c>
      <c r="H28" s="202">
        <v>5.023390023171425E-2</v>
      </c>
      <c r="I28" s="202">
        <v>3.2450321838758081E-2</v>
      </c>
      <c r="J28" s="202">
        <v>5.9336364140378114E-2</v>
      </c>
      <c r="K28" s="202">
        <v>6.5124948379968073E-2</v>
      </c>
      <c r="L28" s="202">
        <v>8.7709090909090903E-2</v>
      </c>
      <c r="M28" s="202">
        <v>6.6320485477905186E-2</v>
      </c>
      <c r="N28" s="204">
        <v>8.9445106915035252E-2</v>
      </c>
    </row>
    <row r="29" spans="1:14" x14ac:dyDescent="0.15">
      <c r="A29" s="194" t="s">
        <v>263</v>
      </c>
      <c r="B29" s="20" t="s">
        <v>192</v>
      </c>
      <c r="C29" s="35" t="s">
        <v>79</v>
      </c>
      <c r="D29" s="20" t="s">
        <v>77</v>
      </c>
      <c r="E29" s="34">
        <v>0.83186712113834327</v>
      </c>
      <c r="F29" s="34">
        <v>0.82057094513980777</v>
      </c>
      <c r="G29" s="34">
        <v>0.92779729683333512</v>
      </c>
      <c r="H29" s="34">
        <v>0.97217334988396553</v>
      </c>
      <c r="I29" s="34">
        <v>0.7945237177015041</v>
      </c>
      <c r="J29" s="34">
        <v>0.79890806303806283</v>
      </c>
      <c r="K29" s="34">
        <v>0.75984768405904157</v>
      </c>
      <c r="L29" s="34">
        <v>0.86195613196270626</v>
      </c>
      <c r="M29" s="34">
        <v>0.93221807827419167</v>
      </c>
      <c r="N29" s="195">
        <v>0.96945091310209586</v>
      </c>
    </row>
    <row r="30" spans="1:14" x14ac:dyDescent="0.15">
      <c r="A30" s="194"/>
      <c r="D30" s="20" t="s">
        <v>78</v>
      </c>
      <c r="E30" s="34">
        <v>0.23789428123140174</v>
      </c>
      <c r="F30" s="34">
        <v>0.2069350745135469</v>
      </c>
      <c r="G30" s="34">
        <v>0.28106295563007122</v>
      </c>
      <c r="H30" s="34">
        <v>0.48699875870257425</v>
      </c>
      <c r="I30" s="34">
        <v>0.22330633757552384</v>
      </c>
      <c r="J30" s="34">
        <v>0.22752558823909033</v>
      </c>
      <c r="K30" s="34">
        <v>0.20225162695329907</v>
      </c>
      <c r="L30" s="34">
        <v>0.21878735357398996</v>
      </c>
      <c r="M30" s="34">
        <v>0.24404586886209931</v>
      </c>
      <c r="N30" s="195">
        <v>0.27786799852923155</v>
      </c>
    </row>
    <row r="31" spans="1:14" x14ac:dyDescent="0.15">
      <c r="A31" s="194"/>
      <c r="D31" s="20" t="s">
        <v>80</v>
      </c>
      <c r="E31" s="34">
        <v>0.10676838175620841</v>
      </c>
      <c r="F31" s="34">
        <v>9.3548666999284158E-2</v>
      </c>
      <c r="G31" s="34">
        <v>0.16891930555396606</v>
      </c>
      <c r="H31" s="34">
        <v>0.19149441416158455</v>
      </c>
      <c r="I31" s="34">
        <v>0.12167373698418821</v>
      </c>
      <c r="J31" s="34">
        <v>9.9668288653406822E-2</v>
      </c>
      <c r="K31" s="34">
        <v>8.6040677016339578E-2</v>
      </c>
      <c r="L31" s="34">
        <v>0.10260279703562036</v>
      </c>
      <c r="M31" s="34">
        <v>0.13471270059889506</v>
      </c>
      <c r="N31" s="195">
        <v>0.13995281284471137</v>
      </c>
    </row>
    <row r="32" spans="1:14" x14ac:dyDescent="0.15">
      <c r="A32" s="194"/>
      <c r="C32" s="35" t="s">
        <v>81</v>
      </c>
      <c r="D32" s="20" t="s">
        <v>82</v>
      </c>
      <c r="E32" s="34">
        <v>0.66774432545295348</v>
      </c>
      <c r="F32" s="34">
        <v>0.68464660337092975</v>
      </c>
      <c r="G32" s="34">
        <v>0.65999754962019119</v>
      </c>
      <c r="H32" s="34">
        <v>0.67949987326531891</v>
      </c>
      <c r="I32" s="34">
        <v>0.68426816634601151</v>
      </c>
      <c r="J32" s="34">
        <v>0.66941334731754032</v>
      </c>
      <c r="K32" s="34">
        <v>0.61926345332042521</v>
      </c>
      <c r="L32" s="34">
        <v>0.60871117817175902</v>
      </c>
      <c r="M32" s="34">
        <v>0.59642450934708213</v>
      </c>
      <c r="N32" s="195">
        <v>0.60043395874446504</v>
      </c>
    </row>
    <row r="33" spans="1:14" x14ac:dyDescent="0.15">
      <c r="A33" s="194"/>
      <c r="D33" s="20" t="s">
        <v>83</v>
      </c>
      <c r="E33" s="34">
        <v>2.0097303871883239</v>
      </c>
      <c r="F33" s="34">
        <v>2.1710455973817688</v>
      </c>
      <c r="G33" s="34">
        <v>1.9411552736838313</v>
      </c>
      <c r="H33" s="34">
        <v>2.1201235712079085</v>
      </c>
      <c r="I33" s="34">
        <v>2.1672447736008249</v>
      </c>
      <c r="J33" s="34">
        <v>2.0249255131317594</v>
      </c>
      <c r="K33" s="34">
        <v>1.6264880761278557</v>
      </c>
      <c r="L33" s="34">
        <v>1.5556569577624104</v>
      </c>
      <c r="M33" s="34">
        <v>1.4778511657934594</v>
      </c>
      <c r="N33" s="195">
        <v>1.5027151878516845</v>
      </c>
    </row>
    <row r="34" spans="1:14" x14ac:dyDescent="0.15">
      <c r="A34" s="194"/>
      <c r="C34" s="35" t="s">
        <v>85</v>
      </c>
      <c r="D34" s="20" t="s">
        <v>86</v>
      </c>
      <c r="E34" s="34">
        <v>6.6509873934270933</v>
      </c>
      <c r="F34" s="34">
        <v>6.3805147058823533</v>
      </c>
      <c r="G34" s="34">
        <v>6.3926669144060444</v>
      </c>
      <c r="H34" s="34">
        <v>8.3071036063093722</v>
      </c>
      <c r="I34" s="34">
        <v>8.6711151119612904</v>
      </c>
      <c r="J34" s="34">
        <v>8.913799724412117</v>
      </c>
      <c r="K34" s="34">
        <v>9.5999588881529352</v>
      </c>
      <c r="L34" s="34">
        <v>9.966082795149374</v>
      </c>
      <c r="M34" s="34">
        <v>10.427961051519036</v>
      </c>
      <c r="N34" s="195">
        <v>10.858022640171905</v>
      </c>
    </row>
    <row r="35" spans="1:14" x14ac:dyDescent="0.15">
      <c r="A35" s="194"/>
      <c r="D35" s="20" t="s">
        <v>87</v>
      </c>
      <c r="E35" s="34">
        <v>54.879069589083116</v>
      </c>
      <c r="F35" s="34">
        <v>57.205416306539902</v>
      </c>
      <c r="G35" s="34">
        <v>57.096671058750587</v>
      </c>
      <c r="H35" s="34">
        <v>43.938298749852706</v>
      </c>
      <c r="I35" s="34">
        <v>42.093778630213791</v>
      </c>
      <c r="J35" s="34">
        <v>40.947745213567998</v>
      </c>
      <c r="K35" s="34">
        <v>38.020996157643673</v>
      </c>
      <c r="L35" s="34">
        <v>36.624219114219116</v>
      </c>
      <c r="M35" s="34">
        <v>35.002048645629593</v>
      </c>
      <c r="N35" s="195">
        <v>33.61569708370228</v>
      </c>
    </row>
    <row r="36" spans="1:14" x14ac:dyDescent="0.15">
      <c r="A36" s="194"/>
      <c r="D36" s="20" t="s">
        <v>88</v>
      </c>
      <c r="E36" s="34">
        <v>1.9241399530109071</v>
      </c>
      <c r="F36" s="34">
        <v>1.9824668889830055</v>
      </c>
      <c r="G36" s="34">
        <v>1.984288981458793</v>
      </c>
      <c r="H36" s="34">
        <v>1.9815878271338949</v>
      </c>
      <c r="I36" s="34">
        <v>2.1751199813949555</v>
      </c>
      <c r="J36" s="34">
        <v>2.3893112018057865</v>
      </c>
      <c r="K36" s="34">
        <v>2.7339406029669182</v>
      </c>
      <c r="L36" s="34">
        <v>2.8806940777065257</v>
      </c>
      <c r="M36" s="34">
        <v>3.0628616952515522</v>
      </c>
      <c r="N36" s="195">
        <v>3.1816686793712505</v>
      </c>
    </row>
    <row r="37" spans="1:14" ht="14" thickBot="1" x14ac:dyDescent="0.2">
      <c r="A37" s="196"/>
      <c r="B37" s="197"/>
      <c r="C37" s="198" t="s">
        <v>89</v>
      </c>
      <c r="D37" s="197" t="s">
        <v>90</v>
      </c>
      <c r="E37" s="202">
        <v>3.369291940096901E-2</v>
      </c>
      <c r="F37" s="202">
        <v>3.0477257171302344E-2</v>
      </c>
      <c r="G37" s="202">
        <v>2.8079354069890691E-2</v>
      </c>
      <c r="H37" s="202">
        <v>1.9710478611672393E-2</v>
      </c>
      <c r="I37" s="202">
        <v>1.2966436951429322E-2</v>
      </c>
      <c r="J37" s="202">
        <v>2.8400806162255422E-2</v>
      </c>
      <c r="K37" s="202">
        <v>2.4161630758059986E-2</v>
      </c>
      <c r="L37" s="202">
        <v>2.3872378019184501E-2</v>
      </c>
      <c r="M37" s="202">
        <v>1.9107165350595218E-2</v>
      </c>
      <c r="N37" s="204">
        <v>2.3932111861137896E-2</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775D5-6826-0D49-9CA2-73678803E937}">
  <dimension ref="A1:G65"/>
  <sheetViews>
    <sheetView topLeftCell="A50" zoomScale="140" zoomScaleNormal="140" workbookViewId="0">
      <selection activeCell="N73" sqref="N73"/>
    </sheetView>
  </sheetViews>
  <sheetFormatPr baseColWidth="10" defaultRowHeight="13" x14ac:dyDescent="0.15"/>
  <cols>
    <col min="1" max="1" width="10.83203125" style="20"/>
    <col min="2" max="2" width="16.83203125" style="20" bestFit="1" customWidth="1"/>
    <col min="3" max="3" width="13.6640625" style="20" bestFit="1" customWidth="1"/>
    <col min="4" max="16384" width="10.83203125" style="20"/>
  </cols>
  <sheetData>
    <row r="1" spans="2:7" x14ac:dyDescent="0.15">
      <c r="F1" s="205" t="s">
        <v>298</v>
      </c>
    </row>
    <row r="2" spans="2:7" x14ac:dyDescent="0.15">
      <c r="B2" s="20" t="s">
        <v>299</v>
      </c>
      <c r="C2" s="20" t="s">
        <v>300</v>
      </c>
      <c r="F2" s="20" t="s">
        <v>301</v>
      </c>
      <c r="G2" s="20" t="s">
        <v>300</v>
      </c>
    </row>
    <row r="3" spans="2:7" x14ac:dyDescent="0.15">
      <c r="B3" s="20" t="s">
        <v>302</v>
      </c>
      <c r="C3" s="206">
        <v>0.85</v>
      </c>
      <c r="F3" s="20" t="s">
        <v>303</v>
      </c>
      <c r="G3" s="207">
        <v>0.34200000000000003</v>
      </c>
    </row>
    <row r="4" spans="2:7" x14ac:dyDescent="0.15">
      <c r="B4" s="20" t="s">
        <v>304</v>
      </c>
      <c r="C4" s="206">
        <v>0.09</v>
      </c>
      <c r="F4" s="20" t="s">
        <v>305</v>
      </c>
      <c r="G4" s="207">
        <v>0.32500000000000001</v>
      </c>
    </row>
    <row r="5" spans="2:7" x14ac:dyDescent="0.15">
      <c r="B5" s="20" t="s">
        <v>306</v>
      </c>
      <c r="C5" s="206">
        <v>0.06</v>
      </c>
      <c r="F5" s="20" t="s">
        <v>307</v>
      </c>
      <c r="G5" s="207">
        <v>0.29299999999999998</v>
      </c>
    </row>
    <row r="6" spans="2:7" x14ac:dyDescent="0.15">
      <c r="F6" s="20" t="s">
        <v>308</v>
      </c>
      <c r="G6" s="207">
        <f>1-SUM(G3:G5)</f>
        <v>4.0000000000000036E-2</v>
      </c>
    </row>
    <row r="29" spans="1:3" x14ac:dyDescent="0.15">
      <c r="A29" s="20" t="s">
        <v>195</v>
      </c>
      <c r="B29" s="20" t="s">
        <v>309</v>
      </c>
      <c r="C29" s="20" t="s">
        <v>310</v>
      </c>
    </row>
    <row r="30" spans="1:3" x14ac:dyDescent="0.15">
      <c r="A30" s="208">
        <v>43830</v>
      </c>
      <c r="B30" s="209">
        <v>101330000000</v>
      </c>
      <c r="C30" s="209">
        <v>8890000000</v>
      </c>
    </row>
    <row r="31" spans="1:3" x14ac:dyDescent="0.15">
      <c r="A31" s="208">
        <v>43921</v>
      </c>
      <c r="B31" s="209">
        <v>103300000000</v>
      </c>
      <c r="C31" s="209">
        <v>8810000000</v>
      </c>
    </row>
    <row r="32" spans="1:3" x14ac:dyDescent="0.15">
      <c r="A32" s="208">
        <v>44012</v>
      </c>
      <c r="B32" s="209">
        <v>110320000000</v>
      </c>
      <c r="C32" s="209">
        <v>9000000000</v>
      </c>
    </row>
    <row r="33" spans="1:3" x14ac:dyDescent="0.15">
      <c r="A33" s="208">
        <v>44104</v>
      </c>
      <c r="B33" s="209">
        <v>116170000000</v>
      </c>
      <c r="C33" s="209">
        <v>9460000000</v>
      </c>
    </row>
    <row r="34" spans="1:3" x14ac:dyDescent="0.15">
      <c r="A34" s="208">
        <v>44196</v>
      </c>
      <c r="B34" s="209">
        <v>122160000000</v>
      </c>
      <c r="C34" s="209">
        <v>9950000000</v>
      </c>
    </row>
    <row r="35" spans="1:3" x14ac:dyDescent="0.15">
      <c r="A35" s="208">
        <v>44286</v>
      </c>
      <c r="B35" s="209">
        <v>130460000000</v>
      </c>
      <c r="C35" s="209">
        <v>10890000000</v>
      </c>
    </row>
    <row r="36" spans="1:3" x14ac:dyDescent="0.15">
      <c r="A36" s="208">
        <v>44377</v>
      </c>
      <c r="B36" s="209">
        <v>132890000000</v>
      </c>
      <c r="C36" s="209">
        <v>11520000000</v>
      </c>
    </row>
    <row r="37" spans="1:3" x14ac:dyDescent="0.15">
      <c r="A37" s="208">
        <v>44469</v>
      </c>
      <c r="B37" s="209">
        <v>135790000000</v>
      </c>
      <c r="C37" s="209">
        <v>11910000000</v>
      </c>
    </row>
    <row r="38" spans="1:3" x14ac:dyDescent="0.15">
      <c r="A38" s="208">
        <v>44561</v>
      </c>
      <c r="B38" s="209">
        <v>138920000000</v>
      </c>
      <c r="C38" s="209">
        <v>12240000000</v>
      </c>
    </row>
    <row r="39" spans="1:3" x14ac:dyDescent="0.15">
      <c r="A39" s="208">
        <v>44651</v>
      </c>
      <c r="B39" s="209">
        <v>140210000000</v>
      </c>
      <c r="C39" s="209">
        <v>12360000000</v>
      </c>
    </row>
    <row r="40" spans="1:3" x14ac:dyDescent="0.15">
      <c r="A40" s="208">
        <v>44742</v>
      </c>
      <c r="B40" s="209">
        <v>142610000000</v>
      </c>
      <c r="C40" s="209">
        <v>12630000000</v>
      </c>
    </row>
    <row r="41" spans="1:3" x14ac:dyDescent="0.15">
      <c r="A41" s="208">
        <v>44834</v>
      </c>
      <c r="B41" s="209">
        <v>144660000000</v>
      </c>
      <c r="C41" s="209">
        <v>12630000000</v>
      </c>
    </row>
    <row r="42" spans="1:3" x14ac:dyDescent="0.15">
      <c r="A42" s="208">
        <v>44926</v>
      </c>
      <c r="B42" s="209">
        <v>144840000000</v>
      </c>
      <c r="C42" s="209">
        <v>12560000000</v>
      </c>
    </row>
    <row r="43" spans="1:3" x14ac:dyDescent="0.15">
      <c r="A43" s="208">
        <v>45016</v>
      </c>
      <c r="B43" s="209">
        <v>143340000000</v>
      </c>
      <c r="C43" s="209">
        <v>12410000000</v>
      </c>
    </row>
    <row r="44" spans="1:3" x14ac:dyDescent="0.15">
      <c r="A44" s="208">
        <v>45107</v>
      </c>
      <c r="B44" s="209">
        <v>142490000000</v>
      </c>
      <c r="C44" s="209">
        <v>12390000000</v>
      </c>
    </row>
    <row r="45" spans="1:3" x14ac:dyDescent="0.15">
      <c r="A45" s="208">
        <v>45199</v>
      </c>
      <c r="B45" s="209">
        <v>141250000000</v>
      </c>
      <c r="C45" s="209">
        <v>12470000000</v>
      </c>
    </row>
    <row r="46" spans="1:3" x14ac:dyDescent="0.15">
      <c r="A46" s="208">
        <v>45291</v>
      </c>
      <c r="B46" s="209">
        <v>140080000000</v>
      </c>
      <c r="C46" s="209">
        <v>12590000000</v>
      </c>
    </row>
    <row r="47" spans="1:3" x14ac:dyDescent="0.15">
      <c r="A47" s="208">
        <v>45382</v>
      </c>
      <c r="B47" s="209">
        <v>139150000000</v>
      </c>
      <c r="C47" s="209">
        <v>12690000000</v>
      </c>
    </row>
    <row r="48" spans="1:3" x14ac:dyDescent="0.15">
      <c r="A48" s="208">
        <v>45473</v>
      </c>
      <c r="B48" s="209">
        <v>139470000000</v>
      </c>
      <c r="C48" s="209">
        <v>12620000000</v>
      </c>
    </row>
    <row r="49" spans="1:4" x14ac:dyDescent="0.15">
      <c r="A49" s="208">
        <v>45565</v>
      </c>
      <c r="B49" s="209">
        <v>142060000000</v>
      </c>
      <c r="C49" s="209">
        <v>12540000000</v>
      </c>
    </row>
    <row r="59" spans="1:4" x14ac:dyDescent="0.15">
      <c r="A59" s="20" t="s">
        <v>311</v>
      </c>
      <c r="B59" s="20" t="s">
        <v>312</v>
      </c>
      <c r="C59" s="20" t="s">
        <v>313</v>
      </c>
      <c r="D59" s="20" t="s">
        <v>314</v>
      </c>
    </row>
    <row r="60" spans="1:4" x14ac:dyDescent="0.15">
      <c r="A60" s="20" t="s">
        <v>315</v>
      </c>
      <c r="B60" s="20">
        <v>3</v>
      </c>
      <c r="C60" s="20">
        <v>3</v>
      </c>
      <c r="D60" s="20">
        <v>300</v>
      </c>
    </row>
    <row r="61" spans="1:4" x14ac:dyDescent="0.15">
      <c r="A61" s="20" t="s">
        <v>316</v>
      </c>
      <c r="B61" s="20">
        <v>3</v>
      </c>
      <c r="C61" s="20">
        <v>3</v>
      </c>
      <c r="D61" s="20">
        <v>300</v>
      </c>
    </row>
    <row r="62" spans="1:4" x14ac:dyDescent="0.15">
      <c r="A62" s="20" t="s">
        <v>317</v>
      </c>
      <c r="B62" s="20">
        <v>3</v>
      </c>
      <c r="C62" s="20">
        <v>2</v>
      </c>
      <c r="D62" s="20">
        <v>250</v>
      </c>
    </row>
    <row r="63" spans="1:4" x14ac:dyDescent="0.15">
      <c r="A63" s="20" t="s">
        <v>318</v>
      </c>
      <c r="B63" s="20">
        <v>3</v>
      </c>
      <c r="C63" s="20">
        <v>2</v>
      </c>
      <c r="D63" s="20">
        <v>250</v>
      </c>
    </row>
    <row r="64" spans="1:4" x14ac:dyDescent="0.15">
      <c r="A64" s="20" t="s">
        <v>319</v>
      </c>
      <c r="B64" s="20">
        <v>2</v>
      </c>
      <c r="C64" s="20">
        <v>2</v>
      </c>
      <c r="D64" s="20">
        <v>220</v>
      </c>
    </row>
    <row r="65" spans="1:4" x14ac:dyDescent="0.15">
      <c r="A65" s="20" t="s">
        <v>320</v>
      </c>
      <c r="B65" s="20">
        <v>2</v>
      </c>
      <c r="C65" s="20">
        <v>1</v>
      </c>
      <c r="D65" s="20">
        <v>180</v>
      </c>
    </row>
  </sheetData>
  <hyperlinks>
    <hyperlink ref="F1" r:id="rId1" xr:uid="{4CC3FCCE-2D07-F049-82D9-1E43AACA189A}"/>
  </hyperlinks>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4A325-91DD-A147-88FF-620A94167E0D}">
  <dimension ref="A1"/>
  <sheetViews>
    <sheetView workbookViewId="0">
      <selection activeCell="N73" sqref="N73"/>
    </sheetView>
  </sheetViews>
  <sheetFormatPr baseColWidth="10" defaultRowHeight="13" x14ac:dyDescent="0.15"/>
  <cols>
    <col min="1" max="16384" width="10.83203125" style="20"/>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433C6-CEB3-EA48-AB78-A3419652B3DF}">
  <dimension ref="A2:AK118"/>
  <sheetViews>
    <sheetView topLeftCell="J71" zoomScale="140" zoomScaleNormal="140" workbookViewId="0">
      <selection activeCell="Q73" sqref="Q73"/>
    </sheetView>
  </sheetViews>
  <sheetFormatPr baseColWidth="10" defaultRowHeight="13" x14ac:dyDescent="0.15"/>
  <cols>
    <col min="1" max="1" width="34.6640625" customWidth="1"/>
    <col min="2" max="2" width="15.6640625" bestFit="1" customWidth="1"/>
    <col min="3" max="8" width="15" bestFit="1" customWidth="1"/>
    <col min="9" max="10" width="16" bestFit="1" customWidth="1"/>
    <col min="11" max="11" width="17.5" customWidth="1"/>
    <col min="13" max="13" width="14.5" customWidth="1"/>
    <col min="27" max="27" width="27.5" bestFit="1" customWidth="1"/>
    <col min="28" max="37" width="12.1640625" bestFit="1" customWidth="1"/>
  </cols>
  <sheetData>
    <row r="2" spans="1:37" ht="15" thickBot="1" x14ac:dyDescent="0.2">
      <c r="AA2" s="53" t="s">
        <v>257</v>
      </c>
      <c r="AB2" s="127">
        <v>157403000</v>
      </c>
      <c r="AC2" s="127">
        <v>152669000</v>
      </c>
      <c r="AD2" s="127">
        <v>162500883.59999999</v>
      </c>
      <c r="AE2" s="127">
        <v>172965940.50384</v>
      </c>
      <c r="AF2" s="127">
        <v>184104947.07228729</v>
      </c>
      <c r="AG2" s="127">
        <v>195961305.6637426</v>
      </c>
      <c r="AH2" s="127">
        <v>208581213.74848762</v>
      </c>
      <c r="AI2" s="127">
        <v>222013843.91389021</v>
      </c>
      <c r="AJ2" s="127">
        <v>236311535.46194476</v>
      </c>
      <c r="AK2" s="54">
        <v>251529998.34569401</v>
      </c>
    </row>
    <row r="3" spans="1:37" ht="14" customHeight="1" thickBot="1" x14ac:dyDescent="0.2">
      <c r="A3" s="173" t="s">
        <v>123</v>
      </c>
      <c r="B3" s="174"/>
      <c r="C3" s="174"/>
      <c r="D3" s="174"/>
      <c r="E3" s="174"/>
      <c r="F3" s="174"/>
      <c r="G3" s="174"/>
      <c r="H3" s="174"/>
      <c r="I3" s="174"/>
      <c r="J3" s="174"/>
      <c r="K3" s="175"/>
      <c r="AA3" s="55" t="s">
        <v>42</v>
      </c>
      <c r="AB3" s="128">
        <v>104625000</v>
      </c>
      <c r="AC3" s="128">
        <v>101709000</v>
      </c>
      <c r="AD3" s="128">
        <v>106634050.764</v>
      </c>
      <c r="AE3" s="128">
        <v>111771624.2281632</v>
      </c>
      <c r="AF3" s="128">
        <v>117128667.35773402</v>
      </c>
      <c r="AG3" s="128">
        <v>122712140.47893468</v>
      </c>
      <c r="AH3" s="128">
        <v>128528990.18829319</v>
      </c>
      <c r="AI3" s="128">
        <v>134586118.71728036</v>
      </c>
      <c r="AJ3" s="128">
        <v>140890349.40805379</v>
      </c>
      <c r="AK3" s="52">
        <v>147448387.9264755</v>
      </c>
    </row>
    <row r="4" spans="1:37" ht="14" x14ac:dyDescent="0.15">
      <c r="A4" s="49" t="s">
        <v>4</v>
      </c>
      <c r="B4" s="6">
        <v>2023</v>
      </c>
      <c r="C4" s="6">
        <v>2024</v>
      </c>
      <c r="D4" s="6" t="s">
        <v>248</v>
      </c>
      <c r="E4" s="6" t="s">
        <v>249</v>
      </c>
      <c r="F4" s="6" t="s">
        <v>250</v>
      </c>
      <c r="G4" s="6" t="s">
        <v>251</v>
      </c>
      <c r="H4" s="6" t="s">
        <v>252</v>
      </c>
      <c r="I4" s="6" t="s">
        <v>253</v>
      </c>
      <c r="J4" s="6" t="s">
        <v>254</v>
      </c>
      <c r="K4" s="50" t="s">
        <v>255</v>
      </c>
      <c r="AA4" s="19" t="s">
        <v>256</v>
      </c>
      <c r="AB4" s="18">
        <f>AB3/AB2</f>
        <v>0.66469508205053274</v>
      </c>
      <c r="AC4" s="18">
        <f t="shared" ref="AC4:AK4" si="0">AC3/AC2</f>
        <v>0.66620597501784906</v>
      </c>
      <c r="AD4" s="18">
        <f t="shared" si="0"/>
        <v>0.65620597501784905</v>
      </c>
      <c r="AE4" s="18">
        <f t="shared" si="0"/>
        <v>0.64620597501784904</v>
      </c>
      <c r="AF4" s="18">
        <f t="shared" si="0"/>
        <v>0.63620597501784903</v>
      </c>
      <c r="AG4" s="18">
        <f t="shared" si="0"/>
        <v>0.62620597501784903</v>
      </c>
      <c r="AH4" s="18">
        <f t="shared" si="0"/>
        <v>0.61620597501784902</v>
      </c>
      <c r="AI4" s="18">
        <f t="shared" si="0"/>
        <v>0.60620597501784901</v>
      </c>
      <c r="AJ4" s="18">
        <f t="shared" si="0"/>
        <v>0.596205975017849</v>
      </c>
      <c r="AK4" s="18">
        <f t="shared" si="0"/>
        <v>0.58620597501784899</v>
      </c>
    </row>
    <row r="5" spans="1:37" ht="15" thickBot="1" x14ac:dyDescent="0.2">
      <c r="A5" s="49" t="s">
        <v>21</v>
      </c>
      <c r="B5" s="6" t="s">
        <v>22</v>
      </c>
      <c r="C5" s="6" t="s">
        <v>22</v>
      </c>
      <c r="D5" s="6" t="s">
        <v>22</v>
      </c>
      <c r="E5" s="6" t="s">
        <v>22</v>
      </c>
      <c r="F5" s="6" t="s">
        <v>22</v>
      </c>
      <c r="G5" s="6" t="s">
        <v>22</v>
      </c>
      <c r="H5" s="6" t="s">
        <v>22</v>
      </c>
      <c r="I5" s="6" t="s">
        <v>22</v>
      </c>
      <c r="J5" s="6" t="s">
        <v>22</v>
      </c>
      <c r="K5" s="50" t="s">
        <v>22</v>
      </c>
    </row>
    <row r="6" spans="1:37" x14ac:dyDescent="0.15">
      <c r="A6" s="60" t="s">
        <v>23</v>
      </c>
      <c r="B6" s="61">
        <v>157403000</v>
      </c>
      <c r="C6" s="61">
        <v>152669000</v>
      </c>
      <c r="D6" s="61"/>
      <c r="E6" s="61"/>
      <c r="F6" s="61"/>
      <c r="G6" s="61"/>
      <c r="H6" s="61"/>
      <c r="I6" s="61"/>
      <c r="J6" s="61"/>
      <c r="K6" s="62"/>
    </row>
    <row r="7" spans="1:37" ht="14" x14ac:dyDescent="0.15">
      <c r="A7" s="53" t="s">
        <v>24</v>
      </c>
      <c r="B7" s="127">
        <v>157403000</v>
      </c>
      <c r="C7" s="127">
        <v>152669000</v>
      </c>
      <c r="D7" s="127">
        <v>162500883.59999999</v>
      </c>
      <c r="E7" s="127">
        <v>172965940.50384</v>
      </c>
      <c r="F7" s="127">
        <v>184104947.07228729</v>
      </c>
      <c r="G7" s="127">
        <v>195961305.6637426</v>
      </c>
      <c r="H7" s="127">
        <v>208581213.74848762</v>
      </c>
      <c r="I7" s="127">
        <v>222013843.91389021</v>
      </c>
      <c r="J7" s="127">
        <v>236311535.46194476</v>
      </c>
      <c r="K7" s="54">
        <v>251529998.34569401</v>
      </c>
    </row>
    <row r="8" spans="1:37" x14ac:dyDescent="0.15">
      <c r="A8" s="55" t="s">
        <v>42</v>
      </c>
      <c r="B8" s="128">
        <v>104625000</v>
      </c>
      <c r="C8" s="128">
        <v>101709000</v>
      </c>
      <c r="D8" s="128">
        <v>106634050.764</v>
      </c>
      <c r="E8" s="128">
        <v>111771624.2281632</v>
      </c>
      <c r="F8" s="128">
        <v>117128667.35773402</v>
      </c>
      <c r="G8" s="128">
        <v>122712140.47893468</v>
      </c>
      <c r="H8" s="128">
        <v>128528990.18829319</v>
      </c>
      <c r="I8" s="128">
        <v>134586118.71728036</v>
      </c>
      <c r="J8" s="128">
        <v>140890349.40805379</v>
      </c>
      <c r="K8" s="52">
        <v>147448387.9264755</v>
      </c>
    </row>
    <row r="9" spans="1:37" ht="14" x14ac:dyDescent="0.15">
      <c r="A9" s="53" t="s">
        <v>25</v>
      </c>
      <c r="B9" s="127">
        <v>52778000</v>
      </c>
      <c r="C9" s="127">
        <v>50960000</v>
      </c>
      <c r="D9" s="127">
        <v>55866832.835999995</v>
      </c>
      <c r="E9" s="127">
        <v>61194316.275676802</v>
      </c>
      <c r="F9" s="127">
        <v>66976279.714553267</v>
      </c>
      <c r="G9" s="127">
        <v>73249165.184807926</v>
      </c>
      <c r="H9" s="127">
        <v>80052223.560194433</v>
      </c>
      <c r="I9" s="127">
        <v>87427725.196609855</v>
      </c>
      <c r="J9" s="127">
        <v>95421186.053890973</v>
      </c>
      <c r="K9" s="54">
        <v>104081610.41921851</v>
      </c>
    </row>
    <row r="10" spans="1:37" x14ac:dyDescent="0.15">
      <c r="A10" s="51" t="s">
        <v>26</v>
      </c>
      <c r="B10" s="128">
        <v>26284000</v>
      </c>
      <c r="C10" s="128">
        <v>26598000</v>
      </c>
      <c r="D10" s="128">
        <v>27904658.990999997</v>
      </c>
      <c r="E10" s="128">
        <v>29269304.178760801</v>
      </c>
      <c r="F10" s="128">
        <v>30693985.000192273</v>
      </c>
      <c r="G10" s="128">
        <v>32180774.370045301</v>
      </c>
      <c r="H10" s="128">
        <v>33731763.205104999</v>
      </c>
      <c r="I10" s="128">
        <v>35349054.145729035</v>
      </c>
      <c r="J10" s="128">
        <v>37034754.394059122</v>
      </c>
      <c r="K10" s="52">
        <v>38790967.581172295</v>
      </c>
    </row>
    <row r="11" spans="1:37" x14ac:dyDescent="0.15">
      <c r="A11" s="51" t="s">
        <v>27</v>
      </c>
      <c r="B11" s="128">
        <v>2455000</v>
      </c>
      <c r="C11" s="128">
        <v>2673000</v>
      </c>
      <c r="D11" s="128">
        <v>2673000.1</v>
      </c>
      <c r="E11" s="128">
        <v>2673000.2000000002</v>
      </c>
      <c r="F11" s="128">
        <v>2673000.3000000003</v>
      </c>
      <c r="G11" s="128">
        <v>2673000.4000000004</v>
      </c>
      <c r="H11" s="128">
        <v>2673000.5000000005</v>
      </c>
      <c r="I11" s="128">
        <v>2673000.6000000006</v>
      </c>
      <c r="J11" s="128">
        <v>2673000.7000000007</v>
      </c>
      <c r="K11" s="52">
        <v>2673000.8000000007</v>
      </c>
    </row>
    <row r="12" spans="1:37" ht="14" x14ac:dyDescent="0.15">
      <c r="A12" s="53" t="s">
        <v>43</v>
      </c>
      <c r="B12" s="127">
        <v>28739000</v>
      </c>
      <c r="C12" s="127">
        <v>29271000</v>
      </c>
      <c r="D12" s="127">
        <v>30577659.090999998</v>
      </c>
      <c r="E12" s="127">
        <v>31942304.3787608</v>
      </c>
      <c r="F12" s="127">
        <v>33366985.300192274</v>
      </c>
      <c r="G12" s="127">
        <v>34853774.770045303</v>
      </c>
      <c r="H12" s="127">
        <v>36404763.705104999</v>
      </c>
      <c r="I12" s="127">
        <v>38022054.745729037</v>
      </c>
      <c r="J12" s="127">
        <v>39707755.094059125</v>
      </c>
      <c r="K12" s="54">
        <v>41463968.381172299</v>
      </c>
    </row>
    <row r="13" spans="1:37" ht="14" x14ac:dyDescent="0.15">
      <c r="A13" s="53" t="s">
        <v>28</v>
      </c>
      <c r="B13" s="127">
        <v>28739000</v>
      </c>
      <c r="C13" s="127">
        <v>29271000</v>
      </c>
      <c r="D13" s="127">
        <v>25289173.744999997</v>
      </c>
      <c r="E13" s="127">
        <v>29252011.896916002</v>
      </c>
      <c r="F13" s="127">
        <v>33609294.414360993</v>
      </c>
      <c r="G13" s="127">
        <v>38395390.414762624</v>
      </c>
      <c r="H13" s="127">
        <v>43647459.855089433</v>
      </c>
      <c r="I13" s="127">
        <v>49405670.450880818</v>
      </c>
      <c r="J13" s="127">
        <v>55713430.959831849</v>
      </c>
      <c r="K13" s="54">
        <v>62617642.038046211</v>
      </c>
    </row>
    <row r="14" spans="1:37" ht="14" x14ac:dyDescent="0.15">
      <c r="A14" s="56" t="s">
        <v>106</v>
      </c>
      <c r="B14" s="128">
        <v>1562000</v>
      </c>
      <c r="C14" s="128">
        <v>1765000</v>
      </c>
      <c r="D14" s="128">
        <v>1991496.9774208085</v>
      </c>
      <c r="E14" s="128">
        <v>2247059.6096749101</v>
      </c>
      <c r="F14" s="128">
        <v>2535417.8021257594</v>
      </c>
      <c r="G14" s="128">
        <v>2860780.1073271157</v>
      </c>
      <c r="H14" s="128">
        <v>3227895.1483328766</v>
      </c>
      <c r="I14" s="128">
        <v>3642120.9242698108</v>
      </c>
      <c r="J14" s="128">
        <v>4109503.0096795522</v>
      </c>
      <c r="K14" s="52">
        <v>4636862.7889396846</v>
      </c>
    </row>
    <row r="15" spans="1:37" x14ac:dyDescent="0.15">
      <c r="A15" s="51" t="s">
        <v>29</v>
      </c>
      <c r="B15" s="128">
        <v>1562000</v>
      </c>
      <c r="C15" s="128">
        <v>1765000</v>
      </c>
      <c r="D15" s="128">
        <v>1991496.9774208085</v>
      </c>
      <c r="E15" s="128">
        <v>2247059.6096749101</v>
      </c>
      <c r="F15" s="128">
        <v>2535417.8021257594</v>
      </c>
      <c r="G15" s="128">
        <v>2860780.1073271157</v>
      </c>
      <c r="H15" s="128">
        <v>3227895.1483328766</v>
      </c>
      <c r="I15" s="128">
        <v>3642120.9242698108</v>
      </c>
      <c r="J15" s="128">
        <v>4109503.0096795522</v>
      </c>
      <c r="K15" s="52">
        <v>4636862.7889396846</v>
      </c>
    </row>
    <row r="16" spans="1:37" ht="14" x14ac:dyDescent="0.15">
      <c r="A16" s="53" t="s">
        <v>30</v>
      </c>
      <c r="B16" s="127">
        <v>22477000</v>
      </c>
      <c r="C16" s="127">
        <v>19924000</v>
      </c>
      <c r="D16" s="127">
        <v>23297676.76757919</v>
      </c>
      <c r="E16" s="127">
        <v>27004952.287241094</v>
      </c>
      <c r="F16" s="127">
        <v>31073876.612235233</v>
      </c>
      <c r="G16" s="127">
        <v>35534610.307435505</v>
      </c>
      <c r="H16" s="127">
        <v>40419564.706756555</v>
      </c>
      <c r="I16" s="127">
        <v>45763549.526611008</v>
      </c>
      <c r="J16" s="127">
        <v>51603927.950152293</v>
      </c>
      <c r="K16" s="54">
        <v>57980779.249106526</v>
      </c>
    </row>
    <row r="17" spans="1:20" x14ac:dyDescent="0.15">
      <c r="A17" s="51" t="s">
        <v>31</v>
      </c>
      <c r="B17" s="128">
        <v>5372000</v>
      </c>
      <c r="C17" s="128">
        <v>4781000</v>
      </c>
      <c r="D17" s="128">
        <v>4892512.1211916301</v>
      </c>
      <c r="E17" s="128">
        <v>5671039.9803206297</v>
      </c>
      <c r="F17" s="128">
        <v>6525514.088569399</v>
      </c>
      <c r="G17" s="128">
        <v>7462268.1645614561</v>
      </c>
      <c r="H17" s="128">
        <v>8488108.5884188768</v>
      </c>
      <c r="I17" s="128">
        <v>9610345.4005883113</v>
      </c>
      <c r="J17" s="128">
        <v>10836824.869531982</v>
      </c>
      <c r="K17" s="52">
        <v>12175963.64231237</v>
      </c>
    </row>
    <row r="18" spans="1:20" ht="15" thickBot="1" x14ac:dyDescent="0.2">
      <c r="A18" s="57" t="s">
        <v>32</v>
      </c>
      <c r="B18" s="58">
        <v>17105000</v>
      </c>
      <c r="C18" s="58">
        <v>15143000</v>
      </c>
      <c r="D18" s="58">
        <v>18405164.646387562</v>
      </c>
      <c r="E18" s="58">
        <v>21333912.306920465</v>
      </c>
      <c r="F18" s="58">
        <v>24548362.523665834</v>
      </c>
      <c r="G18" s="58">
        <v>28072342.142874047</v>
      </c>
      <c r="H18" s="58">
        <v>31931456.118337676</v>
      </c>
      <c r="I18" s="58">
        <v>36153204.126022696</v>
      </c>
      <c r="J18" s="58">
        <v>40767103.080620311</v>
      </c>
      <c r="K18" s="59">
        <v>45804815.606794156</v>
      </c>
    </row>
    <row r="20" spans="1:20" ht="14" thickBot="1" x14ac:dyDescent="0.2"/>
    <row r="21" spans="1:20" ht="14" thickBot="1" x14ac:dyDescent="0.2">
      <c r="A21" s="176" t="s">
        <v>109</v>
      </c>
      <c r="B21" s="177"/>
      <c r="C21" s="177"/>
      <c r="D21" s="177"/>
      <c r="E21" s="177"/>
      <c r="F21" s="177"/>
      <c r="G21" s="177"/>
      <c r="H21" s="177"/>
      <c r="I21" s="177"/>
      <c r="J21" s="177"/>
      <c r="K21" s="178"/>
    </row>
    <row r="22" spans="1:20" x14ac:dyDescent="0.15">
      <c r="A22" s="130" t="s">
        <v>4</v>
      </c>
      <c r="B22" s="6">
        <v>2023</v>
      </c>
      <c r="C22" s="6">
        <v>2024</v>
      </c>
      <c r="D22" s="6">
        <v>2025</v>
      </c>
      <c r="E22" s="6">
        <v>2026</v>
      </c>
      <c r="F22" s="6">
        <v>2027</v>
      </c>
      <c r="G22" s="6">
        <v>2028</v>
      </c>
      <c r="H22" s="6">
        <v>2029</v>
      </c>
      <c r="I22" s="6">
        <v>2030</v>
      </c>
      <c r="J22" s="6">
        <v>2031</v>
      </c>
      <c r="K22" s="50">
        <v>2032</v>
      </c>
      <c r="T22" s="19" t="s">
        <v>256</v>
      </c>
    </row>
    <row r="23" spans="1:20" ht="15" thickBot="1" x14ac:dyDescent="0.2">
      <c r="A23" s="65" t="s">
        <v>21</v>
      </c>
      <c r="B23" s="66" t="s">
        <v>22</v>
      </c>
      <c r="C23" s="66" t="s">
        <v>22</v>
      </c>
      <c r="D23" s="66" t="s">
        <v>22</v>
      </c>
      <c r="E23" s="66" t="s">
        <v>22</v>
      </c>
      <c r="F23" s="66" t="s">
        <v>22</v>
      </c>
      <c r="G23" s="66" t="s">
        <v>22</v>
      </c>
      <c r="H23" s="66" t="s">
        <v>22</v>
      </c>
      <c r="I23" s="66" t="s">
        <v>22</v>
      </c>
      <c r="J23" s="66" t="s">
        <v>22</v>
      </c>
      <c r="K23" s="67" t="s">
        <v>22</v>
      </c>
    </row>
    <row r="24" spans="1:20" x14ac:dyDescent="0.15">
      <c r="A24" s="152" t="s">
        <v>49</v>
      </c>
      <c r="B24" s="119">
        <v>2757000</v>
      </c>
      <c r="C24" s="119">
        <v>3760000</v>
      </c>
      <c r="D24" s="133">
        <v>4247708.4315203167</v>
      </c>
      <c r="E24" s="133">
        <v>4521260.8545102254</v>
      </c>
      <c r="F24" s="133">
        <v>4812430.0535406834</v>
      </c>
      <c r="G24" s="133">
        <v>5122350.5489887036</v>
      </c>
      <c r="H24" s="133">
        <v>5452229.9243435757</v>
      </c>
      <c r="I24" s="133">
        <v>5803353.5314713018</v>
      </c>
      <c r="J24" s="133">
        <v>6177089.4988980545</v>
      </c>
      <c r="K24" s="134">
        <v>6574894.0626270892</v>
      </c>
      <c r="M24" s="41" t="s">
        <v>258</v>
      </c>
      <c r="N24" s="41" t="s">
        <v>262</v>
      </c>
      <c r="O24" s="41" t="s">
        <v>263</v>
      </c>
      <c r="P24" s="41" t="s">
        <v>264</v>
      </c>
      <c r="Q24" s="41" t="s">
        <v>259</v>
      </c>
    </row>
    <row r="25" spans="1:20" x14ac:dyDescent="0.15">
      <c r="A25" s="152" t="s">
        <v>50</v>
      </c>
      <c r="B25" s="119">
        <v>3317000</v>
      </c>
      <c r="C25" s="119">
        <v>3328000</v>
      </c>
      <c r="D25" s="133">
        <v>4247708.4315203167</v>
      </c>
      <c r="E25" s="133">
        <v>4521260.8545102254</v>
      </c>
      <c r="F25" s="133">
        <v>4812430.0535406834</v>
      </c>
      <c r="G25" s="133">
        <v>5122350.5489887036</v>
      </c>
      <c r="H25" s="133">
        <v>5452229.9243435757</v>
      </c>
      <c r="I25" s="133">
        <v>5803353.5314713018</v>
      </c>
      <c r="J25" s="133">
        <v>6177089.4988980545</v>
      </c>
      <c r="K25" s="134">
        <v>6574894.0626270892</v>
      </c>
      <c r="M25" s="41" t="s">
        <v>260</v>
      </c>
      <c r="N25" s="19">
        <v>25.48</v>
      </c>
      <c r="O25" s="19">
        <v>46.91</v>
      </c>
      <c r="P25" s="19">
        <v>18.34</v>
      </c>
      <c r="Q25" s="19">
        <v>34.79</v>
      </c>
    </row>
    <row r="26" spans="1:20" x14ac:dyDescent="0.15">
      <c r="A26" s="152" t="s">
        <v>51</v>
      </c>
      <c r="B26" s="119">
        <v>24886000</v>
      </c>
      <c r="C26" s="119">
        <v>20976000</v>
      </c>
      <c r="D26" s="133">
        <v>26034660.034750015</v>
      </c>
      <c r="E26" s="133">
        <v>26686724.347257555</v>
      </c>
      <c r="F26" s="133">
        <v>29928553.463585235</v>
      </c>
      <c r="G26" s="133">
        <v>32139015.101352274</v>
      </c>
      <c r="H26" s="133">
        <v>35234138.214026533</v>
      </c>
      <c r="I26" s="133">
        <v>38245980.158627585</v>
      </c>
      <c r="J26" s="133">
        <v>41712744.780978553</v>
      </c>
      <c r="K26" s="134">
        <v>45390480.585555211</v>
      </c>
      <c r="M26" s="41" t="s">
        <v>261</v>
      </c>
      <c r="N26" s="19">
        <v>7.07</v>
      </c>
      <c r="O26" s="19">
        <v>21.12</v>
      </c>
      <c r="P26" s="19">
        <v>11.49</v>
      </c>
      <c r="Q26" s="19">
        <v>18.04</v>
      </c>
    </row>
    <row r="27" spans="1:20" x14ac:dyDescent="0.15">
      <c r="A27" s="152" t="s">
        <v>52</v>
      </c>
      <c r="B27" s="119">
        <v>1511000</v>
      </c>
      <c r="C27" s="119">
        <v>1711000</v>
      </c>
      <c r="D27" s="133">
        <v>1821188.4</v>
      </c>
      <c r="E27" s="133">
        <v>1938472.9329599999</v>
      </c>
      <c r="F27" s="133">
        <v>2063310.5898426238</v>
      </c>
      <c r="G27" s="133">
        <v>2196187.7918284889</v>
      </c>
      <c r="H27" s="133">
        <v>2337622.2856222438</v>
      </c>
      <c r="I27" s="133">
        <v>2488165.160816316</v>
      </c>
      <c r="J27" s="133">
        <v>2648402.997172887</v>
      </c>
      <c r="K27" s="134">
        <v>2818960.1501908209</v>
      </c>
    </row>
    <row r="28" spans="1:20" ht="14" x14ac:dyDescent="0.15">
      <c r="A28" s="153" t="s">
        <v>53</v>
      </c>
      <c r="B28" s="120">
        <v>32471000</v>
      </c>
      <c r="C28" s="120">
        <v>29775000</v>
      </c>
      <c r="D28" s="125">
        <v>36351265.297790647</v>
      </c>
      <c r="E28" s="125">
        <v>37667718.989238009</v>
      </c>
      <c r="F28" s="125">
        <v>41616724.160509229</v>
      </c>
      <c r="G28" s="125">
        <v>44579903.991158172</v>
      </c>
      <c r="H28" s="125">
        <v>48476220.348335929</v>
      </c>
      <c r="I28" s="125">
        <v>52340852.382386506</v>
      </c>
      <c r="J28" s="125">
        <v>56715326.775947548</v>
      </c>
      <c r="K28" s="135">
        <v>61359228.86100021</v>
      </c>
    </row>
    <row r="29" spans="1:20" x14ac:dyDescent="0.15">
      <c r="A29" s="152" t="s">
        <v>54</v>
      </c>
      <c r="B29" s="119">
        <v>52275000</v>
      </c>
      <c r="C29" s="119">
        <v>53257000</v>
      </c>
      <c r="D29" s="133">
        <v>62449818.392201267</v>
      </c>
      <c r="E29" s="133">
        <v>66471586.696659029</v>
      </c>
      <c r="F29" s="133">
        <v>70752356.879923865</v>
      </c>
      <c r="G29" s="133">
        <v>75308808.662990972</v>
      </c>
      <c r="H29" s="133">
        <v>80158695.940887585</v>
      </c>
      <c r="I29" s="133">
        <v>85320915.959480748</v>
      </c>
      <c r="J29" s="133">
        <v>90815582.947271302</v>
      </c>
      <c r="K29" s="134">
        <v>96664106.489075586</v>
      </c>
    </row>
    <row r="30" spans="1:20" x14ac:dyDescent="0.15">
      <c r="A30" s="152" t="s">
        <v>55</v>
      </c>
      <c r="B30" s="119">
        <v>26644000</v>
      </c>
      <c r="C30" s="119">
        <v>27103000</v>
      </c>
      <c r="D30" s="133">
        <v>32888340.919610064</v>
      </c>
      <c r="E30" s="133">
        <v>39334411.17405308</v>
      </c>
      <c r="F30" s="133">
        <v>46195608.352882229</v>
      </c>
      <c r="G30" s="133">
        <v>53498666.630027972</v>
      </c>
      <c r="H30" s="133">
        <v>61272041.8602219</v>
      </c>
      <c r="I30" s="133">
        <v>69546022.455240309</v>
      </c>
      <c r="J30" s="133">
        <v>78352847.400577918</v>
      </c>
      <c r="K30" s="134">
        <v>87726831.872395262</v>
      </c>
    </row>
    <row r="31" spans="1:20" x14ac:dyDescent="0.15">
      <c r="A31" s="152" t="s">
        <v>56</v>
      </c>
      <c r="B31" s="119">
        <v>25631000</v>
      </c>
      <c r="C31" s="119">
        <v>26154000</v>
      </c>
      <c r="D31" s="133">
        <v>29561477.472591203</v>
      </c>
      <c r="E31" s="133">
        <v>27137175.522605948</v>
      </c>
      <c r="F31" s="133">
        <v>24556748.527041636</v>
      </c>
      <c r="G31" s="133">
        <v>21810142.032963</v>
      </c>
      <c r="H31" s="133">
        <v>18886654.080665685</v>
      </c>
      <c r="I31" s="133">
        <v>15774893.504240438</v>
      </c>
      <c r="J31" s="133">
        <v>12462735.546693385</v>
      </c>
      <c r="K31" s="134">
        <v>8937274.6166803241</v>
      </c>
    </row>
    <row r="32" spans="1:20" x14ac:dyDescent="0.15">
      <c r="A32" s="152" t="s">
        <v>58</v>
      </c>
      <c r="B32" s="119">
        <v>10899000</v>
      </c>
      <c r="C32" s="119">
        <v>12146000</v>
      </c>
      <c r="D32" s="133">
        <v>11522500</v>
      </c>
      <c r="E32" s="133">
        <v>11834250</v>
      </c>
      <c r="F32" s="133">
        <v>11678375</v>
      </c>
      <c r="G32" s="133">
        <v>11756312.5</v>
      </c>
      <c r="H32" s="133">
        <v>11717343.75</v>
      </c>
      <c r="I32" s="133">
        <v>11736828.125</v>
      </c>
      <c r="J32" s="133">
        <v>11727085.9375</v>
      </c>
      <c r="K32" s="134">
        <v>11731957.03125</v>
      </c>
    </row>
    <row r="33" spans="1:15" ht="14" x14ac:dyDescent="0.15">
      <c r="A33" s="153" t="s">
        <v>59</v>
      </c>
      <c r="B33" s="120">
        <v>76445000</v>
      </c>
      <c r="C33" s="120">
        <v>76530000</v>
      </c>
      <c r="D33" s="136">
        <v>77435242.770381853</v>
      </c>
      <c r="E33" s="136">
        <v>76639144.51184395</v>
      </c>
      <c r="F33" s="136">
        <v>77851847.687550873</v>
      </c>
      <c r="G33" s="136">
        <v>78146358.524121165</v>
      </c>
      <c r="H33" s="136">
        <v>79080218.179001614</v>
      </c>
      <c r="I33" s="136">
        <v>79852574.011626944</v>
      </c>
      <c r="J33" s="136">
        <v>80905148.260140926</v>
      </c>
      <c r="K33" s="137">
        <v>82028460.508930534</v>
      </c>
    </row>
    <row r="34" spans="1:15" x14ac:dyDescent="0.15">
      <c r="A34" s="152" t="s">
        <v>60</v>
      </c>
      <c r="B34" s="119">
        <v>17292000</v>
      </c>
      <c r="C34" s="119">
        <v>16358000</v>
      </c>
      <c r="D34" s="133">
        <v>18519675.577729955</v>
      </c>
      <c r="E34" s="133">
        <v>19712342.684935767</v>
      </c>
      <c r="F34" s="133">
        <v>20981817.553845629</v>
      </c>
      <c r="G34" s="133">
        <v>22333046.604313288</v>
      </c>
      <c r="H34" s="133">
        <v>23771294.805631064</v>
      </c>
      <c r="I34" s="133">
        <v>25302166.191113703</v>
      </c>
      <c r="J34" s="133">
        <v>26931625.693821426</v>
      </c>
      <c r="K34" s="134">
        <v>28666022.388503525</v>
      </c>
    </row>
    <row r="35" spans="1:15" x14ac:dyDescent="0.15">
      <c r="A35" s="152" t="s">
        <v>64</v>
      </c>
      <c r="B35" s="119">
        <v>4587000</v>
      </c>
      <c r="C35" s="119">
        <v>4289000</v>
      </c>
      <c r="D35" s="133">
        <v>4438000</v>
      </c>
      <c r="E35" s="133">
        <v>4363500</v>
      </c>
      <c r="F35" s="133">
        <v>4400750</v>
      </c>
      <c r="G35" s="133">
        <v>4382125</v>
      </c>
      <c r="H35" s="133">
        <v>4391437.5</v>
      </c>
      <c r="I35" s="133">
        <v>4386781.25</v>
      </c>
      <c r="J35" s="133">
        <v>4389109.375</v>
      </c>
      <c r="K35" s="134">
        <v>4387945.3125</v>
      </c>
    </row>
    <row r="36" spans="1:15" ht="14" x14ac:dyDescent="0.15">
      <c r="A36" s="153" t="s">
        <v>65</v>
      </c>
      <c r="B36" s="120">
        <v>23110000</v>
      </c>
      <c r="C36" s="120">
        <v>22015000</v>
      </c>
      <c r="D36" s="136">
        <v>22957675.577729955</v>
      </c>
      <c r="E36" s="136">
        <v>24075842.684935767</v>
      </c>
      <c r="F36" s="136">
        <v>25382567.553845629</v>
      </c>
      <c r="G36" s="136">
        <v>26715171.604313288</v>
      </c>
      <c r="H36" s="136">
        <v>28162732.305631064</v>
      </c>
      <c r="I36" s="136">
        <v>29688947.441113703</v>
      </c>
      <c r="J36" s="136">
        <v>31320735.068821426</v>
      </c>
      <c r="K36" s="137">
        <v>33053967.701003525</v>
      </c>
    </row>
    <row r="37" spans="1:15" x14ac:dyDescent="0.15">
      <c r="A37" s="152" t="s">
        <v>219</v>
      </c>
      <c r="B37" s="119">
        <v>51773000</v>
      </c>
      <c r="C37" s="119">
        <v>53471000</v>
      </c>
      <c r="D37" s="133">
        <v>53471000</v>
      </c>
      <c r="E37" s="133">
        <v>53471000</v>
      </c>
      <c r="F37" s="133">
        <v>53471000</v>
      </c>
      <c r="G37" s="133">
        <v>53471000</v>
      </c>
      <c r="H37" s="133">
        <v>53471000</v>
      </c>
      <c r="I37" s="133">
        <v>53471000</v>
      </c>
      <c r="J37" s="133">
        <v>53471000</v>
      </c>
      <c r="K37" s="134">
        <v>53471000</v>
      </c>
    </row>
    <row r="38" spans="1:15" ht="14" x14ac:dyDescent="0.15">
      <c r="A38" s="153" t="s">
        <v>69</v>
      </c>
      <c r="B38" s="120">
        <v>74883000</v>
      </c>
      <c r="C38" s="120">
        <v>75486000</v>
      </c>
      <c r="D38" s="120">
        <v>76428675.577729955</v>
      </c>
      <c r="E38" s="125">
        <v>77546842.684935763</v>
      </c>
      <c r="F38" s="125">
        <v>78853567.553845629</v>
      </c>
      <c r="G38" s="125">
        <v>80186171.604313284</v>
      </c>
      <c r="H38" s="125">
        <v>81633732.305631071</v>
      </c>
      <c r="I38" s="125">
        <v>83159947.44111371</v>
      </c>
      <c r="J38" s="125">
        <v>84791735.06882143</v>
      </c>
      <c r="K38" s="135">
        <v>86524967.701003522</v>
      </c>
    </row>
    <row r="39" spans="1:15" x14ac:dyDescent="0.15">
      <c r="A39" s="152" t="s">
        <v>72</v>
      </c>
      <c r="B39" s="119">
        <v>76896000</v>
      </c>
      <c r="C39" s="119">
        <v>83656000</v>
      </c>
      <c r="D39" s="133">
        <v>102061164.64638756</v>
      </c>
      <c r="E39" s="133">
        <v>123395076.95330803</v>
      </c>
      <c r="F39" s="133">
        <v>147943439.47697386</v>
      </c>
      <c r="G39" s="133">
        <v>176015781.61984789</v>
      </c>
      <c r="H39" s="133">
        <v>207947237.73818558</v>
      </c>
      <c r="I39" s="133">
        <v>244100441.86420828</v>
      </c>
      <c r="J39" s="133">
        <v>284867544.94482857</v>
      </c>
      <c r="K39" s="134">
        <v>330672360.55162275</v>
      </c>
    </row>
    <row r="40" spans="1:15" x14ac:dyDescent="0.15">
      <c r="A40" s="152" t="s">
        <v>75</v>
      </c>
      <c r="B40" s="119">
        <v>1562000</v>
      </c>
      <c r="C40" s="119">
        <v>1044000</v>
      </c>
      <c r="D40" s="133">
        <v>1006567.1926518977</v>
      </c>
      <c r="E40" s="133">
        <v>-907698.17309181392</v>
      </c>
      <c r="F40" s="133">
        <v>-1001719.8662947565</v>
      </c>
      <c r="G40" s="133">
        <v>-2039813.0801921189</v>
      </c>
      <c r="H40" s="133">
        <v>-2553514.1266294569</v>
      </c>
      <c r="I40" s="133">
        <v>-3307373.4294867665</v>
      </c>
      <c r="J40" s="133">
        <v>-3886586.8086805046</v>
      </c>
      <c r="K40" s="134">
        <v>-4496507.1920729876</v>
      </c>
    </row>
    <row r="41" spans="1:15" ht="15" thickBot="1" x14ac:dyDescent="0.2">
      <c r="A41" s="154" t="s">
        <v>76</v>
      </c>
      <c r="B41" s="121">
        <v>76445000</v>
      </c>
      <c r="C41" s="121">
        <v>76530000</v>
      </c>
      <c r="D41" s="122">
        <v>77435242.770381853</v>
      </c>
      <c r="E41" s="122">
        <v>76639144.51184395</v>
      </c>
      <c r="F41" s="122">
        <v>77851847.687550873</v>
      </c>
      <c r="G41" s="122">
        <v>78146358.524121165</v>
      </c>
      <c r="H41" s="122">
        <v>79080218.179001614</v>
      </c>
      <c r="I41" s="122">
        <v>79852574.011626944</v>
      </c>
      <c r="J41" s="122">
        <v>80905148.260140926</v>
      </c>
      <c r="K41" s="138">
        <v>82028460.508930534</v>
      </c>
    </row>
    <row r="43" spans="1:15" ht="14" thickBot="1" x14ac:dyDescent="0.2"/>
    <row r="44" spans="1:15" ht="14" thickBot="1" x14ac:dyDescent="0.2">
      <c r="A44" s="176" t="s">
        <v>221</v>
      </c>
      <c r="B44" s="177"/>
      <c r="C44" s="177"/>
      <c r="D44" s="177"/>
      <c r="E44" s="177"/>
      <c r="F44" s="177"/>
      <c r="G44" s="177"/>
      <c r="H44" s="177"/>
      <c r="I44" s="177"/>
      <c r="J44" s="177"/>
      <c r="K44" s="178"/>
    </row>
    <row r="45" spans="1:15" ht="15" thickBot="1" x14ac:dyDescent="0.2">
      <c r="A45" s="65" t="s">
        <v>4</v>
      </c>
      <c r="B45" s="66" t="s">
        <v>6</v>
      </c>
      <c r="C45" s="66" t="s">
        <v>5</v>
      </c>
      <c r="D45" s="66" t="s">
        <v>92</v>
      </c>
      <c r="E45" s="66" t="s">
        <v>93</v>
      </c>
      <c r="F45" s="66" t="s">
        <v>94</v>
      </c>
      <c r="G45" s="66" t="s">
        <v>95</v>
      </c>
      <c r="H45" s="66" t="s">
        <v>96</v>
      </c>
      <c r="I45" s="66" t="s">
        <v>97</v>
      </c>
      <c r="J45" s="66" t="s">
        <v>98</v>
      </c>
      <c r="K45" s="67" t="s">
        <v>99</v>
      </c>
    </row>
    <row r="46" spans="1:15" x14ac:dyDescent="0.15">
      <c r="A46" s="139" t="s">
        <v>222</v>
      </c>
      <c r="C46" s="117">
        <v>-3699000</v>
      </c>
      <c r="D46" s="117">
        <v>6088556.8662703298</v>
      </c>
      <c r="E46" s="117">
        <v>1042901.26845745</v>
      </c>
      <c r="F46" s="117">
        <v>3657835.9722407646</v>
      </c>
      <c r="G46" s="117">
        <v>2653259.3352009207</v>
      </c>
      <c r="H46" s="117">
        <v>3566436.981822893</v>
      </c>
      <c r="I46" s="117">
        <v>3513508.4269228503</v>
      </c>
      <c r="J46" s="117">
        <v>4000738.4261342809</v>
      </c>
      <c r="K46" s="140">
        <v>4246097.5213236362</v>
      </c>
      <c r="M46" s="19" t="s">
        <v>265</v>
      </c>
    </row>
    <row r="47" spans="1:15" x14ac:dyDescent="0.15">
      <c r="A47" s="139" t="s">
        <v>223</v>
      </c>
      <c r="C47" s="117">
        <v>982000</v>
      </c>
      <c r="D47" s="117">
        <v>9192818.3922012672</v>
      </c>
      <c r="E47" s="117">
        <v>4021768.3044577613</v>
      </c>
      <c r="F47" s="117">
        <v>4280770.1832648367</v>
      </c>
      <c r="G47" s="117">
        <v>4556451.7830671072</v>
      </c>
      <c r="H47" s="117">
        <v>4849887.2778966129</v>
      </c>
      <c r="I47" s="117">
        <v>5162220.0185931623</v>
      </c>
      <c r="J47" s="117">
        <v>5494666.9877905548</v>
      </c>
      <c r="K47" s="140">
        <v>5848523.5418042839</v>
      </c>
      <c r="M47" s="41" t="s">
        <v>266</v>
      </c>
      <c r="N47" s="41" t="s">
        <v>267</v>
      </c>
      <c r="O47" s="19" t="s">
        <v>271</v>
      </c>
    </row>
    <row r="48" spans="1:15" x14ac:dyDescent="0.15">
      <c r="A48" s="139" t="s">
        <v>224</v>
      </c>
      <c r="C48" s="117">
        <v>459000</v>
      </c>
      <c r="D48" s="117">
        <v>5785340.9196100645</v>
      </c>
      <c r="E48" s="117">
        <v>6446070.2544430159</v>
      </c>
      <c r="F48" s="117">
        <v>6861197.1788291456</v>
      </c>
      <c r="G48" s="117">
        <v>7303058.2771457424</v>
      </c>
      <c r="H48" s="117">
        <v>7773375.2301939279</v>
      </c>
      <c r="I48" s="117">
        <v>8273980.5950184166</v>
      </c>
      <c r="J48" s="117">
        <v>8806824.9453376029</v>
      </c>
      <c r="K48" s="140">
        <v>9373984.4718173444</v>
      </c>
      <c r="M48" s="19" t="s">
        <v>268</v>
      </c>
      <c r="N48" s="30">
        <v>184.88</v>
      </c>
      <c r="O48" s="46">
        <f>$N$48</f>
        <v>184.88</v>
      </c>
    </row>
    <row r="49" spans="1:15" x14ac:dyDescent="0.15">
      <c r="A49" s="139" t="s">
        <v>225</v>
      </c>
      <c r="C49" s="117">
        <v>1441000</v>
      </c>
      <c r="D49" s="117">
        <v>14978159.311811332</v>
      </c>
      <c r="E49" s="117">
        <v>10467838.558900777</v>
      </c>
      <c r="F49" s="117">
        <v>11141967.362093981</v>
      </c>
      <c r="G49" s="117">
        <v>11859510.060212851</v>
      </c>
      <c r="H49" s="117">
        <v>12623262.508090541</v>
      </c>
      <c r="I49" s="117">
        <v>13436200.613611579</v>
      </c>
      <c r="J49" s="117">
        <v>14301491.933128158</v>
      </c>
      <c r="K49" s="140">
        <v>15222508.013621628</v>
      </c>
      <c r="M49" s="19" t="s">
        <v>269</v>
      </c>
      <c r="N49" s="30">
        <v>360</v>
      </c>
      <c r="O49" s="46">
        <f t="shared" ref="O49:O50" si="1">$N$48</f>
        <v>184.88</v>
      </c>
    </row>
    <row r="50" spans="1:15" ht="14" thickBot="1" x14ac:dyDescent="0.2">
      <c r="A50" s="141" t="s">
        <v>226</v>
      </c>
      <c r="B50" s="142"/>
      <c r="C50" s="143">
        <v>-2258000</v>
      </c>
      <c r="D50" s="143">
        <v>21066716.178081661</v>
      </c>
      <c r="E50" s="143">
        <v>11510739.827358227</v>
      </c>
      <c r="F50" s="143">
        <v>14799803.334334746</v>
      </c>
      <c r="G50" s="143">
        <v>14512769.395413771</v>
      </c>
      <c r="H50" s="143">
        <v>16189699.489913434</v>
      </c>
      <c r="I50" s="143">
        <v>16949709.040534429</v>
      </c>
      <c r="J50" s="143">
        <v>18302230.359262437</v>
      </c>
      <c r="K50" s="144">
        <v>19468605.534945264</v>
      </c>
      <c r="M50" s="19" t="s">
        <v>270</v>
      </c>
      <c r="N50" s="30">
        <v>388.99</v>
      </c>
      <c r="O50" s="46">
        <f t="shared" si="1"/>
        <v>184.88</v>
      </c>
    </row>
    <row r="51" spans="1:15" ht="14" thickBot="1" x14ac:dyDescent="0.2"/>
    <row r="52" spans="1:15" ht="14" thickBot="1" x14ac:dyDescent="0.2">
      <c r="A52" s="176" t="s">
        <v>220</v>
      </c>
      <c r="B52" s="177"/>
      <c r="C52" s="177"/>
      <c r="D52" s="177"/>
      <c r="E52" s="177"/>
      <c r="F52" s="177"/>
      <c r="G52" s="177"/>
      <c r="H52" s="177"/>
      <c r="I52" s="177"/>
      <c r="J52" s="177"/>
      <c r="K52" s="178"/>
    </row>
    <row r="53" spans="1:15" ht="14" thickBot="1" x14ac:dyDescent="0.2">
      <c r="A53" s="65" t="s">
        <v>4</v>
      </c>
      <c r="B53" s="6">
        <v>2023</v>
      </c>
      <c r="C53" s="6">
        <v>2024</v>
      </c>
      <c r="D53" s="6">
        <v>2025</v>
      </c>
      <c r="E53" s="6">
        <v>2026</v>
      </c>
      <c r="F53" s="6">
        <v>2027</v>
      </c>
      <c r="G53" s="6">
        <v>2028</v>
      </c>
      <c r="H53" s="6">
        <v>2029</v>
      </c>
      <c r="I53" s="6">
        <v>2030</v>
      </c>
      <c r="J53" s="6">
        <v>2031</v>
      </c>
      <c r="K53" s="50">
        <v>2032</v>
      </c>
    </row>
    <row r="54" spans="1:15" x14ac:dyDescent="0.15">
      <c r="A54" s="68" t="s">
        <v>242</v>
      </c>
      <c r="B54" s="117">
        <v>0</v>
      </c>
      <c r="C54" s="117">
        <v>-2258000</v>
      </c>
      <c r="D54" s="117">
        <v>21066716.178081661</v>
      </c>
      <c r="E54" s="117">
        <v>11510739.827358227</v>
      </c>
      <c r="F54" s="117">
        <v>14799803.334334746</v>
      </c>
      <c r="G54" s="117">
        <v>14512769.395413771</v>
      </c>
      <c r="H54" s="117">
        <v>16189699.489913434</v>
      </c>
      <c r="I54" s="117">
        <v>16949709.040534429</v>
      </c>
      <c r="J54" s="117">
        <v>18302230.359262437</v>
      </c>
      <c r="K54" s="140">
        <v>19468605.534945264</v>
      </c>
    </row>
    <row r="55" spans="1:15" x14ac:dyDescent="0.15">
      <c r="A55" s="145" t="s">
        <v>230</v>
      </c>
      <c r="B55" s="117"/>
      <c r="C55" s="117"/>
      <c r="D55" s="117"/>
      <c r="E55" s="117"/>
      <c r="F55" s="117"/>
      <c r="G55" s="117"/>
      <c r="H55" s="117"/>
      <c r="I55" s="117"/>
      <c r="J55" s="117"/>
      <c r="K55" s="140"/>
    </row>
    <row r="56" spans="1:15" x14ac:dyDescent="0.15">
      <c r="A56" s="146" t="s">
        <v>231</v>
      </c>
      <c r="B56" s="117">
        <v>17105000</v>
      </c>
      <c r="C56" s="117">
        <v>15143000</v>
      </c>
      <c r="D56" s="117">
        <v>18405164.646387562</v>
      </c>
      <c r="E56" s="117">
        <v>21333912.306920465</v>
      </c>
      <c r="F56" s="117">
        <v>24548362.523665834</v>
      </c>
      <c r="G56" s="117">
        <v>28072342.142874047</v>
      </c>
      <c r="H56" s="117">
        <v>31931456.118337676</v>
      </c>
      <c r="I56" s="117">
        <v>36153204.126022696</v>
      </c>
      <c r="J56" s="117">
        <v>40767103.080620311</v>
      </c>
      <c r="K56" s="140">
        <v>45804815.606794156</v>
      </c>
    </row>
    <row r="57" spans="1:15" x14ac:dyDescent="0.15">
      <c r="A57" s="146" t="s">
        <v>120</v>
      </c>
      <c r="B57" s="117">
        <v>514000</v>
      </c>
      <c r="C57" s="117">
        <v>459000</v>
      </c>
      <c r="D57" s="117">
        <v>5785340.9196100645</v>
      </c>
      <c r="E57" s="117">
        <v>6446070.2544430159</v>
      </c>
      <c r="F57" s="117">
        <v>6861197.1788291456</v>
      </c>
      <c r="G57" s="117">
        <v>7303058.2771457424</v>
      </c>
      <c r="H57" s="117">
        <v>7773375.2301939279</v>
      </c>
      <c r="I57" s="117">
        <v>8273980.5950184166</v>
      </c>
      <c r="J57" s="117">
        <v>8806824.9453376029</v>
      </c>
      <c r="K57" s="140">
        <v>9373984.4718173444</v>
      </c>
    </row>
    <row r="58" spans="1:15" x14ac:dyDescent="0.15">
      <c r="A58" s="146" t="s">
        <v>232</v>
      </c>
      <c r="B58" s="117">
        <v>17619000</v>
      </c>
      <c r="C58" s="117">
        <v>15602000</v>
      </c>
      <c r="D58" s="117">
        <v>24190505.565997627</v>
      </c>
      <c r="E58" s="117">
        <v>27779982.561363481</v>
      </c>
      <c r="F58" s="117">
        <v>31409559.702494979</v>
      </c>
      <c r="G58" s="117">
        <v>35375400.420019791</v>
      </c>
      <c r="H58" s="117">
        <v>39704831.348531604</v>
      </c>
      <c r="I58" s="117">
        <v>44427184.721041113</v>
      </c>
      <c r="J58" s="117">
        <v>49573928.025957912</v>
      </c>
      <c r="K58" s="140">
        <v>55178800.078611501</v>
      </c>
    </row>
    <row r="59" spans="1:15" x14ac:dyDescent="0.15">
      <c r="A59" s="146" t="s">
        <v>233</v>
      </c>
      <c r="B59" s="117">
        <v>0</v>
      </c>
      <c r="C59" s="117">
        <v>0</v>
      </c>
      <c r="D59" s="117">
        <v>0</v>
      </c>
      <c r="E59" s="117">
        <v>0</v>
      </c>
      <c r="F59" s="117">
        <v>0</v>
      </c>
      <c r="G59" s="117">
        <v>0</v>
      </c>
      <c r="H59" s="117">
        <v>0</v>
      </c>
      <c r="I59" s="117">
        <v>0</v>
      </c>
      <c r="J59" s="117">
        <v>0</v>
      </c>
      <c r="K59" s="140">
        <v>0</v>
      </c>
    </row>
    <row r="60" spans="1:15" x14ac:dyDescent="0.15">
      <c r="A60" s="146" t="s">
        <v>234</v>
      </c>
      <c r="B60" s="117">
        <v>17619000</v>
      </c>
      <c r="C60" s="117">
        <v>15602000</v>
      </c>
      <c r="D60" s="117">
        <v>24190505.565997627</v>
      </c>
      <c r="E60" s="117">
        <v>27779982.561363481</v>
      </c>
      <c r="F60" s="117">
        <v>31409559.702494979</v>
      </c>
      <c r="G60" s="117">
        <v>35375400.420019791</v>
      </c>
      <c r="H60" s="117">
        <v>39704831.348531604</v>
      </c>
      <c r="I60" s="117">
        <v>44427184.721041113</v>
      </c>
      <c r="J60" s="117">
        <v>49573928.025957912</v>
      </c>
      <c r="K60" s="140">
        <v>55178800.078611501</v>
      </c>
    </row>
    <row r="61" spans="1:15" x14ac:dyDescent="0.15">
      <c r="A61" s="146" t="s">
        <v>235</v>
      </c>
      <c r="B61" s="117">
        <v>-5583000</v>
      </c>
      <c r="C61" s="117">
        <v>-1095000</v>
      </c>
      <c r="D61" s="117">
        <v>942675.57772995532</v>
      </c>
      <c r="E61" s="117">
        <v>1118167.1072058119</v>
      </c>
      <c r="F61" s="117">
        <v>1306724.8689098619</v>
      </c>
      <c r="G61" s="117">
        <v>1332604.0504676588</v>
      </c>
      <c r="H61" s="117">
        <v>1447560.701317776</v>
      </c>
      <c r="I61" s="117">
        <v>1526215.1354826391</v>
      </c>
      <c r="J61" s="117">
        <v>1631787.6277077235</v>
      </c>
      <c r="K61" s="140">
        <v>1733232.6321820989</v>
      </c>
    </row>
    <row r="62" spans="1:15" ht="14" x14ac:dyDescent="0.15">
      <c r="A62" s="147" t="s">
        <v>236</v>
      </c>
      <c r="B62" s="124">
        <v>12036000</v>
      </c>
      <c r="C62" s="124">
        <v>14507000</v>
      </c>
      <c r="D62" s="124">
        <v>25133181.143727582</v>
      </c>
      <c r="E62" s="124">
        <v>28898149.668569293</v>
      </c>
      <c r="F62" s="124">
        <v>32716284.571404841</v>
      </c>
      <c r="G62" s="124">
        <v>36708004.470487446</v>
      </c>
      <c r="H62" s="124">
        <v>41152392.049849376</v>
      </c>
      <c r="I62" s="124">
        <v>45953399.856523752</v>
      </c>
      <c r="J62" s="124">
        <v>51205715.653665632</v>
      </c>
      <c r="K62" s="148">
        <v>56912032.710793599</v>
      </c>
    </row>
    <row r="63" spans="1:15" x14ac:dyDescent="0.15">
      <c r="A63" s="146" t="s">
        <v>237</v>
      </c>
      <c r="B63" s="117">
        <v>-12036000</v>
      </c>
      <c r="C63" s="117">
        <v>-16765000</v>
      </c>
      <c r="D63" s="117">
        <v>-4066464.9656459205</v>
      </c>
      <c r="E63" s="117">
        <v>-17387409.841211066</v>
      </c>
      <c r="F63" s="117">
        <v>-17916481.237070095</v>
      </c>
      <c r="G63" s="117">
        <v>-22195235.075073674</v>
      </c>
      <c r="H63" s="117">
        <v>-24962692.559935942</v>
      </c>
      <c r="I63" s="117">
        <v>-29003690.815989323</v>
      </c>
      <c r="J63" s="117">
        <v>-32903485.294403195</v>
      </c>
      <c r="K63" s="140">
        <v>-37443427.175848335</v>
      </c>
    </row>
    <row r="64" spans="1:15" x14ac:dyDescent="0.15">
      <c r="A64" s="146" t="s">
        <v>238</v>
      </c>
      <c r="B64" s="117">
        <v>0</v>
      </c>
      <c r="C64" s="117">
        <v>0</v>
      </c>
      <c r="D64" s="117">
        <v>0</v>
      </c>
      <c r="E64" s="117">
        <v>0</v>
      </c>
      <c r="F64" s="117">
        <v>0</v>
      </c>
      <c r="G64" s="117">
        <v>0</v>
      </c>
      <c r="H64" s="117">
        <v>0</v>
      </c>
      <c r="I64" s="117">
        <v>0</v>
      </c>
      <c r="J64" s="117">
        <v>0</v>
      </c>
      <c r="K64" s="140">
        <v>0</v>
      </c>
    </row>
    <row r="65" spans="1:21" x14ac:dyDescent="0.15">
      <c r="A65" s="146" t="s">
        <v>239</v>
      </c>
      <c r="B65" s="117">
        <v>0</v>
      </c>
      <c r="C65" s="117">
        <v>0</v>
      </c>
      <c r="D65" s="117">
        <v>0</v>
      </c>
      <c r="E65" s="117">
        <v>0</v>
      </c>
      <c r="F65" s="117">
        <v>0</v>
      </c>
      <c r="G65" s="117">
        <v>0</v>
      </c>
      <c r="H65" s="117">
        <v>0</v>
      </c>
      <c r="I65" s="117">
        <v>0</v>
      </c>
      <c r="J65" s="117">
        <v>0</v>
      </c>
      <c r="K65" s="140">
        <v>0</v>
      </c>
    </row>
    <row r="66" spans="1:21" ht="14" x14ac:dyDescent="0.15">
      <c r="A66" s="147" t="s">
        <v>240</v>
      </c>
      <c r="B66" s="124">
        <v>0</v>
      </c>
      <c r="C66" s="124">
        <v>0</v>
      </c>
      <c r="D66" s="124">
        <v>0</v>
      </c>
      <c r="E66" s="124">
        <v>0</v>
      </c>
      <c r="F66" s="124">
        <v>0</v>
      </c>
      <c r="G66" s="124">
        <v>0</v>
      </c>
      <c r="H66" s="124">
        <v>0</v>
      </c>
      <c r="I66" s="124">
        <v>0</v>
      </c>
      <c r="J66" s="124">
        <v>0</v>
      </c>
      <c r="K66" s="148">
        <v>0</v>
      </c>
      <c r="S66" s="41" t="s">
        <v>258</v>
      </c>
      <c r="T66" s="41" t="s">
        <v>273</v>
      </c>
      <c r="U66" s="19" t="s">
        <v>277</v>
      </c>
    </row>
    <row r="67" spans="1:21" ht="15" thickBot="1" x14ac:dyDescent="0.2">
      <c r="A67" s="149" t="s">
        <v>241</v>
      </c>
      <c r="B67" s="150">
        <v>12036000</v>
      </c>
      <c r="C67" s="150">
        <v>14507000</v>
      </c>
      <c r="D67" s="150">
        <v>25133181.143727582</v>
      </c>
      <c r="E67" s="150">
        <v>28898149.668569293</v>
      </c>
      <c r="F67" s="150">
        <v>32716284.571404841</v>
      </c>
      <c r="G67" s="150">
        <v>36708004.470487446</v>
      </c>
      <c r="H67" s="150">
        <v>41152392.049849376</v>
      </c>
      <c r="I67" s="150">
        <v>45953399.856523752</v>
      </c>
      <c r="J67" s="150">
        <v>51205715.653665632</v>
      </c>
      <c r="K67" s="151">
        <v>56912032.710793599</v>
      </c>
      <c r="S67" s="41" t="s">
        <v>268</v>
      </c>
      <c r="T67" s="19">
        <v>184.88</v>
      </c>
      <c r="U67">
        <v>0</v>
      </c>
    </row>
    <row r="68" spans="1:21" x14ac:dyDescent="0.15">
      <c r="S68" s="41" t="s">
        <v>274</v>
      </c>
      <c r="T68" s="19">
        <v>360</v>
      </c>
      <c r="U68">
        <v>10</v>
      </c>
    </row>
    <row r="69" spans="1:21" x14ac:dyDescent="0.15">
      <c r="S69" s="41" t="s">
        <v>275</v>
      </c>
      <c r="T69" s="19">
        <v>388.99</v>
      </c>
      <c r="U69">
        <v>0</v>
      </c>
    </row>
    <row r="70" spans="1:21" x14ac:dyDescent="0.15">
      <c r="A70" s="47" t="s">
        <v>173</v>
      </c>
      <c r="B70" s="126">
        <v>0.02</v>
      </c>
      <c r="S70" s="41" t="s">
        <v>276</v>
      </c>
      <c r="T70" s="19">
        <v>447.89</v>
      </c>
      <c r="U70">
        <v>0</v>
      </c>
    </row>
    <row r="71" spans="1:21" x14ac:dyDescent="0.15">
      <c r="A71" s="47" t="s">
        <v>174</v>
      </c>
      <c r="B71" s="129">
        <v>1.3122734797790588E-2</v>
      </c>
    </row>
    <row r="72" spans="1:21" x14ac:dyDescent="0.15">
      <c r="A72" s="47" t="s">
        <v>41</v>
      </c>
      <c r="B72" s="83">
        <v>992000</v>
      </c>
    </row>
    <row r="73" spans="1:21" x14ac:dyDescent="0.15">
      <c r="A73" s="47" t="s">
        <v>212</v>
      </c>
      <c r="B73" s="83">
        <v>385878070.07999998</v>
      </c>
    </row>
    <row r="75" spans="1:21" ht="14" thickBot="1" x14ac:dyDescent="0.2"/>
    <row r="76" spans="1:21" ht="14" thickBot="1" x14ac:dyDescent="0.2">
      <c r="A76" s="176" t="s">
        <v>122</v>
      </c>
      <c r="B76" s="177"/>
      <c r="C76" s="177"/>
      <c r="D76" s="177"/>
      <c r="E76" s="177"/>
      <c r="F76" s="177"/>
      <c r="G76" s="177"/>
      <c r="H76" s="177"/>
      <c r="I76" s="177"/>
      <c r="J76" s="177"/>
      <c r="K76" s="178"/>
    </row>
    <row r="77" spans="1:21" x14ac:dyDescent="0.15">
      <c r="A77" s="49" t="s">
        <v>4</v>
      </c>
      <c r="B77" s="6">
        <v>2023</v>
      </c>
      <c r="C77" s="6">
        <v>2024</v>
      </c>
      <c r="D77" s="6">
        <v>2025</v>
      </c>
      <c r="E77" s="6">
        <v>2026</v>
      </c>
      <c r="F77" s="6">
        <v>2027</v>
      </c>
      <c r="G77" s="6">
        <v>2028</v>
      </c>
      <c r="H77" s="6">
        <v>2029</v>
      </c>
      <c r="I77" s="6">
        <v>2030</v>
      </c>
      <c r="J77" s="6">
        <v>2031</v>
      </c>
      <c r="K77" s="50">
        <v>2032</v>
      </c>
    </row>
    <row r="78" spans="1:21" x14ac:dyDescent="0.15">
      <c r="A78" s="77"/>
      <c r="D78" s="41">
        <v>1</v>
      </c>
      <c r="E78" s="41">
        <v>2</v>
      </c>
      <c r="F78" s="41">
        <v>3</v>
      </c>
      <c r="G78" s="41">
        <v>4</v>
      </c>
      <c r="H78" s="41">
        <v>5</v>
      </c>
      <c r="I78" s="41">
        <v>6</v>
      </c>
      <c r="J78" s="41">
        <v>7</v>
      </c>
      <c r="K78" s="78">
        <v>8</v>
      </c>
    </row>
    <row r="79" spans="1:21" ht="15" thickBot="1" x14ac:dyDescent="0.2">
      <c r="A79" s="65" t="s">
        <v>21</v>
      </c>
      <c r="B79" s="66" t="s">
        <v>22</v>
      </c>
      <c r="C79" s="66" t="s">
        <v>22</v>
      </c>
      <c r="D79" s="66" t="s">
        <v>22</v>
      </c>
      <c r="E79" s="66" t="s">
        <v>22</v>
      </c>
      <c r="F79" s="66" t="s">
        <v>22</v>
      </c>
      <c r="G79" s="66" t="s">
        <v>22</v>
      </c>
      <c r="H79" s="66" t="s">
        <v>22</v>
      </c>
      <c r="I79" s="66" t="s">
        <v>22</v>
      </c>
      <c r="J79" s="66" t="s">
        <v>22</v>
      </c>
      <c r="K79" s="67" t="s">
        <v>22</v>
      </c>
    </row>
    <row r="80" spans="1:21" x14ac:dyDescent="0.15">
      <c r="A80" s="68" t="s">
        <v>117</v>
      </c>
      <c r="B80" s="128">
        <v>23881000</v>
      </c>
      <c r="C80" s="128">
        <v>24949000</v>
      </c>
      <c r="D80" s="128">
        <v>26182002.54341843</v>
      </c>
      <c r="E80" s="128">
        <v>30027042.171038393</v>
      </c>
      <c r="F80" s="128">
        <v>33944977.504620746</v>
      </c>
      <c r="G80" s="128">
        <v>38236180.527346909</v>
      </c>
      <c r="H80" s="128">
        <v>42932726.496864483</v>
      </c>
      <c r="I80" s="128">
        <v>48069305.645310923</v>
      </c>
      <c r="J80" s="128">
        <v>53683431.035637468</v>
      </c>
      <c r="K80" s="52">
        <v>59815662.867551185</v>
      </c>
    </row>
    <row r="81" spans="1:11" x14ac:dyDescent="0.15">
      <c r="A81" s="68" t="s">
        <v>124</v>
      </c>
      <c r="B81" s="128"/>
      <c r="C81" s="128">
        <v>982000</v>
      </c>
      <c r="D81" s="128">
        <v>9192818.3922012672</v>
      </c>
      <c r="E81" s="128">
        <v>4021768.3044577613</v>
      </c>
      <c r="F81" s="128">
        <v>4280770.1832648367</v>
      </c>
      <c r="G81" s="128">
        <v>4556451.7830671072</v>
      </c>
      <c r="H81" s="128">
        <v>4849887.2778966129</v>
      </c>
      <c r="I81" s="128">
        <v>5162220.0185931623</v>
      </c>
      <c r="J81" s="128">
        <v>5494666.9877905548</v>
      </c>
      <c r="K81" s="52">
        <v>5848523.5418042839</v>
      </c>
    </row>
    <row r="82" spans="1:11" x14ac:dyDescent="0.15">
      <c r="A82" s="68" t="s">
        <v>118</v>
      </c>
      <c r="B82" s="128"/>
      <c r="C82" s="128">
        <v>-1601000</v>
      </c>
      <c r="D82" s="128">
        <v>5633589.7200606912</v>
      </c>
      <c r="E82" s="128">
        <v>198286.58424155042</v>
      </c>
      <c r="F82" s="128">
        <v>2642280.302361358</v>
      </c>
      <c r="G82" s="128">
        <v>1630575.780181285</v>
      </c>
      <c r="H82" s="128">
        <v>2448755.6558599807</v>
      </c>
      <c r="I82" s="128">
        <v>2338416.8985679373</v>
      </c>
      <c r="J82" s="128">
        <v>2742686.7658533193</v>
      </c>
      <c r="K82" s="52">
        <v>2910669.4528705627</v>
      </c>
    </row>
    <row r="83" spans="1:11" ht="15" thickBot="1" x14ac:dyDescent="0.2">
      <c r="A83" s="69" t="s">
        <v>121</v>
      </c>
      <c r="B83" s="58"/>
      <c r="C83" s="58">
        <v>25568000</v>
      </c>
      <c r="D83" s="58">
        <v>11355594.431156471</v>
      </c>
      <c r="E83" s="58">
        <v>25806987.282339081</v>
      </c>
      <c r="F83" s="58">
        <v>27021927.018994551</v>
      </c>
      <c r="G83" s="58">
        <v>32049152.964098517</v>
      </c>
      <c r="H83" s="58">
        <v>35634083.563107893</v>
      </c>
      <c r="I83" s="58">
        <v>40568668.728149824</v>
      </c>
      <c r="J83" s="58">
        <v>45446077.281993598</v>
      </c>
      <c r="K83" s="59">
        <v>51056469.872876339</v>
      </c>
    </row>
    <row r="85" spans="1:11" x14ac:dyDescent="0.15">
      <c r="K85" s="76">
        <v>-7572428536.5065231</v>
      </c>
    </row>
    <row r="86" spans="1:11" x14ac:dyDescent="0.15">
      <c r="A86" s="41"/>
      <c r="K86" s="46">
        <v>-7521372066.633647</v>
      </c>
    </row>
    <row r="87" spans="1:11" x14ac:dyDescent="0.15">
      <c r="A87" s="41" t="s">
        <v>125</v>
      </c>
      <c r="B87" s="76">
        <v>251140667.85596204</v>
      </c>
      <c r="D87" s="46">
        <v>11208508.151209276</v>
      </c>
      <c r="E87" s="46">
        <v>25142773.640493006</v>
      </c>
      <c r="F87" s="46">
        <v>25985443.485310726</v>
      </c>
      <c r="G87" s="46">
        <v>30420637.519051343</v>
      </c>
      <c r="H87" s="46">
        <v>33385300.391044948</v>
      </c>
      <c r="I87" s="46">
        <v>37516160.866964616</v>
      </c>
      <c r="J87" s="46">
        <v>41482218.474822111</v>
      </c>
      <c r="K87" s="46">
        <v>45999625.327066042</v>
      </c>
    </row>
    <row r="88" spans="1:11" x14ac:dyDescent="0.15">
      <c r="A88" s="19"/>
    </row>
    <row r="89" spans="1:11" x14ac:dyDescent="0.15">
      <c r="A89" s="41" t="s">
        <v>127</v>
      </c>
      <c r="B89" s="46">
        <v>253.16599582254238</v>
      </c>
    </row>
    <row r="91" spans="1:11" x14ac:dyDescent="0.15">
      <c r="A91" s="19" t="s">
        <v>129</v>
      </c>
      <c r="B91" s="46">
        <v>67742967.146209642</v>
      </c>
    </row>
    <row r="93" spans="1:11" x14ac:dyDescent="0.15">
      <c r="A93" s="41" t="s">
        <v>131</v>
      </c>
      <c r="B93" s="79">
        <v>183397700.70975238</v>
      </c>
    </row>
    <row r="95" spans="1:11" x14ac:dyDescent="0.15">
      <c r="A95" s="41" t="s">
        <v>130</v>
      </c>
      <c r="B95" s="79">
        <v>184.87671442515361</v>
      </c>
    </row>
    <row r="98" spans="1:11" x14ac:dyDescent="0.15">
      <c r="A98" s="41" t="s">
        <v>243</v>
      </c>
    </row>
    <row r="99" spans="1:11" x14ac:dyDescent="0.15">
      <c r="A99" s="19" t="s">
        <v>106</v>
      </c>
      <c r="B99" s="117">
        <v>0</v>
      </c>
      <c r="C99" s="117">
        <v>0</v>
      </c>
      <c r="D99" s="117">
        <v>0</v>
      </c>
      <c r="E99" s="117">
        <v>0</v>
      </c>
      <c r="F99" s="117">
        <v>0</v>
      </c>
      <c r="G99" s="117">
        <v>0</v>
      </c>
      <c r="H99" s="117">
        <v>0</v>
      </c>
      <c r="I99" s="117">
        <v>0</v>
      </c>
      <c r="J99" s="117">
        <v>0</v>
      </c>
      <c r="K99" s="117">
        <v>0</v>
      </c>
    </row>
    <row r="100" spans="1:11" x14ac:dyDescent="0.15">
      <c r="A100" s="19" t="s">
        <v>244</v>
      </c>
      <c r="B100" s="117">
        <v>51773000</v>
      </c>
      <c r="C100" s="117">
        <v>53471000</v>
      </c>
      <c r="D100" s="117">
        <v>53471000</v>
      </c>
      <c r="E100" s="117">
        <v>53471000</v>
      </c>
      <c r="F100" s="117">
        <v>53471000</v>
      </c>
      <c r="G100" s="117">
        <v>53471000</v>
      </c>
      <c r="H100" s="117">
        <v>53471000</v>
      </c>
      <c r="I100" s="117">
        <v>53471000</v>
      </c>
      <c r="J100" s="117">
        <v>53471000</v>
      </c>
      <c r="K100" s="117">
        <v>53471000</v>
      </c>
    </row>
    <row r="101" spans="1:11" x14ac:dyDescent="0.15">
      <c r="A101" s="19" t="s">
        <v>245</v>
      </c>
      <c r="B101" s="117">
        <v>74883000</v>
      </c>
      <c r="C101" s="117">
        <v>75486000</v>
      </c>
      <c r="D101" s="117">
        <v>76428675.577729955</v>
      </c>
      <c r="E101" s="117">
        <v>77546842.684935763</v>
      </c>
      <c r="F101" s="117">
        <v>78853567.553845629</v>
      </c>
      <c r="G101" s="117">
        <v>80186171.604313284</v>
      </c>
      <c r="H101" s="117">
        <v>81633732.305631071</v>
      </c>
      <c r="I101" s="117">
        <v>83159947.44111371</v>
      </c>
      <c r="J101" s="117">
        <v>84791735.06882143</v>
      </c>
      <c r="K101" s="117">
        <v>86524967.701003522</v>
      </c>
    </row>
    <row r="106" spans="1:11" x14ac:dyDescent="0.15">
      <c r="A106" s="19" t="s">
        <v>272</v>
      </c>
      <c r="C106" s="18">
        <f>(D83/C83)-1</f>
        <v>-0.55586692619068867</v>
      </c>
      <c r="D106" s="18">
        <f t="shared" ref="D106:K106" si="2">(E83/D83)-1</f>
        <v>1.272623193686115</v>
      </c>
      <c r="E106" s="18">
        <f t="shared" si="2"/>
        <v>4.7077937589673935E-2</v>
      </c>
      <c r="F106" s="18">
        <f t="shared" si="2"/>
        <v>0.18604246623751797</v>
      </c>
      <c r="G106" s="18">
        <f t="shared" si="2"/>
        <v>0.11185726508982063</v>
      </c>
      <c r="H106" s="18">
        <f t="shared" si="2"/>
        <v>0.13847936221799539</v>
      </c>
      <c r="I106" s="18">
        <f t="shared" si="2"/>
        <v>0.120225994757857</v>
      </c>
      <c r="J106" s="18">
        <f t="shared" si="2"/>
        <v>0.12345163601404296</v>
      </c>
      <c r="K106" s="18">
        <f t="shared" si="2"/>
        <v>-1</v>
      </c>
    </row>
    <row r="108" spans="1:11" x14ac:dyDescent="0.15">
      <c r="B108">
        <v>2015</v>
      </c>
      <c r="C108">
        <v>2016</v>
      </c>
      <c r="D108">
        <v>2017</v>
      </c>
      <c r="E108">
        <v>2018</v>
      </c>
      <c r="F108">
        <v>2019</v>
      </c>
      <c r="G108">
        <v>2020</v>
      </c>
      <c r="H108">
        <v>2021</v>
      </c>
      <c r="I108">
        <v>2022</v>
      </c>
      <c r="J108">
        <v>2023</v>
      </c>
      <c r="K108">
        <v>2024</v>
      </c>
    </row>
    <row r="109" spans="1:11" x14ac:dyDescent="0.15">
      <c r="A109" s="19" t="s">
        <v>21</v>
      </c>
      <c r="B109" s="155" t="s">
        <v>22</v>
      </c>
      <c r="C109" s="155" t="s">
        <v>22</v>
      </c>
      <c r="D109" s="155" t="s">
        <v>22</v>
      </c>
      <c r="E109" s="155" t="s">
        <v>22</v>
      </c>
      <c r="F109" s="155" t="s">
        <v>22</v>
      </c>
      <c r="G109" s="155" t="s">
        <v>22</v>
      </c>
      <c r="H109" s="155" t="s">
        <v>22</v>
      </c>
      <c r="I109" s="155" t="s">
        <v>22</v>
      </c>
      <c r="J109" s="155" t="s">
        <v>22</v>
      </c>
      <c r="K109" s="155" t="s">
        <v>22</v>
      </c>
    </row>
    <row r="110" spans="1:11" ht="14" x14ac:dyDescent="0.15">
      <c r="A110" s="12" t="s">
        <v>278</v>
      </c>
      <c r="B110" s="13">
        <v>83176000</v>
      </c>
      <c r="C110" s="13">
        <v>88519000</v>
      </c>
      <c r="D110" s="13">
        <v>94595000</v>
      </c>
      <c r="E110" s="13">
        <v>100904000</v>
      </c>
      <c r="F110" s="13">
        <v>108203000</v>
      </c>
      <c r="G110" s="13">
        <v>110225000</v>
      </c>
      <c r="H110" s="13">
        <v>132110000</v>
      </c>
      <c r="I110" s="13">
        <v>151157000</v>
      </c>
      <c r="J110" s="13">
        <v>157403000</v>
      </c>
      <c r="K110" s="13">
        <v>152669000</v>
      </c>
    </row>
    <row r="111" spans="1:11" x14ac:dyDescent="0.15">
      <c r="A111" s="19" t="s">
        <v>280</v>
      </c>
      <c r="C111" s="18">
        <f>(C110/B110)-1</f>
        <v>6.4237279984610929E-2</v>
      </c>
      <c r="D111" s="18">
        <f t="shared" ref="D111:K111" si="3">(D110/C110)-1</f>
        <v>6.8640630825020699E-2</v>
      </c>
      <c r="E111" s="18">
        <f t="shared" si="3"/>
        <v>6.6694857022041365E-2</v>
      </c>
      <c r="F111" s="18">
        <f t="shared" si="3"/>
        <v>7.2336081820344011E-2</v>
      </c>
      <c r="G111" s="18">
        <f t="shared" si="3"/>
        <v>1.8687097400256869E-2</v>
      </c>
      <c r="H111" s="18">
        <f t="shared" si="3"/>
        <v>0.19854842367883885</v>
      </c>
      <c r="I111" s="18">
        <f t="shared" si="3"/>
        <v>0.14417530845507542</v>
      </c>
      <c r="J111" s="18">
        <f t="shared" si="3"/>
        <v>4.1321275230389531E-2</v>
      </c>
      <c r="K111" s="18">
        <f t="shared" si="3"/>
        <v>-3.0075665648049865E-2</v>
      </c>
    </row>
    <row r="112" spans="1:11" ht="14" x14ac:dyDescent="0.15">
      <c r="A112" s="28" t="s">
        <v>279</v>
      </c>
      <c r="B112" s="73">
        <v>485651000</v>
      </c>
      <c r="C112" s="73">
        <v>482130000</v>
      </c>
      <c r="D112" s="73">
        <v>485873000</v>
      </c>
      <c r="E112" s="73">
        <v>500343000</v>
      </c>
      <c r="F112" s="73">
        <v>514405000</v>
      </c>
      <c r="G112" s="73">
        <v>523964000</v>
      </c>
      <c r="H112" s="73">
        <v>559151000</v>
      </c>
      <c r="I112" s="73">
        <v>572754000</v>
      </c>
      <c r="J112" s="73">
        <v>611289000</v>
      </c>
      <c r="K112" s="73">
        <v>648125000</v>
      </c>
    </row>
    <row r="113" spans="1:11" x14ac:dyDescent="0.15">
      <c r="A113" s="19" t="s">
        <v>281</v>
      </c>
      <c r="C113" s="18">
        <f>(C112/B112)-1</f>
        <v>-7.2500622875274479E-3</v>
      </c>
      <c r="D113" s="18">
        <f t="shared" ref="D113:K113" si="4">(D112/C112)-1</f>
        <v>7.7634662850267766E-3</v>
      </c>
      <c r="E113" s="18">
        <f t="shared" si="4"/>
        <v>2.9781444945489843E-2</v>
      </c>
      <c r="F113" s="18">
        <f t="shared" si="4"/>
        <v>2.8104720161968855E-2</v>
      </c>
      <c r="G113" s="18">
        <f t="shared" si="4"/>
        <v>1.85826343056541E-2</v>
      </c>
      <c r="H113" s="18">
        <f t="shared" si="4"/>
        <v>6.7155377086975498E-2</v>
      </c>
      <c r="I113" s="18">
        <f t="shared" si="4"/>
        <v>2.4327954345069625E-2</v>
      </c>
      <c r="J113" s="18">
        <f t="shared" si="4"/>
        <v>6.7280193590965709E-2</v>
      </c>
      <c r="K113" s="18">
        <f t="shared" si="4"/>
        <v>6.02595499019285E-2</v>
      </c>
    </row>
    <row r="114" spans="1:11" ht="14" x14ac:dyDescent="0.15">
      <c r="A114" s="28" t="s">
        <v>282</v>
      </c>
      <c r="B114" s="73">
        <v>56223000</v>
      </c>
      <c r="C114" s="73">
        <v>59074000</v>
      </c>
      <c r="D114" s="73">
        <v>65017000</v>
      </c>
      <c r="E114" s="73">
        <v>68619000</v>
      </c>
      <c r="F114" s="73">
        <v>71309000</v>
      </c>
      <c r="G114" s="73">
        <v>72148000</v>
      </c>
      <c r="H114" s="73">
        <v>89597000</v>
      </c>
      <c r="I114" s="73">
        <v>96250000</v>
      </c>
      <c r="J114" s="73">
        <v>97059000</v>
      </c>
      <c r="K114" s="73">
        <v>86377000</v>
      </c>
    </row>
    <row r="115" spans="1:11" x14ac:dyDescent="0.15">
      <c r="A115" s="19" t="s">
        <v>284</v>
      </c>
      <c r="C115" s="18">
        <f>(C114/B114)-1</f>
        <v>5.0708784661081863E-2</v>
      </c>
      <c r="D115" s="18">
        <f t="shared" ref="D115:K115" si="5">(D114/C114)-1</f>
        <v>0.10060263398449409</v>
      </c>
      <c r="E115" s="18">
        <f t="shared" si="5"/>
        <v>5.5400895150499174E-2</v>
      </c>
      <c r="F115" s="18">
        <f t="shared" si="5"/>
        <v>3.9201970299771238E-2</v>
      </c>
      <c r="G115" s="18">
        <f t="shared" si="5"/>
        <v>1.176569577472697E-2</v>
      </c>
      <c r="H115" s="18">
        <f t="shared" si="5"/>
        <v>0.24185008593446811</v>
      </c>
      <c r="I115" s="18">
        <f t="shared" si="5"/>
        <v>7.4254718349944682E-2</v>
      </c>
      <c r="J115" s="18">
        <f t="shared" si="5"/>
        <v>8.40519480519486E-3</v>
      </c>
      <c r="K115" s="18">
        <f t="shared" si="5"/>
        <v>-0.11005676959375221</v>
      </c>
    </row>
    <row r="116" spans="1:11" ht="14" x14ac:dyDescent="0.15">
      <c r="A116" s="28" t="s">
        <v>283</v>
      </c>
      <c r="B116" s="73">
        <v>784012</v>
      </c>
      <c r="C116" s="73">
        <v>1050759</v>
      </c>
      <c r="D116" s="73">
        <v>1384767</v>
      </c>
      <c r="E116" s="73">
        <v>1709848</v>
      </c>
      <c r="F116" s="73">
        <v>2045456</v>
      </c>
      <c r="G116" s="73">
        <v>2425788</v>
      </c>
      <c r="H116" s="73">
        <v>3433533</v>
      </c>
      <c r="I116" s="73">
        <v>4264473</v>
      </c>
      <c r="J116" s="73">
        <v>4413884</v>
      </c>
      <c r="K116" s="73"/>
    </row>
    <row r="117" spans="1:11" x14ac:dyDescent="0.15">
      <c r="A117" s="19" t="s">
        <v>285</v>
      </c>
      <c r="C117" s="18">
        <f>(C116/B116)-1</f>
        <v>0.34023331275541691</v>
      </c>
      <c r="D117" s="18">
        <f t="shared" ref="D117:J117" si="6">(D116/C116)-1</f>
        <v>0.31787308031622863</v>
      </c>
      <c r="E117" s="18">
        <f t="shared" si="6"/>
        <v>0.2347550165479102</v>
      </c>
      <c r="F117" s="18">
        <f t="shared" si="6"/>
        <v>0.1962794353650148</v>
      </c>
      <c r="G117" s="18">
        <f t="shared" si="6"/>
        <v>0.1859399566649198</v>
      </c>
      <c r="H117" s="18">
        <f t="shared" si="6"/>
        <v>0.41542995513210546</v>
      </c>
      <c r="I117" s="18">
        <f t="shared" si="6"/>
        <v>0.24200728520739423</v>
      </c>
      <c r="J117" s="18">
        <f t="shared" si="6"/>
        <v>3.5036216667335029E-2</v>
      </c>
    </row>
    <row r="118" spans="1:11" x14ac:dyDescent="0.15">
      <c r="C118" s="38">
        <f>AVERAGE(C117,C115,C113,C111)</f>
        <v>0.11198232877839556</v>
      </c>
      <c r="D118" s="38">
        <f t="shared" ref="D118:K118" si="7">AVERAGE(D117,D115,D113,D111)</f>
        <v>0.12371995285269255</v>
      </c>
      <c r="E118" s="38">
        <f t="shared" si="7"/>
        <v>9.6658053416485146E-2</v>
      </c>
      <c r="F118" s="38">
        <f t="shared" si="7"/>
        <v>8.3980551911774726E-2</v>
      </c>
      <c r="G118" s="38">
        <f t="shared" si="7"/>
        <v>5.8743846036389435E-2</v>
      </c>
      <c r="H118" s="38">
        <f t="shared" si="7"/>
        <v>0.23074596045809698</v>
      </c>
      <c r="I118" s="38">
        <f t="shared" si="7"/>
        <v>0.12119131658937099</v>
      </c>
      <c r="J118" s="38">
        <f t="shared" si="7"/>
        <v>3.8010720073471282E-2</v>
      </c>
      <c r="K118" s="38">
        <f t="shared" si="7"/>
        <v>-2.6624295113291192E-2</v>
      </c>
    </row>
  </sheetData>
  <mergeCells count="5">
    <mergeCell ref="A76:K76"/>
    <mergeCell ref="A3:K3"/>
    <mergeCell ref="A21:K21"/>
    <mergeCell ref="A44:K44"/>
    <mergeCell ref="A52:K5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41BE-29A6-3E49-8BAF-C9489B614A8B}">
  <dimension ref="A4:Y144"/>
  <sheetViews>
    <sheetView topLeftCell="A110" zoomScale="120" zoomScaleNormal="120" workbookViewId="0">
      <selection activeCell="Y129" sqref="Y129"/>
    </sheetView>
  </sheetViews>
  <sheetFormatPr baseColWidth="10" defaultColWidth="8.83203125" defaultRowHeight="13" x14ac:dyDescent="0.15"/>
  <cols>
    <col min="1" max="1" width="50" style="20" customWidth="1"/>
    <col min="2" max="11" width="14.6640625" style="20" bestFit="1" customWidth="1"/>
    <col min="12" max="12" width="13.1640625" style="20" customWidth="1"/>
    <col min="13" max="13" width="12" style="20" customWidth="1"/>
    <col min="14" max="14" width="32.83203125" style="20" bestFit="1" customWidth="1"/>
    <col min="15" max="24" width="14.6640625" style="20" bestFit="1" customWidth="1"/>
    <col min="25" max="25" width="13.6640625" style="20" customWidth="1"/>
    <col min="26" max="191" width="12" style="20" customWidth="1"/>
    <col min="192" max="16384" width="8.83203125" style="20"/>
  </cols>
  <sheetData>
    <row r="4" spans="1:24" x14ac:dyDescent="0.15">
      <c r="A4" s="21" t="s">
        <v>0</v>
      </c>
      <c r="N4" s="21" t="s">
        <v>0</v>
      </c>
    </row>
    <row r="5" spans="1:24" ht="20" x14ac:dyDescent="0.2">
      <c r="A5" s="22" t="s">
        <v>134</v>
      </c>
      <c r="N5" s="22" t="s">
        <v>134</v>
      </c>
    </row>
    <row r="7" spans="1:24" ht="28" x14ac:dyDescent="0.15">
      <c r="A7" s="23" t="s">
        <v>2</v>
      </c>
      <c r="N7" s="23" t="s">
        <v>2</v>
      </c>
    </row>
    <row r="10" spans="1:24" ht="28" x14ac:dyDescent="0.15">
      <c r="A10" s="24" t="s">
        <v>47</v>
      </c>
      <c r="N10" s="24" t="s">
        <v>3</v>
      </c>
    </row>
    <row r="11" spans="1:24" ht="14" x14ac:dyDescent="0.15">
      <c r="A11" s="25" t="s">
        <v>4</v>
      </c>
      <c r="B11" s="26" t="s">
        <v>135</v>
      </c>
      <c r="C11" s="26" t="s">
        <v>13</v>
      </c>
      <c r="D11" s="26" t="s">
        <v>136</v>
      </c>
      <c r="E11" s="26" t="s">
        <v>137</v>
      </c>
      <c r="F11" s="26" t="s">
        <v>138</v>
      </c>
      <c r="G11" s="26" t="s">
        <v>139</v>
      </c>
      <c r="H11" s="26" t="s">
        <v>8</v>
      </c>
      <c r="I11" s="26" t="s">
        <v>140</v>
      </c>
      <c r="J11" s="26" t="s">
        <v>141</v>
      </c>
      <c r="K11" s="26" t="s">
        <v>142</v>
      </c>
      <c r="L11" s="25"/>
      <c r="N11" s="25" t="s">
        <v>4</v>
      </c>
      <c r="O11" s="26" t="s">
        <v>135</v>
      </c>
      <c r="P11" s="26" t="s">
        <v>13</v>
      </c>
      <c r="Q11" s="26" t="s">
        <v>136</v>
      </c>
      <c r="R11" s="26" t="s">
        <v>137</v>
      </c>
      <c r="S11" s="26" t="s">
        <v>138</v>
      </c>
      <c r="T11" s="26" t="s">
        <v>139</v>
      </c>
      <c r="U11" s="26" t="s">
        <v>8</v>
      </c>
      <c r="V11" s="26" t="s">
        <v>140</v>
      </c>
      <c r="W11" s="26" t="s">
        <v>141</v>
      </c>
      <c r="X11" s="26" t="s">
        <v>142</v>
      </c>
    </row>
    <row r="12" spans="1:24" ht="14" x14ac:dyDescent="0.15">
      <c r="A12" s="25" t="s">
        <v>15</v>
      </c>
      <c r="B12" s="26" t="s">
        <v>16</v>
      </c>
      <c r="C12" s="26" t="s">
        <v>16</v>
      </c>
      <c r="D12" s="26" t="s">
        <v>16</v>
      </c>
      <c r="E12" s="26" t="s">
        <v>16</v>
      </c>
      <c r="F12" s="26" t="s">
        <v>16</v>
      </c>
      <c r="G12" s="26" t="s">
        <v>16</v>
      </c>
      <c r="H12" s="26" t="s">
        <v>16</v>
      </c>
      <c r="I12" s="26" t="s">
        <v>16</v>
      </c>
      <c r="J12" s="26" t="s">
        <v>16</v>
      </c>
      <c r="K12" s="26" t="s">
        <v>16</v>
      </c>
      <c r="L12" s="25"/>
      <c r="N12" s="25" t="s">
        <v>15</v>
      </c>
      <c r="O12" s="26" t="s">
        <v>16</v>
      </c>
      <c r="P12" s="26" t="s">
        <v>16</v>
      </c>
      <c r="Q12" s="26" t="s">
        <v>16</v>
      </c>
      <c r="R12" s="26" t="s">
        <v>16</v>
      </c>
      <c r="S12" s="26" t="s">
        <v>16</v>
      </c>
      <c r="T12" s="26" t="s">
        <v>16</v>
      </c>
      <c r="U12" s="26" t="s">
        <v>16</v>
      </c>
      <c r="V12" s="26" t="s">
        <v>16</v>
      </c>
      <c r="W12" s="26" t="s">
        <v>16</v>
      </c>
      <c r="X12" s="26" t="s">
        <v>16</v>
      </c>
    </row>
    <row r="13" spans="1:24" ht="14" x14ac:dyDescent="0.15">
      <c r="A13" s="25" t="s">
        <v>17</v>
      </c>
      <c r="B13" s="26" t="s">
        <v>18</v>
      </c>
      <c r="C13" s="26" t="s">
        <v>18</v>
      </c>
      <c r="D13" s="26" t="s">
        <v>18</v>
      </c>
      <c r="E13" s="26" t="s">
        <v>18</v>
      </c>
      <c r="F13" s="26" t="s">
        <v>18</v>
      </c>
      <c r="G13" s="26" t="s">
        <v>18</v>
      </c>
      <c r="H13" s="26" t="s">
        <v>18</v>
      </c>
      <c r="I13" s="26" t="s">
        <v>18</v>
      </c>
      <c r="J13" s="26" t="s">
        <v>18</v>
      </c>
      <c r="K13" s="26" t="s">
        <v>18</v>
      </c>
      <c r="L13" s="25"/>
      <c r="N13" s="25" t="s">
        <v>17</v>
      </c>
      <c r="O13" s="26" t="s">
        <v>18</v>
      </c>
      <c r="P13" s="26" t="s">
        <v>18</v>
      </c>
      <c r="Q13" s="26" t="s">
        <v>18</v>
      </c>
      <c r="R13" s="26" t="s">
        <v>18</v>
      </c>
      <c r="S13" s="26" t="s">
        <v>18</v>
      </c>
      <c r="T13" s="26" t="s">
        <v>18</v>
      </c>
      <c r="U13" s="26" t="s">
        <v>18</v>
      </c>
      <c r="V13" s="26" t="s">
        <v>18</v>
      </c>
      <c r="W13" s="26" t="s">
        <v>18</v>
      </c>
      <c r="X13" s="26" t="s">
        <v>18</v>
      </c>
    </row>
    <row r="14" spans="1:24" ht="14" x14ac:dyDescent="0.15">
      <c r="A14" s="25" t="s">
        <v>19</v>
      </c>
      <c r="B14" s="26" t="s">
        <v>20</v>
      </c>
      <c r="C14" s="26" t="s">
        <v>20</v>
      </c>
      <c r="D14" s="26" t="s">
        <v>20</v>
      </c>
      <c r="E14" s="26" t="s">
        <v>20</v>
      </c>
      <c r="F14" s="26" t="s">
        <v>20</v>
      </c>
      <c r="G14" s="26" t="s">
        <v>20</v>
      </c>
      <c r="H14" s="26" t="s">
        <v>20</v>
      </c>
      <c r="I14" s="26" t="s">
        <v>20</v>
      </c>
      <c r="J14" s="26" t="s">
        <v>20</v>
      </c>
      <c r="K14" s="26" t="s">
        <v>20</v>
      </c>
      <c r="L14" s="25"/>
      <c r="N14" s="25" t="s">
        <v>19</v>
      </c>
      <c r="O14" s="26" t="s">
        <v>20</v>
      </c>
      <c r="P14" s="26" t="s">
        <v>20</v>
      </c>
      <c r="Q14" s="26" t="s">
        <v>20</v>
      </c>
      <c r="R14" s="26" t="s">
        <v>20</v>
      </c>
      <c r="S14" s="26" t="s">
        <v>20</v>
      </c>
      <c r="T14" s="26" t="s">
        <v>20</v>
      </c>
      <c r="U14" s="26" t="s">
        <v>20</v>
      </c>
      <c r="V14" s="26" t="s">
        <v>20</v>
      </c>
      <c r="W14" s="26" t="s">
        <v>20</v>
      </c>
      <c r="X14" s="26" t="s">
        <v>20</v>
      </c>
    </row>
    <row r="15" spans="1:24" ht="14" x14ac:dyDescent="0.15">
      <c r="A15" s="25" t="s">
        <v>21</v>
      </c>
      <c r="B15" s="26" t="s">
        <v>22</v>
      </c>
      <c r="C15" s="26" t="s">
        <v>22</v>
      </c>
      <c r="D15" s="26" t="s">
        <v>22</v>
      </c>
      <c r="E15" s="26" t="s">
        <v>22</v>
      </c>
      <c r="F15" s="26" t="s">
        <v>22</v>
      </c>
      <c r="G15" s="26" t="s">
        <v>22</v>
      </c>
      <c r="H15" s="26" t="s">
        <v>22</v>
      </c>
      <c r="I15" s="26" t="s">
        <v>22</v>
      </c>
      <c r="J15" s="26" t="s">
        <v>22</v>
      </c>
      <c r="K15" s="26" t="s">
        <v>22</v>
      </c>
      <c r="L15" s="25"/>
      <c r="N15" s="25" t="s">
        <v>21</v>
      </c>
      <c r="O15" s="26" t="s">
        <v>22</v>
      </c>
      <c r="P15" s="26" t="s">
        <v>22</v>
      </c>
      <c r="Q15" s="26" t="s">
        <v>22</v>
      </c>
      <c r="R15" s="26" t="s">
        <v>22</v>
      </c>
      <c r="S15" s="26" t="s">
        <v>22</v>
      </c>
      <c r="T15" s="26" t="s">
        <v>22</v>
      </c>
      <c r="U15" s="26" t="s">
        <v>22</v>
      </c>
      <c r="V15" s="26" t="s">
        <v>22</v>
      </c>
      <c r="W15" s="26" t="s">
        <v>22</v>
      </c>
      <c r="X15" s="26" t="s">
        <v>22</v>
      </c>
    </row>
    <row r="16" spans="1:24" x14ac:dyDescent="0.15">
      <c r="A16" s="27" t="s">
        <v>48</v>
      </c>
      <c r="B16" s="70">
        <v>9135000</v>
      </c>
      <c r="C16" s="70">
        <v>8705000</v>
      </c>
      <c r="D16" s="70">
        <v>6867000</v>
      </c>
      <c r="E16" s="70">
        <v>6756000</v>
      </c>
      <c r="F16" s="70">
        <v>7722000</v>
      </c>
      <c r="G16" s="70">
        <v>9465000</v>
      </c>
      <c r="H16" s="70">
        <v>17741000</v>
      </c>
      <c r="I16" s="70">
        <v>14760000</v>
      </c>
      <c r="J16" s="70">
        <v>8625000</v>
      </c>
      <c r="K16" s="70">
        <v>9867000</v>
      </c>
      <c r="L16" s="27"/>
      <c r="N16" s="27" t="s">
        <v>23</v>
      </c>
      <c r="O16" s="72">
        <v>482229000</v>
      </c>
      <c r="P16" s="72">
        <v>478614000</v>
      </c>
      <c r="Q16" s="72">
        <v>481317000</v>
      </c>
      <c r="R16" s="72">
        <v>495761000</v>
      </c>
      <c r="S16" s="72">
        <v>510329000</v>
      </c>
      <c r="T16" s="72">
        <v>519926000</v>
      </c>
      <c r="U16" s="72">
        <v>555233000</v>
      </c>
      <c r="V16" s="72">
        <v>567762000</v>
      </c>
      <c r="W16" s="72">
        <v>605881000</v>
      </c>
      <c r="X16" s="72">
        <v>642637000</v>
      </c>
    </row>
    <row r="17" spans="1:24" x14ac:dyDescent="0.15">
      <c r="A17" s="27" t="s">
        <v>49</v>
      </c>
      <c r="B17" s="70">
        <v>9135000</v>
      </c>
      <c r="C17" s="70">
        <v>8705000</v>
      </c>
      <c r="D17" s="70">
        <v>6867000</v>
      </c>
      <c r="E17" s="70">
        <v>6756000</v>
      </c>
      <c r="F17" s="70">
        <v>7722000</v>
      </c>
      <c r="G17" s="70">
        <v>9465000</v>
      </c>
      <c r="H17" s="70">
        <v>17741000</v>
      </c>
      <c r="I17" s="70">
        <v>14760000</v>
      </c>
      <c r="J17" s="70">
        <v>8625000</v>
      </c>
      <c r="K17" s="70">
        <v>9867000</v>
      </c>
      <c r="L17" s="27"/>
      <c r="N17" s="27" t="s">
        <v>203</v>
      </c>
      <c r="O17" s="72">
        <v>3422000</v>
      </c>
      <c r="P17" s="72">
        <v>3516000</v>
      </c>
      <c r="Q17" s="72">
        <v>4556000</v>
      </c>
      <c r="R17" s="72">
        <v>4582000</v>
      </c>
      <c r="S17" s="72">
        <v>4076000</v>
      </c>
      <c r="T17" s="72">
        <v>4038000</v>
      </c>
      <c r="U17" s="72">
        <v>3918000</v>
      </c>
      <c r="V17" s="72">
        <v>4992000</v>
      </c>
      <c r="W17" s="72">
        <v>5408000</v>
      </c>
      <c r="X17" s="72">
        <v>5488000</v>
      </c>
    </row>
    <row r="18" spans="1:24" ht="14" x14ac:dyDescent="0.15">
      <c r="A18" s="27" t="s">
        <v>50</v>
      </c>
      <c r="B18" s="70">
        <v>6778000</v>
      </c>
      <c r="C18" s="70">
        <v>5624000</v>
      </c>
      <c r="D18" s="70">
        <v>5835000</v>
      </c>
      <c r="E18" s="70">
        <v>5614000</v>
      </c>
      <c r="F18" s="70">
        <v>6283000</v>
      </c>
      <c r="G18" s="70">
        <v>6284000</v>
      </c>
      <c r="H18" s="70">
        <v>6516000</v>
      </c>
      <c r="I18" s="70">
        <v>8280000</v>
      </c>
      <c r="J18" s="70">
        <v>7933000</v>
      </c>
      <c r="K18" s="70">
        <v>8796000</v>
      </c>
      <c r="L18" s="27"/>
      <c r="N18" s="28" t="s">
        <v>24</v>
      </c>
      <c r="O18" s="73">
        <v>485651000</v>
      </c>
      <c r="P18" s="73">
        <v>482130000</v>
      </c>
      <c r="Q18" s="73">
        <v>485873000</v>
      </c>
      <c r="R18" s="73">
        <v>500343000</v>
      </c>
      <c r="S18" s="73">
        <v>514405000</v>
      </c>
      <c r="T18" s="73">
        <v>523964000</v>
      </c>
      <c r="U18" s="73">
        <v>559151000</v>
      </c>
      <c r="V18" s="73">
        <v>572754000</v>
      </c>
      <c r="W18" s="73">
        <v>611289000</v>
      </c>
      <c r="X18" s="73">
        <v>648125000</v>
      </c>
    </row>
    <row r="19" spans="1:24" x14ac:dyDescent="0.15">
      <c r="A19" s="27" t="s">
        <v>51</v>
      </c>
      <c r="B19" s="70">
        <v>45141000</v>
      </c>
      <c r="C19" s="70">
        <v>44469000</v>
      </c>
      <c r="D19" s="70">
        <v>43046000</v>
      </c>
      <c r="E19" s="70">
        <v>43783000</v>
      </c>
      <c r="F19" s="70">
        <v>44269000</v>
      </c>
      <c r="G19" s="70">
        <v>44435000</v>
      </c>
      <c r="H19" s="70">
        <v>44949000</v>
      </c>
      <c r="I19" s="70">
        <v>56511000</v>
      </c>
      <c r="J19" s="70">
        <v>56576000</v>
      </c>
      <c r="K19" s="70">
        <v>54892000</v>
      </c>
      <c r="L19" s="27"/>
      <c r="N19" s="27" t="s">
        <v>204</v>
      </c>
      <c r="O19" s="72">
        <v>365086000</v>
      </c>
      <c r="P19" s="72">
        <v>360984000</v>
      </c>
      <c r="Q19" s="72">
        <v>361256000</v>
      </c>
      <c r="R19" s="72">
        <v>373396000</v>
      </c>
      <c r="S19" s="72">
        <v>385301000</v>
      </c>
      <c r="T19" s="72">
        <v>394605000</v>
      </c>
      <c r="U19" s="72">
        <v>420315000</v>
      </c>
      <c r="V19" s="72">
        <v>429000000</v>
      </c>
      <c r="W19" s="72">
        <v>463721000</v>
      </c>
      <c r="X19" s="72">
        <v>490142000</v>
      </c>
    </row>
    <row r="20" spans="1:24" x14ac:dyDescent="0.15">
      <c r="A20" s="27" t="s">
        <v>52</v>
      </c>
      <c r="B20" s="70">
        <v>2224000</v>
      </c>
      <c r="C20" s="70">
        <v>1441000</v>
      </c>
      <c r="D20" s="70">
        <v>1941000</v>
      </c>
      <c r="E20" s="70">
        <v>3511000</v>
      </c>
      <c r="F20" s="70">
        <v>3623000</v>
      </c>
      <c r="G20" s="70">
        <v>1622000</v>
      </c>
      <c r="H20" s="70">
        <v>20861000</v>
      </c>
      <c r="I20" s="70">
        <v>1519000</v>
      </c>
      <c r="J20" s="70">
        <v>2521000</v>
      </c>
      <c r="K20" s="70">
        <v>0</v>
      </c>
      <c r="L20" s="27"/>
      <c r="N20" s="27" t="s">
        <v>25</v>
      </c>
      <c r="O20" s="72">
        <v>120565000</v>
      </c>
      <c r="P20" s="72">
        <v>121146000</v>
      </c>
      <c r="Q20" s="72">
        <v>124617000</v>
      </c>
      <c r="R20" s="72">
        <v>126947000</v>
      </c>
      <c r="S20" s="72">
        <v>129104000</v>
      </c>
      <c r="T20" s="72">
        <v>129359000</v>
      </c>
      <c r="U20" s="72">
        <v>138836000</v>
      </c>
      <c r="V20" s="72">
        <v>143754000</v>
      </c>
      <c r="W20" s="72">
        <v>147568000</v>
      </c>
      <c r="X20" s="72">
        <v>157983000</v>
      </c>
    </row>
    <row r="21" spans="1:24" s="29" customFormat="1" ht="14" x14ac:dyDescent="0.15">
      <c r="A21" s="28" t="s">
        <v>53</v>
      </c>
      <c r="B21" s="71">
        <v>63278000</v>
      </c>
      <c r="C21" s="71">
        <v>60239000</v>
      </c>
      <c r="D21" s="71">
        <v>57689000</v>
      </c>
      <c r="E21" s="71">
        <v>59664000</v>
      </c>
      <c r="F21" s="71">
        <v>61897000</v>
      </c>
      <c r="G21" s="71">
        <v>61806000</v>
      </c>
      <c r="H21" s="71">
        <v>90067000</v>
      </c>
      <c r="I21" s="71">
        <v>81070000</v>
      </c>
      <c r="J21" s="71">
        <v>75655000</v>
      </c>
      <c r="K21" s="71">
        <v>76877000</v>
      </c>
      <c r="L21" s="28"/>
      <c r="N21" s="27" t="s">
        <v>26</v>
      </c>
      <c r="O21" s="72">
        <v>93418000</v>
      </c>
      <c r="P21" s="72">
        <v>97041000</v>
      </c>
      <c r="Q21" s="72">
        <v>101853000</v>
      </c>
      <c r="R21" s="72">
        <v>106510000</v>
      </c>
      <c r="S21" s="72">
        <v>107147000</v>
      </c>
      <c r="T21" s="72">
        <v>108791000</v>
      </c>
      <c r="U21" s="72">
        <v>116288000</v>
      </c>
      <c r="V21" s="72">
        <v>117812000</v>
      </c>
      <c r="W21" s="72">
        <v>127140000</v>
      </c>
      <c r="X21" s="72">
        <v>130971000</v>
      </c>
    </row>
    <row r="22" spans="1:24" ht="14" x14ac:dyDescent="0.15">
      <c r="A22" s="27" t="s">
        <v>54</v>
      </c>
      <c r="B22" s="70">
        <v>177395000</v>
      </c>
      <c r="C22" s="70">
        <v>176958000</v>
      </c>
      <c r="D22" s="70">
        <v>179492000</v>
      </c>
      <c r="E22" s="70">
        <v>185154000</v>
      </c>
      <c r="F22" s="70">
        <v>185810000</v>
      </c>
      <c r="G22" s="70">
        <v>195028000</v>
      </c>
      <c r="H22" s="70">
        <v>180571000</v>
      </c>
      <c r="I22" s="70">
        <v>189324000</v>
      </c>
      <c r="J22" s="70">
        <v>202370000</v>
      </c>
      <c r="K22" s="70">
        <v>219859000</v>
      </c>
      <c r="L22" s="27"/>
      <c r="N22" s="28" t="s">
        <v>205</v>
      </c>
      <c r="O22" s="73">
        <v>93418000</v>
      </c>
      <c r="P22" s="73">
        <v>97041000</v>
      </c>
      <c r="Q22" s="73">
        <v>101853000</v>
      </c>
      <c r="R22" s="73">
        <v>106510000</v>
      </c>
      <c r="S22" s="73">
        <v>107147000</v>
      </c>
      <c r="T22" s="73">
        <v>108791000</v>
      </c>
      <c r="U22" s="73">
        <v>116288000</v>
      </c>
      <c r="V22" s="73">
        <v>117812000</v>
      </c>
      <c r="W22" s="73">
        <v>127140000</v>
      </c>
      <c r="X22" s="73">
        <v>130971000</v>
      </c>
    </row>
    <row r="23" spans="1:24" ht="14" x14ac:dyDescent="0.15">
      <c r="A23" s="27" t="s">
        <v>55</v>
      </c>
      <c r="B23" s="70">
        <v>63115000</v>
      </c>
      <c r="C23" s="70">
        <v>66787000</v>
      </c>
      <c r="D23" s="70">
        <v>71782000</v>
      </c>
      <c r="E23" s="70">
        <v>77479000</v>
      </c>
      <c r="F23" s="70">
        <v>81493000</v>
      </c>
      <c r="G23" s="70">
        <v>89820000</v>
      </c>
      <c r="H23" s="70">
        <v>88370000</v>
      </c>
      <c r="I23" s="70">
        <v>94809000</v>
      </c>
      <c r="J23" s="70">
        <v>101610000</v>
      </c>
      <c r="K23" s="70">
        <v>109049000</v>
      </c>
      <c r="L23" s="27"/>
      <c r="N23" s="28" t="s">
        <v>28</v>
      </c>
      <c r="O23" s="73">
        <v>27147000</v>
      </c>
      <c r="P23" s="73">
        <v>24105000</v>
      </c>
      <c r="Q23" s="73">
        <v>22764000</v>
      </c>
      <c r="R23" s="73">
        <v>20437000</v>
      </c>
      <c r="S23" s="73">
        <v>21957000</v>
      </c>
      <c r="T23" s="73">
        <v>20568000</v>
      </c>
      <c r="U23" s="73">
        <v>22548000</v>
      </c>
      <c r="V23" s="73">
        <v>25942000</v>
      </c>
      <c r="W23" s="73">
        <v>20428000</v>
      </c>
      <c r="X23" s="73">
        <v>27012000</v>
      </c>
    </row>
    <row r="24" spans="1:24" x14ac:dyDescent="0.15">
      <c r="A24" s="27" t="s">
        <v>56</v>
      </c>
      <c r="B24" s="70">
        <v>114280000</v>
      </c>
      <c r="C24" s="70">
        <v>110171000</v>
      </c>
      <c r="D24" s="70">
        <v>107710000</v>
      </c>
      <c r="E24" s="70">
        <v>107675000</v>
      </c>
      <c r="F24" s="70">
        <v>104317000</v>
      </c>
      <c r="G24" s="70">
        <v>105208000</v>
      </c>
      <c r="H24" s="70">
        <v>92201000</v>
      </c>
      <c r="I24" s="70">
        <v>94515000</v>
      </c>
      <c r="J24" s="70">
        <v>100760000</v>
      </c>
      <c r="K24" s="70">
        <v>110810000</v>
      </c>
      <c r="L24" s="27"/>
      <c r="N24" s="27" t="s">
        <v>206</v>
      </c>
      <c r="O24" s="72">
        <v>-2348000</v>
      </c>
      <c r="P24" s="72">
        <v>-2467000</v>
      </c>
      <c r="Q24" s="72">
        <v>-2267000</v>
      </c>
      <c r="R24" s="72">
        <v>-2178000</v>
      </c>
      <c r="S24" s="72">
        <v>-2129000</v>
      </c>
      <c r="T24" s="72">
        <v>-2410000</v>
      </c>
      <c r="U24" s="72">
        <v>-2194000</v>
      </c>
      <c r="V24" s="72">
        <v>-1836000</v>
      </c>
      <c r="W24" s="72">
        <v>-1874000</v>
      </c>
      <c r="X24" s="72">
        <v>-2137000</v>
      </c>
    </row>
    <row r="25" spans="1:24" x14ac:dyDescent="0.15">
      <c r="A25" s="27" t="s">
        <v>57</v>
      </c>
      <c r="B25" s="70">
        <v>18102000</v>
      </c>
      <c r="C25" s="70">
        <v>16695000</v>
      </c>
      <c r="D25" s="70">
        <v>17037000</v>
      </c>
      <c r="E25" s="70">
        <v>18242000</v>
      </c>
      <c r="F25" s="70">
        <v>31181000</v>
      </c>
      <c r="G25" s="70">
        <v>31073000</v>
      </c>
      <c r="H25" s="70">
        <v>28983000</v>
      </c>
      <c r="I25" s="70">
        <v>29014000</v>
      </c>
      <c r="J25" s="70">
        <v>28174000</v>
      </c>
      <c r="K25" s="70">
        <v>28113000</v>
      </c>
      <c r="L25" s="27"/>
      <c r="N25" s="27" t="s">
        <v>207</v>
      </c>
      <c r="O25" s="72">
        <v>0</v>
      </c>
      <c r="P25" s="72">
        <v>0</v>
      </c>
      <c r="Q25" s="72">
        <v>0</v>
      </c>
      <c r="R25" s="72">
        <v>-3136000</v>
      </c>
      <c r="S25" s="72">
        <v>-8368000</v>
      </c>
      <c r="T25" s="72">
        <v>1958000</v>
      </c>
      <c r="U25" s="72">
        <v>210000</v>
      </c>
      <c r="V25" s="72">
        <v>-5410000</v>
      </c>
      <c r="W25" s="72">
        <v>-1538000</v>
      </c>
      <c r="X25" s="72">
        <v>-3027000</v>
      </c>
    </row>
    <row r="26" spans="1:24" x14ac:dyDescent="0.15">
      <c r="A26" s="27" t="s">
        <v>58</v>
      </c>
      <c r="B26" s="70">
        <v>8046000</v>
      </c>
      <c r="C26" s="70">
        <v>12476000</v>
      </c>
      <c r="D26" s="70">
        <v>16389000</v>
      </c>
      <c r="E26" s="70">
        <v>18941000</v>
      </c>
      <c r="F26" s="70">
        <v>21900000</v>
      </c>
      <c r="G26" s="70">
        <v>38408000</v>
      </c>
      <c r="H26" s="70">
        <v>41245000</v>
      </c>
      <c r="I26" s="70">
        <v>40261000</v>
      </c>
      <c r="J26" s="70">
        <v>38608000</v>
      </c>
      <c r="K26" s="70">
        <v>36599000</v>
      </c>
      <c r="L26" s="27"/>
      <c r="N26" s="27" t="s">
        <v>29</v>
      </c>
      <c r="O26" s="72">
        <v>-2348000</v>
      </c>
      <c r="P26" s="72">
        <v>-2467000</v>
      </c>
      <c r="Q26" s="72">
        <v>-2267000</v>
      </c>
      <c r="R26" s="72">
        <v>-5314000</v>
      </c>
      <c r="S26" s="72">
        <v>-10497000</v>
      </c>
      <c r="T26" s="72">
        <v>-452000</v>
      </c>
      <c r="U26" s="72">
        <v>-1984000</v>
      </c>
      <c r="V26" s="72">
        <v>-7246000</v>
      </c>
      <c r="W26" s="72">
        <v>-3412000</v>
      </c>
      <c r="X26" s="72">
        <v>-5164000</v>
      </c>
    </row>
    <row r="27" spans="1:24" s="29" customFormat="1" ht="14" x14ac:dyDescent="0.15">
      <c r="A27" s="28" t="s">
        <v>59</v>
      </c>
      <c r="B27" s="71">
        <v>203706000</v>
      </c>
      <c r="C27" s="71">
        <v>199581000</v>
      </c>
      <c r="D27" s="71">
        <v>198825000</v>
      </c>
      <c r="E27" s="71">
        <v>204522000</v>
      </c>
      <c r="F27" s="71">
        <v>219295000</v>
      </c>
      <c r="G27" s="71">
        <v>236495000</v>
      </c>
      <c r="H27" s="71">
        <v>252496000</v>
      </c>
      <c r="I27" s="71">
        <v>244860000</v>
      </c>
      <c r="J27" s="71">
        <v>243197000</v>
      </c>
      <c r="K27" s="71">
        <v>252399000</v>
      </c>
      <c r="L27" s="28"/>
      <c r="N27" s="27" t="s">
        <v>30</v>
      </c>
      <c r="O27" s="72">
        <v>24799000</v>
      </c>
      <c r="P27" s="72">
        <v>21638000</v>
      </c>
      <c r="Q27" s="72">
        <v>20497000</v>
      </c>
      <c r="R27" s="72">
        <v>15123000</v>
      </c>
      <c r="S27" s="72">
        <v>11460000</v>
      </c>
      <c r="T27" s="72">
        <v>20116000</v>
      </c>
      <c r="U27" s="72">
        <v>20564000</v>
      </c>
      <c r="V27" s="72">
        <v>18696000</v>
      </c>
      <c r="W27" s="72">
        <v>17016000</v>
      </c>
      <c r="X27" s="72">
        <v>21848000</v>
      </c>
    </row>
    <row r="28" spans="1:24" x14ac:dyDescent="0.15">
      <c r="A28" s="27" t="s">
        <v>60</v>
      </c>
      <c r="B28" s="70">
        <v>58583000</v>
      </c>
      <c r="C28" s="70">
        <v>58615000</v>
      </c>
      <c r="D28" s="70">
        <v>63008000</v>
      </c>
      <c r="E28" s="70">
        <v>66842000</v>
      </c>
      <c r="F28" s="70">
        <v>67715000</v>
      </c>
      <c r="G28" s="70">
        <v>67559000</v>
      </c>
      <c r="H28" s="70">
        <v>72305000</v>
      </c>
      <c r="I28" s="70">
        <v>79592000</v>
      </c>
      <c r="J28" s="70">
        <v>83107000</v>
      </c>
      <c r="K28" s="70">
        <v>85878000</v>
      </c>
      <c r="L28" s="27"/>
      <c r="N28" s="27" t="s">
        <v>31</v>
      </c>
      <c r="O28" s="72">
        <v>7985000</v>
      </c>
      <c r="P28" s="72">
        <v>6558000</v>
      </c>
      <c r="Q28" s="72">
        <v>6204000</v>
      </c>
      <c r="R28" s="72">
        <v>4600000</v>
      </c>
      <c r="S28" s="72">
        <v>4281000</v>
      </c>
      <c r="T28" s="72">
        <v>4915000</v>
      </c>
      <c r="U28" s="72">
        <v>6858000</v>
      </c>
      <c r="V28" s="72">
        <v>4756000</v>
      </c>
      <c r="W28" s="72">
        <v>5724000</v>
      </c>
      <c r="X28" s="72">
        <v>5578000</v>
      </c>
    </row>
    <row r="29" spans="1:24" x14ac:dyDescent="0.15">
      <c r="A29" s="27" t="s">
        <v>61</v>
      </c>
      <c r="B29" s="70">
        <v>38410000</v>
      </c>
      <c r="C29" s="70">
        <v>38487000</v>
      </c>
      <c r="D29" s="70">
        <v>41433000</v>
      </c>
      <c r="E29" s="70">
        <v>46092000</v>
      </c>
      <c r="F29" s="70">
        <v>47060000</v>
      </c>
      <c r="G29" s="70">
        <v>46973000</v>
      </c>
      <c r="H29" s="70">
        <v>49141000</v>
      </c>
      <c r="I29" s="70">
        <v>55261000</v>
      </c>
      <c r="J29" s="70">
        <v>53742000</v>
      </c>
      <c r="K29" s="70">
        <v>56812000</v>
      </c>
      <c r="L29" s="27"/>
      <c r="N29" s="27" t="s">
        <v>144</v>
      </c>
      <c r="O29" s="72">
        <v>736000</v>
      </c>
      <c r="P29" s="72">
        <v>386000</v>
      </c>
      <c r="Q29" s="72">
        <v>650000</v>
      </c>
      <c r="R29" s="72">
        <v>661000</v>
      </c>
      <c r="S29" s="72">
        <v>509000</v>
      </c>
      <c r="T29" s="72">
        <v>320000</v>
      </c>
      <c r="U29" s="72">
        <v>196000</v>
      </c>
      <c r="V29" s="72">
        <v>267000</v>
      </c>
      <c r="W29" s="72">
        <v>-388000</v>
      </c>
      <c r="X29" s="72">
        <v>759000</v>
      </c>
    </row>
    <row r="30" spans="1:24" ht="14" x14ac:dyDescent="0.15">
      <c r="A30" s="27" t="s">
        <v>62</v>
      </c>
      <c r="B30" s="70">
        <v>20173000</v>
      </c>
      <c r="C30" s="70">
        <v>20128000</v>
      </c>
      <c r="D30" s="70">
        <v>21575000</v>
      </c>
      <c r="E30" s="70">
        <v>20750000</v>
      </c>
      <c r="F30" s="70">
        <v>20655000</v>
      </c>
      <c r="G30" s="70">
        <v>20586000</v>
      </c>
      <c r="H30" s="70">
        <v>23164000</v>
      </c>
      <c r="I30" s="70">
        <v>24331000</v>
      </c>
      <c r="J30" s="70">
        <v>29365000</v>
      </c>
      <c r="K30" s="70">
        <v>29066000</v>
      </c>
      <c r="L30" s="27"/>
      <c r="N30" s="28" t="s">
        <v>32</v>
      </c>
      <c r="O30" s="73">
        <v>16363000</v>
      </c>
      <c r="P30" s="73">
        <v>14694000</v>
      </c>
      <c r="Q30" s="73">
        <v>13643000</v>
      </c>
      <c r="R30" s="73">
        <v>9862000</v>
      </c>
      <c r="S30" s="73">
        <v>6670000</v>
      </c>
      <c r="T30" s="73">
        <v>14881000</v>
      </c>
      <c r="U30" s="73">
        <v>13510000</v>
      </c>
      <c r="V30" s="73">
        <v>13673000</v>
      </c>
      <c r="W30" s="73">
        <v>11680000</v>
      </c>
      <c r="X30" s="73">
        <v>15511000</v>
      </c>
    </row>
    <row r="31" spans="1:24" x14ac:dyDescent="0.15">
      <c r="A31" s="27" t="s">
        <v>63</v>
      </c>
      <c r="B31" s="70">
        <v>6402000</v>
      </c>
      <c r="C31" s="70">
        <v>5453000</v>
      </c>
      <c r="D31" s="70">
        <v>3355000</v>
      </c>
      <c r="E31" s="70">
        <v>8995000</v>
      </c>
      <c r="F31" s="70">
        <v>7101000</v>
      </c>
      <c r="G31" s="70">
        <v>5937000</v>
      </c>
      <c r="H31" s="70">
        <v>3339000</v>
      </c>
      <c r="I31" s="70">
        <v>3213000</v>
      </c>
      <c r="J31" s="70">
        <v>4563000</v>
      </c>
      <c r="K31" s="70">
        <v>4325000</v>
      </c>
      <c r="L31" s="27"/>
      <c r="N31" s="27" t="s">
        <v>34</v>
      </c>
      <c r="O31" s="72">
        <v>16363000</v>
      </c>
      <c r="P31" s="72">
        <v>14694000</v>
      </c>
      <c r="Q31" s="72">
        <v>13643000</v>
      </c>
      <c r="R31" s="72">
        <v>9862000</v>
      </c>
      <c r="S31" s="72">
        <v>6670000</v>
      </c>
      <c r="T31" s="72">
        <v>14881000</v>
      </c>
      <c r="U31" s="72">
        <v>13510000</v>
      </c>
      <c r="V31" s="72">
        <v>13673000</v>
      </c>
      <c r="W31" s="72">
        <v>11680000</v>
      </c>
      <c r="X31" s="72">
        <v>15511000</v>
      </c>
    </row>
    <row r="32" spans="1:24" x14ac:dyDescent="0.15">
      <c r="A32" s="27" t="s">
        <v>143</v>
      </c>
      <c r="B32" s="70">
        <v>287000</v>
      </c>
      <c r="C32" s="70">
        <v>551000</v>
      </c>
      <c r="D32" s="70">
        <v>565000</v>
      </c>
      <c r="E32" s="70">
        <v>667000</v>
      </c>
      <c r="F32" s="70">
        <v>729000</v>
      </c>
      <c r="G32" s="70">
        <v>511000</v>
      </c>
      <c r="H32" s="70">
        <v>491000</v>
      </c>
      <c r="I32" s="70">
        <v>511000</v>
      </c>
      <c r="J32" s="70">
        <v>567000</v>
      </c>
      <c r="K32" s="70">
        <v>725000</v>
      </c>
      <c r="L32" s="27"/>
      <c r="N32" s="27" t="s">
        <v>35</v>
      </c>
      <c r="O32" s="72">
        <v>9690000</v>
      </c>
      <c r="P32" s="72">
        <v>9621000</v>
      </c>
      <c r="Q32" s="72">
        <v>9303000</v>
      </c>
      <c r="R32" s="72">
        <v>8985000</v>
      </c>
      <c r="S32" s="72">
        <v>8787000</v>
      </c>
      <c r="T32" s="72">
        <v>8550000</v>
      </c>
      <c r="U32" s="72">
        <v>8493000</v>
      </c>
      <c r="V32" s="72">
        <v>8376000</v>
      </c>
      <c r="W32" s="72">
        <v>8172000</v>
      </c>
      <c r="X32" s="72">
        <v>8077000</v>
      </c>
    </row>
    <row r="33" spans="1:24" x14ac:dyDescent="0.15">
      <c r="A33" s="27" t="s">
        <v>64</v>
      </c>
      <c r="B33" s="70">
        <v>0</v>
      </c>
      <c r="C33" s="70">
        <v>0</v>
      </c>
      <c r="D33" s="70">
        <v>0</v>
      </c>
      <c r="E33" s="70">
        <v>2017000</v>
      </c>
      <c r="F33" s="70">
        <v>1932000</v>
      </c>
      <c r="G33" s="70">
        <v>3783000</v>
      </c>
      <c r="H33" s="70">
        <v>16510000</v>
      </c>
      <c r="I33" s="70">
        <v>4063000</v>
      </c>
      <c r="J33" s="70">
        <v>3961000</v>
      </c>
      <c r="K33" s="70">
        <v>1487000</v>
      </c>
      <c r="L33" s="27"/>
      <c r="N33" s="27" t="s">
        <v>36</v>
      </c>
      <c r="O33" s="72">
        <v>1.69</v>
      </c>
      <c r="P33" s="72">
        <v>1.53</v>
      </c>
      <c r="Q33" s="72">
        <v>1.47</v>
      </c>
      <c r="R33" s="72">
        <v>1.1000000000000001</v>
      </c>
      <c r="S33" s="72">
        <v>0.76</v>
      </c>
      <c r="T33" s="72">
        <v>1.74</v>
      </c>
      <c r="U33" s="72">
        <v>1.59</v>
      </c>
      <c r="V33" s="72">
        <v>1.63</v>
      </c>
      <c r="W33" s="72">
        <v>1.43</v>
      </c>
      <c r="X33" s="72">
        <v>1.92</v>
      </c>
    </row>
    <row r="34" spans="1:24" s="29" customFormat="1" ht="14" x14ac:dyDescent="0.15">
      <c r="A34" s="28" t="s">
        <v>65</v>
      </c>
      <c r="B34" s="71">
        <v>65272000</v>
      </c>
      <c r="C34" s="71">
        <v>64619000</v>
      </c>
      <c r="D34" s="71">
        <v>66928000</v>
      </c>
      <c r="E34" s="71">
        <v>78521000</v>
      </c>
      <c r="F34" s="71">
        <v>77477000</v>
      </c>
      <c r="G34" s="71">
        <v>77790000</v>
      </c>
      <c r="H34" s="71">
        <v>92645000</v>
      </c>
      <c r="I34" s="71">
        <v>87379000</v>
      </c>
      <c r="J34" s="71">
        <v>92198000</v>
      </c>
      <c r="K34" s="71">
        <v>92415000</v>
      </c>
      <c r="L34" s="28"/>
      <c r="N34" s="27" t="s">
        <v>37</v>
      </c>
      <c r="O34" s="72">
        <v>1.67</v>
      </c>
      <c r="P34" s="72">
        <v>1.53</v>
      </c>
      <c r="Q34" s="72">
        <v>1.47</v>
      </c>
      <c r="R34" s="72">
        <v>1.1000000000000001</v>
      </c>
      <c r="S34" s="72">
        <v>0.76</v>
      </c>
      <c r="T34" s="72">
        <v>1.74</v>
      </c>
      <c r="U34" s="72">
        <v>1.59</v>
      </c>
      <c r="V34" s="72">
        <v>1.63</v>
      </c>
      <c r="W34" s="72">
        <v>1.43</v>
      </c>
      <c r="X34" s="72">
        <v>1.92</v>
      </c>
    </row>
    <row r="35" spans="1:24" x14ac:dyDescent="0.15">
      <c r="A35" s="27" t="s">
        <v>66</v>
      </c>
      <c r="B35" s="70">
        <v>43692000</v>
      </c>
      <c r="C35" s="70">
        <v>44030000</v>
      </c>
      <c r="D35" s="70">
        <v>42018000</v>
      </c>
      <c r="E35" s="70">
        <v>36825000</v>
      </c>
      <c r="F35" s="70">
        <v>50203000</v>
      </c>
      <c r="G35" s="70">
        <v>48021000</v>
      </c>
      <c r="H35" s="70">
        <v>45041000</v>
      </c>
      <c r="I35" s="70">
        <v>39107000</v>
      </c>
      <c r="J35" s="70">
        <v>39492000</v>
      </c>
      <c r="K35" s="70">
        <v>41841000</v>
      </c>
      <c r="L35" s="27"/>
      <c r="N35" s="27" t="s">
        <v>38</v>
      </c>
      <c r="O35" s="72">
        <v>9729000</v>
      </c>
      <c r="P35" s="72">
        <v>9651000</v>
      </c>
      <c r="Q35" s="72">
        <v>9336000</v>
      </c>
      <c r="R35" s="72">
        <v>9030000</v>
      </c>
      <c r="S35" s="72">
        <v>8835000</v>
      </c>
      <c r="T35" s="72">
        <v>8604000</v>
      </c>
      <c r="U35" s="72">
        <v>8541000</v>
      </c>
      <c r="V35" s="72">
        <v>8415000</v>
      </c>
      <c r="W35" s="72">
        <v>8202000</v>
      </c>
      <c r="X35" s="72">
        <v>8108000</v>
      </c>
    </row>
    <row r="36" spans="1:24" x14ac:dyDescent="0.15">
      <c r="A36" s="27" t="s">
        <v>144</v>
      </c>
      <c r="B36" s="70">
        <v>4543000</v>
      </c>
      <c r="C36" s="70">
        <v>3065000</v>
      </c>
      <c r="D36" s="70">
        <v>2737000</v>
      </c>
      <c r="E36" s="70">
        <v>2953000</v>
      </c>
      <c r="F36" s="70">
        <v>7138000</v>
      </c>
      <c r="G36" s="70">
        <v>6883000</v>
      </c>
      <c r="H36" s="70">
        <v>6606000</v>
      </c>
      <c r="I36" s="70">
        <v>8638000</v>
      </c>
      <c r="J36" s="70">
        <v>7298000</v>
      </c>
      <c r="K36" s="70">
        <v>6710000</v>
      </c>
      <c r="L36" s="27"/>
      <c r="N36" s="27" t="s">
        <v>39</v>
      </c>
      <c r="O36" s="72">
        <v>1.68</v>
      </c>
      <c r="P36" s="72">
        <v>1.52</v>
      </c>
      <c r="Q36" s="72">
        <v>1.46</v>
      </c>
      <c r="R36" s="72">
        <v>1.0900000000000001</v>
      </c>
      <c r="S36" s="72">
        <v>0.75</v>
      </c>
      <c r="T36" s="72">
        <v>1.73</v>
      </c>
      <c r="U36" s="72">
        <v>1.58</v>
      </c>
      <c r="V36" s="72">
        <v>1.62</v>
      </c>
      <c r="W36" s="72">
        <v>1.42</v>
      </c>
      <c r="X36" s="72">
        <v>1.91</v>
      </c>
    </row>
    <row r="37" spans="1:24" x14ac:dyDescent="0.15">
      <c r="A37" s="27" t="s">
        <v>68</v>
      </c>
      <c r="B37" s="70">
        <v>8805000</v>
      </c>
      <c r="C37" s="70">
        <v>7321000</v>
      </c>
      <c r="D37" s="70">
        <v>9344000</v>
      </c>
      <c r="E37" s="70">
        <v>8354000</v>
      </c>
      <c r="F37" s="70">
        <v>11981000</v>
      </c>
      <c r="G37" s="70">
        <v>29132000</v>
      </c>
      <c r="H37" s="70">
        <v>27279000</v>
      </c>
      <c r="I37" s="70">
        <v>26483000</v>
      </c>
      <c r="J37" s="70">
        <v>27516000</v>
      </c>
      <c r="K37" s="70">
        <v>12943000</v>
      </c>
      <c r="L37" s="27"/>
      <c r="N37" s="27" t="s">
        <v>40</v>
      </c>
      <c r="O37" s="72">
        <v>1.66</v>
      </c>
      <c r="P37" s="72">
        <v>1.52</v>
      </c>
      <c r="Q37" s="72">
        <v>1.46</v>
      </c>
      <c r="R37" s="72">
        <v>1.0900000000000001</v>
      </c>
      <c r="S37" s="72">
        <v>0.75</v>
      </c>
      <c r="T37" s="72">
        <v>1.73</v>
      </c>
      <c r="U37" s="72">
        <v>1.58</v>
      </c>
      <c r="V37" s="72">
        <v>1.62</v>
      </c>
      <c r="W37" s="72">
        <v>1.42</v>
      </c>
      <c r="X37" s="72">
        <v>1.91</v>
      </c>
    </row>
    <row r="38" spans="1:24" s="29" customFormat="1" ht="14" x14ac:dyDescent="0.15">
      <c r="A38" s="28" t="s">
        <v>69</v>
      </c>
      <c r="B38" s="71">
        <v>122312000</v>
      </c>
      <c r="C38" s="71">
        <v>119035000</v>
      </c>
      <c r="D38" s="71">
        <v>121027000</v>
      </c>
      <c r="E38" s="71">
        <v>126653000</v>
      </c>
      <c r="F38" s="71">
        <v>146799000</v>
      </c>
      <c r="G38" s="71">
        <v>161826000</v>
      </c>
      <c r="H38" s="71">
        <v>171571000</v>
      </c>
      <c r="I38" s="71">
        <v>161607000</v>
      </c>
      <c r="J38" s="71">
        <v>166504000</v>
      </c>
      <c r="K38" s="71">
        <v>168538000</v>
      </c>
      <c r="L38" s="28"/>
      <c r="N38" s="27" t="s">
        <v>41</v>
      </c>
      <c r="O38" s="72">
        <v>9684000</v>
      </c>
      <c r="P38" s="72">
        <v>9486000</v>
      </c>
      <c r="Q38" s="72">
        <v>9144000</v>
      </c>
      <c r="R38" s="72">
        <v>8856000</v>
      </c>
      <c r="S38" s="72">
        <v>8634000</v>
      </c>
      <c r="T38" s="72">
        <v>8496000</v>
      </c>
      <c r="U38" s="72">
        <v>8463000</v>
      </c>
      <c r="V38" s="72">
        <v>8283000</v>
      </c>
      <c r="W38" s="72">
        <v>8079000</v>
      </c>
      <c r="X38" s="72">
        <v>8054000</v>
      </c>
    </row>
    <row r="39" spans="1:24" x14ac:dyDescent="0.15">
      <c r="A39" s="27" t="s">
        <v>70</v>
      </c>
      <c r="B39" s="70">
        <v>323000</v>
      </c>
      <c r="C39" s="70">
        <v>317000</v>
      </c>
      <c r="D39" s="70">
        <v>305000</v>
      </c>
      <c r="E39" s="70">
        <v>295000</v>
      </c>
      <c r="F39" s="70">
        <v>288000</v>
      </c>
      <c r="G39" s="70">
        <v>284000</v>
      </c>
      <c r="H39" s="70">
        <v>282000</v>
      </c>
      <c r="I39" s="70">
        <v>276000</v>
      </c>
      <c r="J39" s="70">
        <v>269000</v>
      </c>
      <c r="K39" s="70">
        <v>805000</v>
      </c>
      <c r="L39" s="27"/>
    </row>
    <row r="40" spans="1:24" x14ac:dyDescent="0.15">
      <c r="A40" s="27" t="s">
        <v>71</v>
      </c>
      <c r="B40" s="70">
        <v>2462000</v>
      </c>
      <c r="C40" s="70">
        <v>1805000</v>
      </c>
      <c r="D40" s="70">
        <v>2371000</v>
      </c>
      <c r="E40" s="70">
        <v>2648000</v>
      </c>
      <c r="F40" s="70">
        <v>2965000</v>
      </c>
      <c r="G40" s="70">
        <v>3247000</v>
      </c>
      <c r="H40" s="70">
        <v>3646000</v>
      </c>
      <c r="I40" s="70">
        <v>4839000</v>
      </c>
      <c r="J40" s="70">
        <v>4969000</v>
      </c>
      <c r="K40" s="70">
        <v>4544000</v>
      </c>
      <c r="L40" s="27"/>
    </row>
    <row r="41" spans="1:24" x14ac:dyDescent="0.15">
      <c r="A41" s="27" t="s">
        <v>72</v>
      </c>
      <c r="B41" s="70">
        <v>85777000</v>
      </c>
      <c r="C41" s="70">
        <v>90021000</v>
      </c>
      <c r="D41" s="70">
        <v>89354000</v>
      </c>
      <c r="E41" s="70">
        <v>85107000</v>
      </c>
      <c r="F41" s="70">
        <v>80785000</v>
      </c>
      <c r="G41" s="70">
        <v>83943000</v>
      </c>
      <c r="H41" s="70">
        <v>88763000</v>
      </c>
      <c r="I41" s="70">
        <v>86904000</v>
      </c>
      <c r="J41" s="70">
        <v>83135000</v>
      </c>
      <c r="K41" s="70">
        <v>89814000</v>
      </c>
      <c r="L41" s="27"/>
    </row>
    <row r="42" spans="1:24" x14ac:dyDescent="0.15">
      <c r="A42" s="27" t="s">
        <v>73</v>
      </c>
      <c r="B42" s="70">
        <v>-7168000</v>
      </c>
      <c r="C42" s="70">
        <v>-11597000</v>
      </c>
      <c r="D42" s="70">
        <v>-14232000</v>
      </c>
      <c r="E42" s="70">
        <v>-10181000</v>
      </c>
      <c r="F42" s="70">
        <v>-11542000</v>
      </c>
      <c r="G42" s="70">
        <v>-12805000</v>
      </c>
      <c r="H42" s="70">
        <v>-11766000</v>
      </c>
      <c r="I42" s="70">
        <v>-8766000</v>
      </c>
      <c r="J42" s="70">
        <v>-11680000</v>
      </c>
      <c r="K42" s="70">
        <v>-11302000</v>
      </c>
      <c r="L42" s="27"/>
    </row>
    <row r="43" spans="1:24" x14ac:dyDescent="0.15">
      <c r="A43" s="27" t="s">
        <v>145</v>
      </c>
      <c r="B43" s="70">
        <v>-6355000</v>
      </c>
      <c r="C43" s="70">
        <v>-11690000</v>
      </c>
      <c r="D43" s="70">
        <v>-14362000</v>
      </c>
      <c r="E43" s="70">
        <v>-12136000</v>
      </c>
      <c r="F43" s="70">
        <v>-12085000</v>
      </c>
      <c r="G43" s="70">
        <v>-11827000</v>
      </c>
      <c r="H43" s="70">
        <v>-10772000</v>
      </c>
      <c r="I43" s="70">
        <v>-8100000</v>
      </c>
      <c r="J43" s="70">
        <v>-10816000</v>
      </c>
      <c r="K43" s="70">
        <v>-10483000</v>
      </c>
      <c r="L43" s="27"/>
    </row>
    <row r="44" spans="1:24" x14ac:dyDescent="0.15">
      <c r="A44" s="27" t="s">
        <v>146</v>
      </c>
      <c r="B44" s="70">
        <v>6355000</v>
      </c>
      <c r="C44" s="70">
        <v>11690000</v>
      </c>
      <c r="D44" s="70">
        <v>14362000</v>
      </c>
      <c r="E44" s="70">
        <v>12136000</v>
      </c>
      <c r="F44" s="70">
        <v>12085000</v>
      </c>
      <c r="G44" s="70">
        <v>11827000</v>
      </c>
      <c r="H44" s="70">
        <v>10772000</v>
      </c>
      <c r="I44" s="70">
        <v>8100000</v>
      </c>
      <c r="J44" s="70">
        <v>10816000</v>
      </c>
      <c r="K44" s="70">
        <v>10483000</v>
      </c>
      <c r="L44" s="27"/>
    </row>
    <row r="45" spans="1:24" x14ac:dyDescent="0.15">
      <c r="A45" s="27" t="s">
        <v>75</v>
      </c>
      <c r="B45" s="70">
        <v>81394000</v>
      </c>
      <c r="C45" s="70">
        <v>80546000</v>
      </c>
      <c r="D45" s="70">
        <v>77798000</v>
      </c>
      <c r="E45" s="70">
        <v>77869000</v>
      </c>
      <c r="F45" s="70">
        <v>72496000</v>
      </c>
      <c r="G45" s="70">
        <v>74669000</v>
      </c>
      <c r="H45" s="70">
        <v>80925000</v>
      </c>
      <c r="I45" s="70">
        <v>83253000</v>
      </c>
      <c r="J45" s="70">
        <v>76693000</v>
      </c>
      <c r="K45" s="70">
        <v>83861000</v>
      </c>
      <c r="L45" s="27"/>
    </row>
    <row r="46" spans="1:24" s="29" customFormat="1" ht="14" x14ac:dyDescent="0.15">
      <c r="A46" s="28" t="s">
        <v>76</v>
      </c>
      <c r="B46" s="71">
        <v>203706000</v>
      </c>
      <c r="C46" s="71">
        <v>199581000</v>
      </c>
      <c r="D46" s="71">
        <v>198825000</v>
      </c>
      <c r="E46" s="71">
        <v>204522000</v>
      </c>
      <c r="F46" s="71">
        <v>219295000</v>
      </c>
      <c r="G46" s="71">
        <v>236495000</v>
      </c>
      <c r="H46" s="71">
        <v>252496000</v>
      </c>
      <c r="I46" s="71">
        <v>244860000</v>
      </c>
      <c r="J46" s="71">
        <v>243197000</v>
      </c>
      <c r="K46" s="71">
        <v>252399000</v>
      </c>
      <c r="L46" s="28"/>
    </row>
    <row r="57" spans="1:24" x14ac:dyDescent="0.15">
      <c r="A57" s="21" t="s">
        <v>0</v>
      </c>
    </row>
    <row r="58" spans="1:24" ht="20" x14ac:dyDescent="0.2">
      <c r="A58" s="22" t="s">
        <v>147</v>
      </c>
      <c r="N58" s="22" t="s">
        <v>147</v>
      </c>
    </row>
    <row r="60" spans="1:24" ht="14" x14ac:dyDescent="0.15">
      <c r="A60" s="23" t="s">
        <v>2</v>
      </c>
    </row>
    <row r="63" spans="1:24" ht="28" x14ac:dyDescent="0.15">
      <c r="A63" s="24" t="s">
        <v>47</v>
      </c>
      <c r="N63" s="24" t="s">
        <v>3</v>
      </c>
    </row>
    <row r="64" spans="1:24" ht="14" x14ac:dyDescent="0.15">
      <c r="A64" s="25" t="s">
        <v>4</v>
      </c>
      <c r="B64" s="26" t="s">
        <v>148</v>
      </c>
      <c r="C64" s="26" t="s">
        <v>149</v>
      </c>
      <c r="D64" s="26" t="s">
        <v>150</v>
      </c>
      <c r="E64" s="26" t="s">
        <v>151</v>
      </c>
      <c r="F64" s="26" t="s">
        <v>152</v>
      </c>
      <c r="G64" s="26" t="s">
        <v>139</v>
      </c>
      <c r="H64" s="26" t="s">
        <v>153</v>
      </c>
      <c r="I64" s="26" t="s">
        <v>154</v>
      </c>
      <c r="J64" s="26" t="s">
        <v>155</v>
      </c>
      <c r="K64" s="26" t="s">
        <v>156</v>
      </c>
      <c r="L64" s="25"/>
      <c r="N64" s="25" t="s">
        <v>4</v>
      </c>
      <c r="O64" s="26" t="s">
        <v>148</v>
      </c>
      <c r="P64" s="26" t="s">
        <v>149</v>
      </c>
      <c r="Q64" s="26" t="s">
        <v>150</v>
      </c>
      <c r="R64" s="26" t="s">
        <v>151</v>
      </c>
      <c r="S64" s="26" t="s">
        <v>152</v>
      </c>
      <c r="T64" s="26" t="s">
        <v>139</v>
      </c>
      <c r="U64" s="26" t="s">
        <v>153</v>
      </c>
      <c r="V64" s="26" t="s">
        <v>154</v>
      </c>
      <c r="W64" s="26" t="s">
        <v>155</v>
      </c>
      <c r="X64" s="26" t="s">
        <v>156</v>
      </c>
    </row>
    <row r="65" spans="1:24" ht="14" x14ac:dyDescent="0.15">
      <c r="A65" s="25" t="s">
        <v>15</v>
      </c>
      <c r="B65" s="26" t="s">
        <v>16</v>
      </c>
      <c r="C65" s="26" t="s">
        <v>16</v>
      </c>
      <c r="D65" s="26" t="s">
        <v>16</v>
      </c>
      <c r="E65" s="26" t="s">
        <v>16</v>
      </c>
      <c r="F65" s="26" t="s">
        <v>16</v>
      </c>
      <c r="G65" s="26" t="s">
        <v>16</v>
      </c>
      <c r="H65" s="26" t="s">
        <v>16</v>
      </c>
      <c r="I65" s="26" t="s">
        <v>16</v>
      </c>
      <c r="J65" s="26" t="s">
        <v>16</v>
      </c>
      <c r="K65" s="26" t="s">
        <v>16</v>
      </c>
      <c r="L65" s="25"/>
      <c r="N65" s="25" t="s">
        <v>15</v>
      </c>
      <c r="O65" s="26" t="s">
        <v>16</v>
      </c>
      <c r="P65" s="26" t="s">
        <v>16</v>
      </c>
      <c r="Q65" s="26" t="s">
        <v>16</v>
      </c>
      <c r="R65" s="26" t="s">
        <v>16</v>
      </c>
      <c r="S65" s="26" t="s">
        <v>16</v>
      </c>
      <c r="T65" s="26" t="s">
        <v>16</v>
      </c>
      <c r="U65" s="26" t="s">
        <v>16</v>
      </c>
      <c r="V65" s="26" t="s">
        <v>16</v>
      </c>
      <c r="W65" s="26" t="s">
        <v>16</v>
      </c>
      <c r="X65" s="26" t="s">
        <v>16</v>
      </c>
    </row>
    <row r="66" spans="1:24" ht="14" x14ac:dyDescent="0.15">
      <c r="A66" s="25" t="s">
        <v>17</v>
      </c>
      <c r="B66" s="26" t="s">
        <v>18</v>
      </c>
      <c r="C66" s="26" t="s">
        <v>18</v>
      </c>
      <c r="D66" s="26" t="s">
        <v>18</v>
      </c>
      <c r="E66" s="26" t="s">
        <v>18</v>
      </c>
      <c r="F66" s="26" t="s">
        <v>18</v>
      </c>
      <c r="G66" s="26" t="s">
        <v>18</v>
      </c>
      <c r="H66" s="26" t="s">
        <v>18</v>
      </c>
      <c r="I66" s="26" t="s">
        <v>18</v>
      </c>
      <c r="J66" s="26" t="s">
        <v>18</v>
      </c>
      <c r="K66" s="26" t="s">
        <v>18</v>
      </c>
      <c r="L66" s="25"/>
      <c r="N66" s="25" t="s">
        <v>17</v>
      </c>
      <c r="O66" s="26" t="s">
        <v>18</v>
      </c>
      <c r="P66" s="26" t="s">
        <v>18</v>
      </c>
      <c r="Q66" s="26" t="s">
        <v>18</v>
      </c>
      <c r="R66" s="26" t="s">
        <v>18</v>
      </c>
      <c r="S66" s="26" t="s">
        <v>18</v>
      </c>
      <c r="T66" s="26" t="s">
        <v>18</v>
      </c>
      <c r="U66" s="26" t="s">
        <v>18</v>
      </c>
      <c r="V66" s="26" t="s">
        <v>18</v>
      </c>
      <c r="W66" s="26" t="s">
        <v>18</v>
      </c>
      <c r="X66" s="26" t="s">
        <v>18</v>
      </c>
    </row>
    <row r="67" spans="1:24" ht="14" x14ac:dyDescent="0.15">
      <c r="A67" s="25" t="s">
        <v>19</v>
      </c>
      <c r="B67" s="26" t="s">
        <v>20</v>
      </c>
      <c r="C67" s="26" t="s">
        <v>20</v>
      </c>
      <c r="D67" s="26" t="s">
        <v>20</v>
      </c>
      <c r="E67" s="26" t="s">
        <v>20</v>
      </c>
      <c r="F67" s="26" t="s">
        <v>20</v>
      </c>
      <c r="G67" s="26" t="s">
        <v>20</v>
      </c>
      <c r="H67" s="26" t="s">
        <v>20</v>
      </c>
      <c r="I67" s="26" t="s">
        <v>20</v>
      </c>
      <c r="J67" s="26" t="s">
        <v>20</v>
      </c>
      <c r="K67" s="26" t="s">
        <v>20</v>
      </c>
      <c r="L67" s="25"/>
      <c r="N67" s="25" t="s">
        <v>19</v>
      </c>
      <c r="O67" s="26" t="s">
        <v>20</v>
      </c>
      <c r="P67" s="26" t="s">
        <v>20</v>
      </c>
      <c r="Q67" s="26" t="s">
        <v>20</v>
      </c>
      <c r="R67" s="26" t="s">
        <v>20</v>
      </c>
      <c r="S67" s="26" t="s">
        <v>20</v>
      </c>
      <c r="T67" s="26" t="s">
        <v>20</v>
      </c>
      <c r="U67" s="26" t="s">
        <v>20</v>
      </c>
      <c r="V67" s="26" t="s">
        <v>20</v>
      </c>
      <c r="W67" s="26" t="s">
        <v>20</v>
      </c>
      <c r="X67" s="26" t="s">
        <v>20</v>
      </c>
    </row>
    <row r="68" spans="1:24" ht="14" x14ac:dyDescent="0.15">
      <c r="A68" s="25" t="s">
        <v>21</v>
      </c>
      <c r="B68" s="26" t="s">
        <v>22</v>
      </c>
      <c r="C68" s="26" t="s">
        <v>22</v>
      </c>
      <c r="D68" s="26" t="s">
        <v>22</v>
      </c>
      <c r="E68" s="26" t="s">
        <v>22</v>
      </c>
      <c r="F68" s="26" t="s">
        <v>22</v>
      </c>
      <c r="G68" s="26" t="s">
        <v>22</v>
      </c>
      <c r="H68" s="26" t="s">
        <v>22</v>
      </c>
      <c r="I68" s="26" t="s">
        <v>22</v>
      </c>
      <c r="J68" s="26" t="s">
        <v>22</v>
      </c>
      <c r="K68" s="26" t="s">
        <v>22</v>
      </c>
      <c r="L68" s="25"/>
      <c r="N68" s="25" t="s">
        <v>21</v>
      </c>
      <c r="O68" s="26" t="s">
        <v>22</v>
      </c>
      <c r="P68" s="26" t="s">
        <v>22</v>
      </c>
      <c r="Q68" s="26" t="s">
        <v>22</v>
      </c>
      <c r="R68" s="26" t="s">
        <v>22</v>
      </c>
      <c r="S68" s="26" t="s">
        <v>22</v>
      </c>
      <c r="T68" s="26" t="s">
        <v>22</v>
      </c>
      <c r="U68" s="26" t="s">
        <v>22</v>
      </c>
      <c r="V68" s="26" t="s">
        <v>22</v>
      </c>
      <c r="W68" s="26" t="s">
        <v>22</v>
      </c>
      <c r="X68" s="26" t="s">
        <v>22</v>
      </c>
    </row>
    <row r="69" spans="1:24" x14ac:dyDescent="0.15">
      <c r="A69" s="27" t="s">
        <v>48</v>
      </c>
      <c r="B69" s="72">
        <v>466000</v>
      </c>
      <c r="C69" s="72">
        <v>405000</v>
      </c>
      <c r="D69" s="72">
        <v>558000</v>
      </c>
      <c r="E69" s="72">
        <v>588000</v>
      </c>
      <c r="F69" s="72">
        <v>511000</v>
      </c>
      <c r="G69" s="72">
        <v>716000</v>
      </c>
      <c r="H69" s="72">
        <v>4690000</v>
      </c>
      <c r="I69" s="72">
        <v>1133000</v>
      </c>
      <c r="J69" s="72">
        <v>1348000</v>
      </c>
      <c r="K69" s="72">
        <v>921000</v>
      </c>
      <c r="L69" s="27"/>
      <c r="N69" s="27" t="s">
        <v>23</v>
      </c>
      <c r="O69" s="72">
        <v>56223000</v>
      </c>
      <c r="P69" s="72">
        <v>59074000</v>
      </c>
      <c r="Q69" s="72">
        <v>65017000</v>
      </c>
      <c r="R69" s="72">
        <v>68619000</v>
      </c>
      <c r="S69" s="72">
        <v>71309000</v>
      </c>
      <c r="T69" s="72">
        <v>72148000</v>
      </c>
      <c r="U69" s="72">
        <v>89597000</v>
      </c>
      <c r="V69" s="72">
        <v>96250000</v>
      </c>
      <c r="W69" s="72">
        <v>97059000</v>
      </c>
      <c r="X69" s="72">
        <v>86377000</v>
      </c>
    </row>
    <row r="70" spans="1:24" ht="14" x14ac:dyDescent="0.15">
      <c r="A70" s="27" t="s">
        <v>157</v>
      </c>
      <c r="B70" s="72">
        <v>125000</v>
      </c>
      <c r="C70" s="72">
        <v>307000</v>
      </c>
      <c r="D70" s="72">
        <v>100000</v>
      </c>
      <c r="E70" s="72">
        <v>102000</v>
      </c>
      <c r="F70" s="72">
        <v>218000</v>
      </c>
      <c r="G70" s="72">
        <v>160000</v>
      </c>
      <c r="H70" s="72">
        <v>506000</v>
      </c>
      <c r="I70" s="72">
        <v>271000</v>
      </c>
      <c r="J70" s="72">
        <v>384000</v>
      </c>
      <c r="K70" s="72">
        <v>307000</v>
      </c>
      <c r="L70" s="27"/>
      <c r="N70" s="28" t="s">
        <v>24</v>
      </c>
      <c r="O70" s="73">
        <v>56223000</v>
      </c>
      <c r="P70" s="73">
        <v>59074000</v>
      </c>
      <c r="Q70" s="73">
        <v>65017000</v>
      </c>
      <c r="R70" s="73">
        <v>68619000</v>
      </c>
      <c r="S70" s="73">
        <v>71309000</v>
      </c>
      <c r="T70" s="73">
        <v>72148000</v>
      </c>
      <c r="U70" s="73">
        <v>89597000</v>
      </c>
      <c r="V70" s="73">
        <v>96250000</v>
      </c>
      <c r="W70" s="73">
        <v>97059000</v>
      </c>
      <c r="X70" s="73">
        <v>86377000</v>
      </c>
    </row>
    <row r="71" spans="1:24" x14ac:dyDescent="0.15">
      <c r="A71" s="27" t="s">
        <v>49</v>
      </c>
      <c r="B71" s="72">
        <v>591000</v>
      </c>
      <c r="C71" s="72">
        <v>712000</v>
      </c>
      <c r="D71" s="72">
        <v>658000</v>
      </c>
      <c r="E71" s="72">
        <v>690000</v>
      </c>
      <c r="F71" s="72">
        <v>729000</v>
      </c>
      <c r="G71" s="72">
        <v>876000</v>
      </c>
      <c r="H71" s="72">
        <v>5196000</v>
      </c>
      <c r="I71" s="72">
        <v>1404000</v>
      </c>
      <c r="J71" s="72">
        <v>1732000</v>
      </c>
      <c r="K71" s="72">
        <v>1228000</v>
      </c>
      <c r="L71" s="27"/>
      <c r="N71" s="27" t="s">
        <v>204</v>
      </c>
      <c r="O71" s="72">
        <v>36665000</v>
      </c>
      <c r="P71" s="72">
        <v>38504000</v>
      </c>
      <c r="Q71" s="72">
        <v>42553000</v>
      </c>
      <c r="R71" s="72">
        <v>45210000</v>
      </c>
      <c r="S71" s="72">
        <v>48401000</v>
      </c>
      <c r="T71" s="72">
        <v>49205000</v>
      </c>
      <c r="U71" s="72">
        <v>60025000</v>
      </c>
      <c r="V71" s="72">
        <v>64194000</v>
      </c>
      <c r="W71" s="72">
        <v>64802000</v>
      </c>
      <c r="X71" s="72">
        <v>57533000</v>
      </c>
    </row>
    <row r="72" spans="1:24" x14ac:dyDescent="0.15">
      <c r="A72" s="27" t="s">
        <v>51</v>
      </c>
      <c r="B72" s="72">
        <v>8911000</v>
      </c>
      <c r="C72" s="72">
        <v>9458000</v>
      </c>
      <c r="D72" s="72">
        <v>10458000</v>
      </c>
      <c r="E72" s="72">
        <v>11393000</v>
      </c>
      <c r="F72" s="72">
        <v>12561000</v>
      </c>
      <c r="G72" s="72">
        <v>13179000</v>
      </c>
      <c r="H72" s="72">
        <v>16193000</v>
      </c>
      <c r="I72" s="72">
        <v>17605000</v>
      </c>
      <c r="J72" s="72">
        <v>18532000</v>
      </c>
      <c r="K72" s="72">
        <v>16894000</v>
      </c>
      <c r="L72" s="27"/>
      <c r="N72" s="27" t="s">
        <v>25</v>
      </c>
      <c r="O72" s="72">
        <v>19558000</v>
      </c>
      <c r="P72" s="72">
        <v>20570000</v>
      </c>
      <c r="Q72" s="72">
        <v>22464000</v>
      </c>
      <c r="R72" s="72">
        <v>23409000</v>
      </c>
      <c r="S72" s="72">
        <v>22908000</v>
      </c>
      <c r="T72" s="72">
        <v>22943000</v>
      </c>
      <c r="U72" s="72">
        <v>29572000</v>
      </c>
      <c r="V72" s="72">
        <v>32056000</v>
      </c>
      <c r="W72" s="72">
        <v>32257000</v>
      </c>
      <c r="X72" s="72">
        <v>28844000</v>
      </c>
    </row>
    <row r="73" spans="1:24" x14ac:dyDescent="0.15">
      <c r="A73" s="27" t="s">
        <v>52</v>
      </c>
      <c r="B73" s="72">
        <v>348000</v>
      </c>
      <c r="C73" s="72">
        <v>391000</v>
      </c>
      <c r="D73" s="72">
        <v>884000</v>
      </c>
      <c r="E73" s="72">
        <v>689000</v>
      </c>
      <c r="F73" s="72">
        <v>938000</v>
      </c>
      <c r="G73" s="72">
        <v>1263000</v>
      </c>
      <c r="H73" s="72">
        <v>937000</v>
      </c>
      <c r="I73" s="72">
        <v>1051000</v>
      </c>
      <c r="J73" s="72">
        <v>1178000</v>
      </c>
      <c r="K73" s="72">
        <v>949000</v>
      </c>
      <c r="L73" s="27"/>
      <c r="N73" s="27" t="s">
        <v>26</v>
      </c>
      <c r="O73" s="72">
        <v>13281000</v>
      </c>
      <c r="P73" s="72">
        <v>14115000</v>
      </c>
      <c r="Q73" s="72">
        <v>15129000</v>
      </c>
      <c r="R73" s="72">
        <v>15376000</v>
      </c>
      <c r="S73" s="72">
        <v>17413000</v>
      </c>
      <c r="T73" s="72">
        <v>15367000</v>
      </c>
      <c r="U73" s="72">
        <v>18526000</v>
      </c>
      <c r="V73" s="72">
        <v>18301000</v>
      </c>
      <c r="W73" s="72">
        <v>20332000</v>
      </c>
      <c r="X73" s="72">
        <v>15570000</v>
      </c>
    </row>
    <row r="74" spans="1:24" s="29" customFormat="1" ht="14" x14ac:dyDescent="0.15">
      <c r="A74" s="28" t="s">
        <v>53</v>
      </c>
      <c r="B74" s="73">
        <v>10080000</v>
      </c>
      <c r="C74" s="73">
        <v>10561000</v>
      </c>
      <c r="D74" s="73">
        <v>12000000</v>
      </c>
      <c r="E74" s="73">
        <v>12772000</v>
      </c>
      <c r="F74" s="73">
        <v>14228000</v>
      </c>
      <c r="G74" s="73">
        <v>15318000</v>
      </c>
      <c r="H74" s="73">
        <v>22326000</v>
      </c>
      <c r="I74" s="73">
        <v>20060000</v>
      </c>
      <c r="J74" s="73">
        <v>21442000</v>
      </c>
      <c r="K74" s="73">
        <v>19071000</v>
      </c>
      <c r="L74" s="28"/>
      <c r="N74" s="27" t="s">
        <v>27</v>
      </c>
      <c r="O74" s="72">
        <v>1485000</v>
      </c>
      <c r="P74" s="72">
        <v>1484000</v>
      </c>
      <c r="Q74" s="72">
        <v>1489000</v>
      </c>
      <c r="R74" s="72">
        <v>1447000</v>
      </c>
      <c r="S74" s="72">
        <v>1477000</v>
      </c>
      <c r="T74" s="72">
        <v>1262000</v>
      </c>
      <c r="U74" s="72">
        <v>1399000</v>
      </c>
      <c r="V74" s="72">
        <v>1662000</v>
      </c>
      <c r="W74" s="72">
        <v>1766000</v>
      </c>
      <c r="X74" s="72">
        <v>1717000</v>
      </c>
    </row>
    <row r="75" spans="1:24" ht="14" x14ac:dyDescent="0.15">
      <c r="A75" s="27" t="s">
        <v>54</v>
      </c>
      <c r="B75" s="72">
        <v>35443000</v>
      </c>
      <c r="C75" s="72">
        <v>35913000</v>
      </c>
      <c r="D75" s="72">
        <v>36918000</v>
      </c>
      <c r="E75" s="72">
        <v>36940000</v>
      </c>
      <c r="F75" s="72">
        <v>35863000</v>
      </c>
      <c r="G75" s="72">
        <v>35945000</v>
      </c>
      <c r="H75" s="72">
        <v>36702000</v>
      </c>
      <c r="I75" s="72">
        <v>36959000</v>
      </c>
      <c r="J75" s="72">
        <v>34911000</v>
      </c>
      <c r="K75" s="72">
        <v>35770000</v>
      </c>
      <c r="L75" s="27"/>
      <c r="N75" s="28" t="s">
        <v>43</v>
      </c>
      <c r="O75" s="73">
        <v>14766000</v>
      </c>
      <c r="P75" s="73">
        <v>15599000</v>
      </c>
      <c r="Q75" s="73">
        <v>16618000</v>
      </c>
      <c r="R75" s="73">
        <v>16823000</v>
      </c>
      <c r="S75" s="73">
        <v>18890000</v>
      </c>
      <c r="T75" s="73">
        <v>16629000</v>
      </c>
      <c r="U75" s="73">
        <v>19925000</v>
      </c>
      <c r="V75" s="73">
        <v>19963000</v>
      </c>
      <c r="W75" s="73">
        <v>22098000</v>
      </c>
      <c r="X75" s="73">
        <v>17287000</v>
      </c>
    </row>
    <row r="76" spans="1:24" ht="14" x14ac:dyDescent="0.15">
      <c r="A76" s="27" t="s">
        <v>55</v>
      </c>
      <c r="B76" s="72">
        <v>15409000</v>
      </c>
      <c r="C76" s="72">
        <v>16336000</v>
      </c>
      <c r="D76" s="72">
        <v>16969000</v>
      </c>
      <c r="E76" s="72">
        <v>17219000</v>
      </c>
      <c r="F76" s="72">
        <v>17431000</v>
      </c>
      <c r="G76" s="72">
        <v>17276000</v>
      </c>
      <c r="H76" s="72">
        <v>17547000</v>
      </c>
      <c r="I76" s="72">
        <v>17888000</v>
      </c>
      <c r="J76" s="72">
        <v>17344000</v>
      </c>
      <c r="K76" s="72">
        <v>18117000</v>
      </c>
      <c r="L76" s="27"/>
      <c r="N76" s="28" t="s">
        <v>28</v>
      </c>
      <c r="O76" s="73">
        <v>4792000</v>
      </c>
      <c r="P76" s="73">
        <v>4971000</v>
      </c>
      <c r="Q76" s="73">
        <v>5846000</v>
      </c>
      <c r="R76" s="73">
        <v>6586000</v>
      </c>
      <c r="S76" s="73">
        <v>4018000</v>
      </c>
      <c r="T76" s="73">
        <v>6314000</v>
      </c>
      <c r="U76" s="73">
        <v>9647000</v>
      </c>
      <c r="V76" s="73">
        <v>12093000</v>
      </c>
      <c r="W76" s="73">
        <v>10159000</v>
      </c>
      <c r="X76" s="73">
        <v>11557000</v>
      </c>
    </row>
    <row r="77" spans="1:24" x14ac:dyDescent="0.15">
      <c r="A77" s="27" t="s">
        <v>56</v>
      </c>
      <c r="B77" s="72">
        <v>20034000</v>
      </c>
      <c r="C77" s="72">
        <v>19577000</v>
      </c>
      <c r="D77" s="72">
        <v>19949000</v>
      </c>
      <c r="E77" s="72">
        <v>19721000</v>
      </c>
      <c r="F77" s="72">
        <v>18432000</v>
      </c>
      <c r="G77" s="72">
        <v>18669000</v>
      </c>
      <c r="H77" s="72">
        <v>19155000</v>
      </c>
      <c r="I77" s="72">
        <v>19071000</v>
      </c>
      <c r="J77" s="72">
        <v>17567000</v>
      </c>
      <c r="K77" s="72">
        <v>17653000</v>
      </c>
      <c r="L77" s="27"/>
      <c r="N77" s="27" t="s">
        <v>206</v>
      </c>
      <c r="O77" s="72">
        <v>-516000</v>
      </c>
      <c r="P77" s="72">
        <v>-552000</v>
      </c>
      <c r="Q77" s="72">
        <v>-645000</v>
      </c>
      <c r="R77" s="72">
        <v>-633000</v>
      </c>
      <c r="S77" s="72">
        <v>-624000</v>
      </c>
      <c r="T77" s="72">
        <v>-691000</v>
      </c>
      <c r="U77" s="72">
        <v>-848000</v>
      </c>
      <c r="V77" s="72">
        <v>-885000</v>
      </c>
      <c r="W77" s="72">
        <v>-1123000</v>
      </c>
      <c r="X77" s="72">
        <v>-1373000</v>
      </c>
    </row>
    <row r="78" spans="1:24" x14ac:dyDescent="0.15">
      <c r="A78" s="27" t="s">
        <v>158</v>
      </c>
      <c r="B78" s="72">
        <v>354000</v>
      </c>
      <c r="C78" s="72">
        <v>222000</v>
      </c>
      <c r="D78" s="72">
        <v>366000</v>
      </c>
      <c r="E78" s="72">
        <v>408000</v>
      </c>
      <c r="F78" s="72">
        <v>256000</v>
      </c>
      <c r="G78" s="72">
        <v>372000</v>
      </c>
      <c r="H78" s="72">
        <v>200000</v>
      </c>
      <c r="I78" s="72">
        <v>199000</v>
      </c>
      <c r="J78" s="72">
        <v>121000</v>
      </c>
      <c r="K78" s="74" t="s">
        <v>159</v>
      </c>
      <c r="L78" s="27"/>
      <c r="N78" s="27" t="s">
        <v>29</v>
      </c>
      <c r="O78" s="72">
        <v>-516000</v>
      </c>
      <c r="P78" s="72">
        <v>-552000</v>
      </c>
      <c r="Q78" s="72">
        <v>-645000</v>
      </c>
      <c r="R78" s="72">
        <v>-1097000</v>
      </c>
      <c r="S78" s="72">
        <v>-624000</v>
      </c>
      <c r="T78" s="72">
        <v>-691000</v>
      </c>
      <c r="U78" s="72">
        <v>-1908000</v>
      </c>
      <c r="V78" s="72">
        <v>-885000</v>
      </c>
      <c r="W78" s="72">
        <v>-1123000</v>
      </c>
      <c r="X78" s="72">
        <v>-1382000</v>
      </c>
    </row>
    <row r="79" spans="1:24" x14ac:dyDescent="0.15">
      <c r="A79" s="27" t="s">
        <v>160</v>
      </c>
      <c r="B79" s="74" t="s">
        <v>159</v>
      </c>
      <c r="C79" s="72">
        <v>241000</v>
      </c>
      <c r="D79" s="72">
        <v>222000</v>
      </c>
      <c r="E79" s="72">
        <v>168000</v>
      </c>
      <c r="F79" s="72">
        <v>294000</v>
      </c>
      <c r="G79" s="72">
        <v>216000</v>
      </c>
      <c r="H79" s="72">
        <v>340000</v>
      </c>
      <c r="I79" s="72">
        <v>164000</v>
      </c>
      <c r="J79" s="72">
        <v>250000</v>
      </c>
      <c r="K79" s="72">
        <v>248000</v>
      </c>
      <c r="L79" s="27"/>
      <c r="N79" s="27" t="s">
        <v>30</v>
      </c>
      <c r="O79" s="72">
        <v>4276000</v>
      </c>
      <c r="P79" s="72">
        <v>4419000</v>
      </c>
      <c r="Q79" s="72">
        <v>5201000</v>
      </c>
      <c r="R79" s="72">
        <v>5489000</v>
      </c>
      <c r="S79" s="72">
        <v>3394000</v>
      </c>
      <c r="T79" s="72">
        <v>5623000</v>
      </c>
      <c r="U79" s="72">
        <v>7739000</v>
      </c>
      <c r="V79" s="72">
        <v>11208000</v>
      </c>
      <c r="W79" s="72">
        <v>9036000</v>
      </c>
      <c r="X79" s="72">
        <v>10175000</v>
      </c>
    </row>
    <row r="80" spans="1:24" x14ac:dyDescent="0.15">
      <c r="A80" s="27" t="s">
        <v>58</v>
      </c>
      <c r="B80" s="72">
        <v>1359000</v>
      </c>
      <c r="C80" s="72">
        <v>665000</v>
      </c>
      <c r="D80" s="72">
        <v>789000</v>
      </c>
      <c r="E80" s="72">
        <v>915000</v>
      </c>
      <c r="F80" s="72">
        <v>995000</v>
      </c>
      <c r="G80" s="72">
        <v>4593000</v>
      </c>
      <c r="H80" s="72">
        <v>4714000</v>
      </c>
      <c r="I80" s="72">
        <v>5146000</v>
      </c>
      <c r="J80" s="72">
        <v>4328000</v>
      </c>
      <c r="K80" s="72">
        <v>4823000</v>
      </c>
      <c r="L80" s="27"/>
      <c r="N80" s="27" t="s">
        <v>31</v>
      </c>
      <c r="O80" s="72">
        <v>1578000</v>
      </c>
      <c r="P80" s="72">
        <v>1873000</v>
      </c>
      <c r="Q80" s="72">
        <v>2108000</v>
      </c>
      <c r="R80" s="72">
        <v>2042000</v>
      </c>
      <c r="S80" s="72">
        <v>1080000</v>
      </c>
      <c r="T80" s="72">
        <v>1342000</v>
      </c>
      <c r="U80" s="72">
        <v>1904000</v>
      </c>
      <c r="V80" s="72">
        <v>2766000</v>
      </c>
      <c r="W80" s="72">
        <v>2599000</v>
      </c>
      <c r="X80" s="72">
        <v>2449000</v>
      </c>
    </row>
    <row r="81" spans="1:24" s="29" customFormat="1" ht="14" x14ac:dyDescent="0.15">
      <c r="A81" s="28" t="s">
        <v>59</v>
      </c>
      <c r="B81" s="73">
        <v>31827000</v>
      </c>
      <c r="C81" s="73">
        <v>31266000</v>
      </c>
      <c r="D81" s="73">
        <v>34408000</v>
      </c>
      <c r="E81" s="73">
        <v>35291000</v>
      </c>
      <c r="F81" s="73">
        <v>34508000</v>
      </c>
      <c r="G81" s="73">
        <v>39471000</v>
      </c>
      <c r="H81" s="73">
        <v>46735000</v>
      </c>
      <c r="I81" s="73">
        <v>44640000</v>
      </c>
      <c r="J81" s="73">
        <v>43708000</v>
      </c>
      <c r="K81" s="73">
        <v>41795000</v>
      </c>
      <c r="L81" s="28"/>
      <c r="N81" s="28" t="s">
        <v>32</v>
      </c>
      <c r="O81" s="73">
        <v>2698000</v>
      </c>
      <c r="P81" s="73">
        <v>2546000</v>
      </c>
      <c r="Q81" s="73">
        <v>3093000</v>
      </c>
      <c r="R81" s="73">
        <v>3447000</v>
      </c>
      <c r="S81" s="73">
        <v>2314000</v>
      </c>
      <c r="T81" s="73">
        <v>4281000</v>
      </c>
      <c r="U81" s="73">
        <v>5835000</v>
      </c>
      <c r="V81" s="73">
        <v>8442000</v>
      </c>
      <c r="W81" s="73">
        <v>6437000</v>
      </c>
      <c r="X81" s="73">
        <v>7726000</v>
      </c>
    </row>
    <row r="82" spans="1:24" x14ac:dyDescent="0.15">
      <c r="A82" s="27" t="s">
        <v>60</v>
      </c>
      <c r="B82" s="72">
        <v>6408000</v>
      </c>
      <c r="C82" s="72">
        <v>6998000</v>
      </c>
      <c r="D82" s="72">
        <v>8047000</v>
      </c>
      <c r="E82" s="72">
        <v>7930000</v>
      </c>
      <c r="F82" s="72">
        <v>9613000</v>
      </c>
      <c r="G82" s="72">
        <v>9088000</v>
      </c>
      <c r="H82" s="72">
        <v>13044000</v>
      </c>
      <c r="I82" s="72">
        <v>13851000</v>
      </c>
      <c r="J82" s="72">
        <v>12826000</v>
      </c>
      <c r="K82" s="72">
        <v>10877000</v>
      </c>
      <c r="L82" s="27"/>
      <c r="N82" s="27" t="s">
        <v>33</v>
      </c>
      <c r="O82" s="72">
        <v>-16000</v>
      </c>
      <c r="P82" s="72">
        <v>-12000</v>
      </c>
      <c r="Q82" s="72">
        <v>-29000</v>
      </c>
      <c r="R82" s="72">
        <v>-11000</v>
      </c>
      <c r="S82" s="72">
        <v>-7000</v>
      </c>
      <c r="T82" s="72">
        <v>-13000</v>
      </c>
      <c r="U82" s="72">
        <v>-24000</v>
      </c>
      <c r="V82" s="72">
        <v>-33000</v>
      </c>
      <c r="W82" s="72">
        <v>-21000</v>
      </c>
      <c r="X82" s="72">
        <v>-20000</v>
      </c>
    </row>
    <row r="83" spans="1:24" x14ac:dyDescent="0.15">
      <c r="A83" s="27" t="s">
        <v>61</v>
      </c>
      <c r="B83" s="72">
        <v>5124000</v>
      </c>
      <c r="C83" s="72">
        <v>5633000</v>
      </c>
      <c r="D83" s="72">
        <v>6651000</v>
      </c>
      <c r="E83" s="72">
        <v>6590000</v>
      </c>
      <c r="F83" s="72">
        <v>8279000</v>
      </c>
      <c r="G83" s="72">
        <v>7659000</v>
      </c>
      <c r="H83" s="72">
        <v>10884000</v>
      </c>
      <c r="I83" s="72">
        <v>11354000</v>
      </c>
      <c r="J83" s="72">
        <v>10524000</v>
      </c>
      <c r="K83" s="72">
        <v>8704000</v>
      </c>
      <c r="L83" s="27"/>
      <c r="N83" s="27" t="s">
        <v>34</v>
      </c>
      <c r="O83" s="72">
        <v>2682000</v>
      </c>
      <c r="P83" s="72">
        <v>2534000</v>
      </c>
      <c r="Q83" s="72">
        <v>3062000</v>
      </c>
      <c r="R83" s="72">
        <v>3436000</v>
      </c>
      <c r="S83" s="72">
        <v>2307000</v>
      </c>
      <c r="T83" s="72">
        <v>4268000</v>
      </c>
      <c r="U83" s="72">
        <v>5811000</v>
      </c>
      <c r="V83" s="72">
        <v>8409000</v>
      </c>
      <c r="W83" s="72">
        <v>6416000</v>
      </c>
      <c r="X83" s="72">
        <v>7706000</v>
      </c>
    </row>
    <row r="84" spans="1:24" x14ac:dyDescent="0.15">
      <c r="A84" s="27" t="s">
        <v>62</v>
      </c>
      <c r="B84" s="72">
        <v>1284000</v>
      </c>
      <c r="C84" s="72">
        <v>1365000</v>
      </c>
      <c r="D84" s="72">
        <v>1396000</v>
      </c>
      <c r="E84" s="72">
        <v>1340000</v>
      </c>
      <c r="F84" s="72">
        <v>1334000</v>
      </c>
      <c r="G84" s="72">
        <v>1429000</v>
      </c>
      <c r="H84" s="72">
        <v>2160000</v>
      </c>
      <c r="I84" s="72">
        <v>2497000</v>
      </c>
      <c r="J84" s="72">
        <v>2302000</v>
      </c>
      <c r="K84" s="72">
        <v>2173000</v>
      </c>
      <c r="L84" s="27"/>
      <c r="N84" s="27" t="s">
        <v>35</v>
      </c>
      <c r="O84" s="72">
        <v>988000</v>
      </c>
      <c r="P84" s="72">
        <v>927000</v>
      </c>
      <c r="Q84" s="72">
        <v>880000</v>
      </c>
      <c r="R84" s="72">
        <v>839000</v>
      </c>
      <c r="S84" s="72">
        <v>811000</v>
      </c>
      <c r="T84" s="72">
        <v>777000</v>
      </c>
      <c r="U84" s="72">
        <v>748000</v>
      </c>
      <c r="V84" s="72">
        <v>696000</v>
      </c>
      <c r="W84" s="72">
        <v>629000</v>
      </c>
      <c r="X84" s="72">
        <v>582000</v>
      </c>
    </row>
    <row r="85" spans="1:24" x14ac:dyDescent="0.15">
      <c r="A85" s="27" t="s">
        <v>63</v>
      </c>
      <c r="B85" s="72">
        <v>552000</v>
      </c>
      <c r="C85" s="72">
        <v>1104000</v>
      </c>
      <c r="D85" s="72">
        <v>1305000</v>
      </c>
      <c r="E85" s="72">
        <v>1431000</v>
      </c>
      <c r="F85" s="72">
        <v>1832000</v>
      </c>
      <c r="G85" s="72">
        <v>2538000</v>
      </c>
      <c r="H85" s="72">
        <v>1112000</v>
      </c>
      <c r="I85" s="72">
        <v>868000</v>
      </c>
      <c r="J85" s="72">
        <v>1084000</v>
      </c>
      <c r="K85" s="72">
        <v>450000</v>
      </c>
      <c r="L85" s="27"/>
      <c r="N85" s="27" t="s">
        <v>36</v>
      </c>
      <c r="O85" s="72">
        <v>2.71</v>
      </c>
      <c r="P85" s="72">
        <v>2.73</v>
      </c>
      <c r="Q85" s="72">
        <v>3.48</v>
      </c>
      <c r="R85" s="72">
        <v>4.09</v>
      </c>
      <c r="S85" s="72">
        <v>2.84</v>
      </c>
      <c r="T85" s="72">
        <v>5.49</v>
      </c>
      <c r="U85" s="72">
        <v>7.77</v>
      </c>
      <c r="V85" s="72">
        <v>12.07</v>
      </c>
      <c r="W85" s="72">
        <v>10.199999999999999</v>
      </c>
      <c r="X85" s="72">
        <v>13.23</v>
      </c>
    </row>
    <row r="86" spans="1:24" x14ac:dyDescent="0.15">
      <c r="A86" s="27" t="s">
        <v>64</v>
      </c>
      <c r="B86" s="72">
        <v>2388000</v>
      </c>
      <c r="C86" s="72">
        <v>2390000</v>
      </c>
      <c r="D86" s="72">
        <v>2622000</v>
      </c>
      <c r="E86" s="72">
        <v>2735000</v>
      </c>
      <c r="F86" s="72">
        <v>3052000</v>
      </c>
      <c r="G86" s="72">
        <v>3556000</v>
      </c>
      <c r="H86" s="72">
        <v>4574000</v>
      </c>
      <c r="I86" s="72">
        <v>4949000</v>
      </c>
      <c r="J86" s="72">
        <v>5601000</v>
      </c>
      <c r="K86" s="72">
        <v>4154000</v>
      </c>
      <c r="L86" s="27"/>
      <c r="N86" s="27" t="s">
        <v>37</v>
      </c>
      <c r="O86" s="72">
        <v>2.71</v>
      </c>
      <c r="P86" s="72">
        <v>2.73</v>
      </c>
      <c r="Q86" s="72">
        <v>3.48</v>
      </c>
      <c r="R86" s="72">
        <v>4.09</v>
      </c>
      <c r="S86" s="72">
        <v>2.84</v>
      </c>
      <c r="T86" s="72">
        <v>5.49</v>
      </c>
      <c r="U86" s="72">
        <v>7.77</v>
      </c>
      <c r="V86" s="72">
        <v>12.07</v>
      </c>
      <c r="W86" s="72">
        <v>10.199999999999999</v>
      </c>
      <c r="X86" s="72">
        <v>13.23</v>
      </c>
    </row>
    <row r="87" spans="1:24" s="29" customFormat="1" ht="14" x14ac:dyDescent="0.15">
      <c r="A87" s="28" t="s">
        <v>65</v>
      </c>
      <c r="B87" s="73">
        <v>9348000</v>
      </c>
      <c r="C87" s="73">
        <v>10492000</v>
      </c>
      <c r="D87" s="73">
        <v>11974000</v>
      </c>
      <c r="E87" s="73">
        <v>12096000</v>
      </c>
      <c r="F87" s="73">
        <v>14497000</v>
      </c>
      <c r="G87" s="73">
        <v>15182000</v>
      </c>
      <c r="H87" s="73">
        <v>18730000</v>
      </c>
      <c r="I87" s="73">
        <v>19668000</v>
      </c>
      <c r="J87" s="73">
        <v>19511000</v>
      </c>
      <c r="K87" s="73">
        <v>15568000</v>
      </c>
      <c r="L87" s="28"/>
      <c r="N87" s="27" t="s">
        <v>38</v>
      </c>
      <c r="O87" s="72">
        <v>990000</v>
      </c>
      <c r="P87" s="72">
        <v>929000</v>
      </c>
      <c r="Q87" s="72">
        <v>881000</v>
      </c>
      <c r="R87" s="72">
        <v>840000</v>
      </c>
      <c r="S87" s="72">
        <v>812000</v>
      </c>
      <c r="T87" s="72">
        <v>778000</v>
      </c>
      <c r="U87" s="72">
        <v>750000</v>
      </c>
      <c r="V87" s="72">
        <v>699000</v>
      </c>
      <c r="W87" s="72">
        <v>631000</v>
      </c>
      <c r="X87" s="72">
        <v>584000</v>
      </c>
    </row>
    <row r="88" spans="1:24" x14ac:dyDescent="0.15">
      <c r="A88" s="27" t="s">
        <v>66</v>
      </c>
      <c r="B88" s="72">
        <v>10815000</v>
      </c>
      <c r="C88" s="72">
        <v>11545000</v>
      </c>
      <c r="D88" s="72">
        <v>14394000</v>
      </c>
      <c r="E88" s="72">
        <v>15564000</v>
      </c>
      <c r="F88" s="72">
        <v>14391000</v>
      </c>
      <c r="G88" s="72">
        <v>16768000</v>
      </c>
      <c r="H88" s="72">
        <v>20668000</v>
      </c>
      <c r="I88" s="72">
        <v>23859000</v>
      </c>
      <c r="J88" s="72">
        <v>32876000</v>
      </c>
      <c r="K88" s="72">
        <v>35384000</v>
      </c>
      <c r="L88" s="27"/>
      <c r="N88" s="27" t="s">
        <v>39</v>
      </c>
      <c r="O88" s="72">
        <v>2.71</v>
      </c>
      <c r="P88" s="72">
        <v>2.73</v>
      </c>
      <c r="Q88" s="72">
        <v>3.47</v>
      </c>
      <c r="R88" s="72">
        <v>4.09</v>
      </c>
      <c r="S88" s="72">
        <v>2.84</v>
      </c>
      <c r="T88" s="72">
        <v>5.49</v>
      </c>
      <c r="U88" s="72">
        <v>7.75</v>
      </c>
      <c r="V88" s="72">
        <v>12.04</v>
      </c>
      <c r="W88" s="72">
        <v>10.17</v>
      </c>
      <c r="X88" s="72">
        <v>13.2</v>
      </c>
    </row>
    <row r="89" spans="1:24" x14ac:dyDescent="0.15">
      <c r="A89" s="27" t="s">
        <v>67</v>
      </c>
      <c r="B89" s="72">
        <v>827000</v>
      </c>
      <c r="C89" s="72">
        <v>729000</v>
      </c>
      <c r="D89" s="72">
        <v>763000</v>
      </c>
      <c r="E89" s="72">
        <v>803000</v>
      </c>
      <c r="F89" s="72">
        <v>827000</v>
      </c>
      <c r="G89" s="72">
        <v>894000</v>
      </c>
      <c r="H89" s="72">
        <v>1019000</v>
      </c>
      <c r="I89" s="72">
        <v>1127000</v>
      </c>
      <c r="J89" s="72">
        <v>1201000</v>
      </c>
      <c r="K89" s="72">
        <v>1225000</v>
      </c>
      <c r="L89" s="27"/>
      <c r="N89" s="27" t="s">
        <v>40</v>
      </c>
      <c r="O89" s="72">
        <v>2.71</v>
      </c>
      <c r="P89" s="72">
        <v>2.73</v>
      </c>
      <c r="Q89" s="72">
        <v>3.47</v>
      </c>
      <c r="R89" s="72">
        <v>4.09</v>
      </c>
      <c r="S89" s="72">
        <v>2.84</v>
      </c>
      <c r="T89" s="72">
        <v>5.49</v>
      </c>
      <c r="U89" s="72">
        <v>7.75</v>
      </c>
      <c r="V89" s="72">
        <v>12.04</v>
      </c>
      <c r="W89" s="72">
        <v>10.17</v>
      </c>
      <c r="X89" s="72">
        <v>13.2</v>
      </c>
    </row>
    <row r="90" spans="1:24" x14ac:dyDescent="0.15">
      <c r="A90" s="27" t="s">
        <v>68</v>
      </c>
      <c r="B90" s="72">
        <v>869000</v>
      </c>
      <c r="C90" s="72">
        <v>846000</v>
      </c>
      <c r="D90" s="72">
        <v>843000</v>
      </c>
      <c r="E90" s="72">
        <v>955000</v>
      </c>
      <c r="F90" s="72">
        <v>1149000</v>
      </c>
      <c r="G90" s="72">
        <v>4655000</v>
      </c>
      <c r="H90" s="72">
        <v>4881000</v>
      </c>
      <c r="I90" s="72">
        <v>4802000</v>
      </c>
      <c r="J90" s="72">
        <v>4374000</v>
      </c>
      <c r="K90" s="72">
        <v>4668000</v>
      </c>
      <c r="L90" s="27"/>
      <c r="N90" s="27" t="s">
        <v>41</v>
      </c>
      <c r="O90" s="72">
        <v>960000</v>
      </c>
      <c r="P90" s="72">
        <v>910000</v>
      </c>
      <c r="Q90" s="72">
        <v>866000</v>
      </c>
      <c r="R90" s="72">
        <v>830000</v>
      </c>
      <c r="S90" s="72">
        <v>801000</v>
      </c>
      <c r="T90" s="72">
        <v>763000</v>
      </c>
      <c r="U90" s="72">
        <v>731000</v>
      </c>
      <c r="V90" s="72">
        <v>670000</v>
      </c>
      <c r="W90" s="72">
        <v>601000</v>
      </c>
      <c r="X90" s="72">
        <v>574000</v>
      </c>
    </row>
    <row r="91" spans="1:24" s="29" customFormat="1" ht="14" x14ac:dyDescent="0.15">
      <c r="A91" s="28" t="s">
        <v>69</v>
      </c>
      <c r="B91" s="73">
        <v>21859000</v>
      </c>
      <c r="C91" s="73">
        <v>23612000</v>
      </c>
      <c r="D91" s="73">
        <v>27974000</v>
      </c>
      <c r="E91" s="73">
        <v>29418000</v>
      </c>
      <c r="F91" s="73">
        <v>30864000</v>
      </c>
      <c r="G91" s="73">
        <v>37499000</v>
      </c>
      <c r="H91" s="73">
        <v>45298000</v>
      </c>
      <c r="I91" s="73">
        <v>49456000</v>
      </c>
      <c r="J91" s="73">
        <v>57962000</v>
      </c>
      <c r="K91" s="73">
        <v>56845000</v>
      </c>
      <c r="L91" s="28"/>
    </row>
    <row r="92" spans="1:24" x14ac:dyDescent="0.15">
      <c r="A92" s="27" t="s">
        <v>70</v>
      </c>
      <c r="B92" s="72">
        <v>480000</v>
      </c>
      <c r="C92" s="72">
        <v>455000</v>
      </c>
      <c r="D92" s="72">
        <v>433000</v>
      </c>
      <c r="E92" s="72">
        <v>415000</v>
      </c>
      <c r="F92" s="72">
        <v>401000</v>
      </c>
      <c r="G92" s="72">
        <v>381000</v>
      </c>
      <c r="H92" s="72">
        <v>366000</v>
      </c>
      <c r="I92" s="72">
        <v>335000</v>
      </c>
      <c r="J92" s="72">
        <v>301000</v>
      </c>
      <c r="K92" s="72">
        <v>287000</v>
      </c>
      <c r="L92" s="27"/>
    </row>
    <row r="93" spans="1:24" x14ac:dyDescent="0.15">
      <c r="A93" s="27" t="s">
        <v>72</v>
      </c>
      <c r="B93" s="72">
        <v>9591000</v>
      </c>
      <c r="C93" s="72">
        <v>7593000</v>
      </c>
      <c r="D93" s="72">
        <v>6241000</v>
      </c>
      <c r="E93" s="72">
        <v>5425000</v>
      </c>
      <c r="F93" s="72">
        <v>3452000</v>
      </c>
      <c r="G93" s="72">
        <v>1727000</v>
      </c>
      <c r="H93" s="72">
        <v>1117000</v>
      </c>
      <c r="I93" s="72">
        <v>-5115000</v>
      </c>
      <c r="J93" s="72">
        <v>-14862000</v>
      </c>
      <c r="K93" s="72">
        <v>-15637000</v>
      </c>
      <c r="L93" s="27"/>
    </row>
    <row r="94" spans="1:24" x14ac:dyDescent="0.15">
      <c r="A94" s="27" t="s">
        <v>73</v>
      </c>
      <c r="B94" s="72">
        <v>-103000</v>
      </c>
      <c r="C94" s="72">
        <v>-394000</v>
      </c>
      <c r="D94" s="72">
        <v>-240000</v>
      </c>
      <c r="E94" s="72">
        <v>11000</v>
      </c>
      <c r="F94" s="72">
        <v>-209000</v>
      </c>
      <c r="G94" s="72">
        <v>-136000</v>
      </c>
      <c r="H94" s="72">
        <v>-136000</v>
      </c>
      <c r="I94" s="72">
        <v>-36000</v>
      </c>
      <c r="J94" s="72">
        <v>307000</v>
      </c>
      <c r="K94" s="72">
        <v>300000</v>
      </c>
      <c r="L94" s="27"/>
    </row>
    <row r="95" spans="1:24" x14ac:dyDescent="0.15">
      <c r="A95" s="27" t="s">
        <v>75</v>
      </c>
      <c r="B95" s="72">
        <v>9968000</v>
      </c>
      <c r="C95" s="72">
        <v>7654000</v>
      </c>
      <c r="D95" s="72">
        <v>6434000</v>
      </c>
      <c r="E95" s="72">
        <v>5873000</v>
      </c>
      <c r="F95" s="72">
        <v>3644000</v>
      </c>
      <c r="G95" s="72">
        <v>1972000</v>
      </c>
      <c r="H95" s="72">
        <v>1437000</v>
      </c>
      <c r="I95" s="72">
        <v>-4816000</v>
      </c>
      <c r="J95" s="72">
        <v>-14254000</v>
      </c>
      <c r="K95" s="72">
        <v>-15050000</v>
      </c>
      <c r="L95" s="27"/>
    </row>
    <row r="96" spans="1:24" s="29" customFormat="1" ht="14" x14ac:dyDescent="0.15">
      <c r="A96" s="28" t="s">
        <v>76</v>
      </c>
      <c r="B96" s="73">
        <v>31827000</v>
      </c>
      <c r="C96" s="73">
        <v>31266000</v>
      </c>
      <c r="D96" s="73">
        <v>34408000</v>
      </c>
      <c r="E96" s="73">
        <v>35291000</v>
      </c>
      <c r="F96" s="73">
        <v>34508000</v>
      </c>
      <c r="G96" s="73">
        <v>39471000</v>
      </c>
      <c r="H96" s="73">
        <v>46735000</v>
      </c>
      <c r="I96" s="73">
        <v>44640000</v>
      </c>
      <c r="J96" s="73">
        <v>43708000</v>
      </c>
      <c r="K96" s="73">
        <v>41795000</v>
      </c>
      <c r="L96" s="28"/>
    </row>
    <row r="101" spans="1:24" customFormat="1" x14ac:dyDescent="0.15"/>
    <row r="102" spans="1:24" customFormat="1" x14ac:dyDescent="0.15"/>
    <row r="103" spans="1:24" customFormat="1" x14ac:dyDescent="0.15"/>
    <row r="104" spans="1:24" customFormat="1" x14ac:dyDescent="0.15">
      <c r="A104" s="1" t="s">
        <v>0</v>
      </c>
    </row>
    <row r="105" spans="1:24" customFormat="1" ht="20" x14ac:dyDescent="0.2">
      <c r="A105" s="2" t="s">
        <v>161</v>
      </c>
      <c r="N105" s="2" t="s">
        <v>161</v>
      </c>
    </row>
    <row r="106" spans="1:24" customFormat="1" x14ac:dyDescent="0.15"/>
    <row r="107" spans="1:24" customFormat="1" ht="14" x14ac:dyDescent="0.15">
      <c r="A107" s="3" t="s">
        <v>2</v>
      </c>
    </row>
    <row r="108" spans="1:24" customFormat="1" x14ac:dyDescent="0.15"/>
    <row r="109" spans="1:24" customFormat="1" x14ac:dyDescent="0.15"/>
    <row r="110" spans="1:24" customFormat="1" ht="28" x14ac:dyDescent="0.15">
      <c r="A110" s="4" t="s">
        <v>47</v>
      </c>
      <c r="N110" s="24" t="s">
        <v>3</v>
      </c>
      <c r="O110" s="20"/>
      <c r="P110" s="20"/>
      <c r="Q110" s="20"/>
      <c r="R110" s="20"/>
      <c r="S110" s="20"/>
      <c r="T110" s="20"/>
      <c r="U110" s="20"/>
      <c r="V110" s="20"/>
      <c r="W110" s="20"/>
      <c r="X110" s="20"/>
    </row>
    <row r="111" spans="1:24" customFormat="1" ht="14" x14ac:dyDescent="0.15">
      <c r="A111" s="5" t="s">
        <v>4</v>
      </c>
      <c r="B111" s="6" t="s">
        <v>162</v>
      </c>
      <c r="C111" s="6" t="s">
        <v>163</v>
      </c>
      <c r="D111" s="6" t="s">
        <v>164</v>
      </c>
      <c r="E111" s="6" t="s">
        <v>165</v>
      </c>
      <c r="F111" s="6" t="s">
        <v>166</v>
      </c>
      <c r="G111" s="6" t="s">
        <v>167</v>
      </c>
      <c r="H111" s="6" t="s">
        <v>168</v>
      </c>
      <c r="I111" s="6" t="s">
        <v>169</v>
      </c>
      <c r="J111" s="6" t="s">
        <v>170</v>
      </c>
      <c r="K111" s="6" t="s">
        <v>171</v>
      </c>
      <c r="L111" s="5"/>
      <c r="N111" s="25" t="s">
        <v>4</v>
      </c>
      <c r="O111" s="26" t="s">
        <v>162</v>
      </c>
      <c r="P111" s="26" t="s">
        <v>163</v>
      </c>
      <c r="Q111" s="26" t="s">
        <v>164</v>
      </c>
      <c r="R111" s="26" t="s">
        <v>165</v>
      </c>
      <c r="S111" s="26" t="s">
        <v>166</v>
      </c>
      <c r="T111" s="26" t="s">
        <v>167</v>
      </c>
      <c r="U111" s="26" t="s">
        <v>168</v>
      </c>
      <c r="V111" s="26" t="s">
        <v>169</v>
      </c>
      <c r="W111" s="26" t="s">
        <v>170</v>
      </c>
      <c r="X111" s="26" t="s">
        <v>171</v>
      </c>
    </row>
    <row r="112" spans="1:24" customFormat="1" ht="14" x14ac:dyDescent="0.15">
      <c r="A112" s="5" t="s">
        <v>15</v>
      </c>
      <c r="B112" s="6" t="s">
        <v>16</v>
      </c>
      <c r="C112" s="6" t="s">
        <v>16</v>
      </c>
      <c r="D112" s="6" t="s">
        <v>16</v>
      </c>
      <c r="E112" s="6" t="s">
        <v>16</v>
      </c>
      <c r="F112" s="6" t="s">
        <v>16</v>
      </c>
      <c r="G112" s="6" t="s">
        <v>16</v>
      </c>
      <c r="H112" s="6" t="s">
        <v>16</v>
      </c>
      <c r="I112" s="6" t="s">
        <v>16</v>
      </c>
      <c r="J112" s="6" t="s">
        <v>16</v>
      </c>
      <c r="K112" s="6" t="s">
        <v>16</v>
      </c>
      <c r="L112" s="5"/>
      <c r="N112" s="25" t="s">
        <v>15</v>
      </c>
      <c r="O112" s="26" t="s">
        <v>16</v>
      </c>
      <c r="P112" s="26" t="s">
        <v>16</v>
      </c>
      <c r="Q112" s="26" t="s">
        <v>16</v>
      </c>
      <c r="R112" s="26" t="s">
        <v>16</v>
      </c>
      <c r="S112" s="26" t="s">
        <v>16</v>
      </c>
      <c r="T112" s="26" t="s">
        <v>16</v>
      </c>
      <c r="U112" s="26" t="s">
        <v>16</v>
      </c>
      <c r="V112" s="26" t="s">
        <v>16</v>
      </c>
      <c r="W112" s="26" t="s">
        <v>16</v>
      </c>
      <c r="X112" s="26" t="s">
        <v>16</v>
      </c>
    </row>
    <row r="113" spans="1:25" customFormat="1" ht="14" x14ac:dyDescent="0.15">
      <c r="A113" s="5" t="s">
        <v>17</v>
      </c>
      <c r="B113" s="6" t="s">
        <v>18</v>
      </c>
      <c r="C113" s="6" t="s">
        <v>18</v>
      </c>
      <c r="D113" s="6" t="s">
        <v>18</v>
      </c>
      <c r="E113" s="6" t="s">
        <v>18</v>
      </c>
      <c r="F113" s="6" t="s">
        <v>18</v>
      </c>
      <c r="G113" s="6" t="s">
        <v>18</v>
      </c>
      <c r="H113" s="6" t="s">
        <v>18</v>
      </c>
      <c r="I113" s="6" t="s">
        <v>18</v>
      </c>
      <c r="J113" s="6" t="s">
        <v>18</v>
      </c>
      <c r="K113" s="6" t="s">
        <v>18</v>
      </c>
      <c r="L113" s="5"/>
      <c r="N113" s="25" t="s">
        <v>17</v>
      </c>
      <c r="O113" s="26" t="s">
        <v>18</v>
      </c>
      <c r="P113" s="26" t="s">
        <v>18</v>
      </c>
      <c r="Q113" s="26" t="s">
        <v>18</v>
      </c>
      <c r="R113" s="26" t="s">
        <v>18</v>
      </c>
      <c r="S113" s="26" t="s">
        <v>18</v>
      </c>
      <c r="T113" s="26" t="s">
        <v>18</v>
      </c>
      <c r="U113" s="26" t="s">
        <v>18</v>
      </c>
      <c r="V113" s="26" t="s">
        <v>18</v>
      </c>
      <c r="W113" s="26" t="s">
        <v>18</v>
      </c>
      <c r="X113" s="26" t="s">
        <v>18</v>
      </c>
    </row>
    <row r="114" spans="1:25" customFormat="1" ht="14" x14ac:dyDescent="0.15">
      <c r="A114" s="5" t="s">
        <v>19</v>
      </c>
      <c r="B114" s="6" t="s">
        <v>20</v>
      </c>
      <c r="C114" s="6" t="s">
        <v>20</v>
      </c>
      <c r="D114" s="6" t="s">
        <v>20</v>
      </c>
      <c r="E114" s="6" t="s">
        <v>20</v>
      </c>
      <c r="F114" s="6" t="s">
        <v>20</v>
      </c>
      <c r="G114" s="6" t="s">
        <v>20</v>
      </c>
      <c r="H114" s="6" t="s">
        <v>20</v>
      </c>
      <c r="I114" s="6" t="s">
        <v>20</v>
      </c>
      <c r="J114" s="6" t="s">
        <v>20</v>
      </c>
      <c r="K114" s="6" t="s">
        <v>20</v>
      </c>
      <c r="L114" s="5"/>
      <c r="N114" s="25" t="s">
        <v>19</v>
      </c>
      <c r="O114" s="26" t="s">
        <v>20</v>
      </c>
      <c r="P114" s="26" t="s">
        <v>20</v>
      </c>
      <c r="Q114" s="26" t="s">
        <v>20</v>
      </c>
      <c r="R114" s="26" t="s">
        <v>20</v>
      </c>
      <c r="S114" s="26" t="s">
        <v>20</v>
      </c>
      <c r="T114" s="26" t="s">
        <v>20</v>
      </c>
      <c r="U114" s="26" t="s">
        <v>20</v>
      </c>
      <c r="V114" s="26" t="s">
        <v>20</v>
      </c>
      <c r="W114" s="26" t="s">
        <v>20</v>
      </c>
      <c r="X114" s="26" t="s">
        <v>20</v>
      </c>
    </row>
    <row r="115" spans="1:25" customFormat="1" ht="14" x14ac:dyDescent="0.15">
      <c r="A115" s="5" t="s">
        <v>21</v>
      </c>
      <c r="B115" s="6" t="s">
        <v>22</v>
      </c>
      <c r="C115" s="6" t="s">
        <v>22</v>
      </c>
      <c r="D115" s="6" t="s">
        <v>22</v>
      </c>
      <c r="E115" s="6" t="s">
        <v>22</v>
      </c>
      <c r="F115" s="6" t="s">
        <v>22</v>
      </c>
      <c r="G115" s="6" t="s">
        <v>22</v>
      </c>
      <c r="H115" s="6" t="s">
        <v>22</v>
      </c>
      <c r="I115" s="6" t="s">
        <v>22</v>
      </c>
      <c r="J115" s="6" t="s">
        <v>22</v>
      </c>
      <c r="K115" s="6" t="s">
        <v>22</v>
      </c>
      <c r="L115" s="5"/>
      <c r="N115" s="25" t="s">
        <v>21</v>
      </c>
      <c r="O115" s="26" t="s">
        <v>22</v>
      </c>
      <c r="P115" s="26" t="s">
        <v>22</v>
      </c>
      <c r="Q115" s="26" t="s">
        <v>22</v>
      </c>
      <c r="R115" s="26" t="s">
        <v>22</v>
      </c>
      <c r="S115" s="26" t="s">
        <v>22</v>
      </c>
      <c r="T115" s="26" t="s">
        <v>22</v>
      </c>
      <c r="U115" s="26" t="s">
        <v>22</v>
      </c>
      <c r="V115" s="26" t="s">
        <v>22</v>
      </c>
      <c r="W115" s="26" t="s">
        <v>22</v>
      </c>
      <c r="X115" s="26" t="s">
        <v>22</v>
      </c>
    </row>
    <row r="116" spans="1:25" customFormat="1" x14ac:dyDescent="0.15">
      <c r="A116" s="7" t="s">
        <v>48</v>
      </c>
      <c r="B116" s="63" t="s">
        <v>159</v>
      </c>
      <c r="C116" s="10">
        <v>318</v>
      </c>
      <c r="D116" s="10">
        <v>451</v>
      </c>
      <c r="E116" s="10">
        <v>556</v>
      </c>
      <c r="F116" s="10">
        <v>644</v>
      </c>
      <c r="G116" s="10">
        <v>27037</v>
      </c>
      <c r="H116" s="10">
        <v>307772</v>
      </c>
      <c r="I116" s="10">
        <v>139444</v>
      </c>
      <c r="J116" s="10">
        <v>9794</v>
      </c>
      <c r="K116" s="10">
        <v>34382</v>
      </c>
      <c r="L116" s="7"/>
      <c r="N116" s="27" t="s">
        <v>23</v>
      </c>
      <c r="O116" s="72">
        <v>584588</v>
      </c>
      <c r="P116" s="72">
        <v>784012</v>
      </c>
      <c r="Q116" s="72">
        <v>1050759</v>
      </c>
      <c r="R116" s="72">
        <v>1384767</v>
      </c>
      <c r="S116" s="72">
        <v>1709848</v>
      </c>
      <c r="T116" s="72">
        <v>2045456</v>
      </c>
      <c r="U116" s="72">
        <v>2425788</v>
      </c>
      <c r="V116" s="72">
        <v>3433533</v>
      </c>
      <c r="W116" s="72">
        <v>4264473</v>
      </c>
      <c r="X116" s="72">
        <v>4413884</v>
      </c>
    </row>
    <row r="117" spans="1:25" customFormat="1" ht="14" x14ac:dyDescent="0.15">
      <c r="A117" s="7" t="s">
        <v>49</v>
      </c>
      <c r="B117" s="63" t="s">
        <v>159</v>
      </c>
      <c r="C117" s="10">
        <v>318</v>
      </c>
      <c r="D117" s="10">
        <v>451</v>
      </c>
      <c r="E117" s="10">
        <v>556</v>
      </c>
      <c r="F117" s="10">
        <v>644</v>
      </c>
      <c r="G117" s="10">
        <v>27037</v>
      </c>
      <c r="H117" s="10">
        <v>307772</v>
      </c>
      <c r="I117" s="10">
        <v>139444</v>
      </c>
      <c r="J117" s="10">
        <v>9794</v>
      </c>
      <c r="K117" s="10">
        <v>34382</v>
      </c>
      <c r="L117" s="7"/>
      <c r="N117" s="28" t="s">
        <v>24</v>
      </c>
      <c r="O117" s="73">
        <v>584588</v>
      </c>
      <c r="P117" s="73">
        <v>784012</v>
      </c>
      <c r="Q117" s="73">
        <v>1050759</v>
      </c>
      <c r="R117" s="73">
        <v>1384767</v>
      </c>
      <c r="S117" s="73">
        <v>1709848</v>
      </c>
      <c r="T117" s="73">
        <v>2045456</v>
      </c>
      <c r="U117" s="73">
        <v>2425788</v>
      </c>
      <c r="V117" s="73">
        <v>3433533</v>
      </c>
      <c r="W117" s="73">
        <v>4264473</v>
      </c>
      <c r="X117" s="73">
        <v>4413884</v>
      </c>
      <c r="Y117" s="10">
        <f>X117*(1+((X117/W117)-1))</f>
        <v>4568529.7961684838</v>
      </c>
    </row>
    <row r="118" spans="1:25" customFormat="1" x14ac:dyDescent="0.15">
      <c r="A118" s="7" t="s">
        <v>50</v>
      </c>
      <c r="B118" s="63" t="s">
        <v>159</v>
      </c>
      <c r="C118" s="10">
        <v>23740</v>
      </c>
      <c r="D118" s="10">
        <v>34533</v>
      </c>
      <c r="E118" s="10">
        <v>54041</v>
      </c>
      <c r="F118" s="10">
        <v>67527</v>
      </c>
      <c r="G118" s="10">
        <v>69301</v>
      </c>
      <c r="H118" s="10">
        <v>50427</v>
      </c>
      <c r="I118" s="10">
        <v>81463</v>
      </c>
      <c r="J118" s="10">
        <v>94732</v>
      </c>
      <c r="K118" s="10">
        <v>99513</v>
      </c>
      <c r="L118" s="7"/>
      <c r="N118" s="27" t="s">
        <v>204</v>
      </c>
      <c r="O118" s="72">
        <v>355051</v>
      </c>
      <c r="P118" s="72">
        <v>471390</v>
      </c>
      <c r="Q118" s="72">
        <v>621497</v>
      </c>
      <c r="R118" s="72">
        <v>812203</v>
      </c>
      <c r="S118" s="72">
        <v>1007580</v>
      </c>
      <c r="T118" s="72">
        <v>1182442</v>
      </c>
      <c r="U118" s="72">
        <v>1390896</v>
      </c>
      <c r="V118" s="72">
        <v>2011267</v>
      </c>
      <c r="W118" s="72">
        <v>2536757</v>
      </c>
      <c r="X118" s="72">
        <v>2555536</v>
      </c>
    </row>
    <row r="119" spans="1:25" customFormat="1" ht="14" x14ac:dyDescent="0.15">
      <c r="A119" s="7" t="s">
        <v>51</v>
      </c>
      <c r="B119" s="63" t="s">
        <v>159</v>
      </c>
      <c r="C119" s="10">
        <v>272569</v>
      </c>
      <c r="D119" s="10">
        <v>293702</v>
      </c>
      <c r="E119" s="10">
        <v>427950</v>
      </c>
      <c r="F119" s="10">
        <v>471014</v>
      </c>
      <c r="G119" s="10">
        <v>581865</v>
      </c>
      <c r="H119" s="10">
        <v>654000</v>
      </c>
      <c r="I119" s="10">
        <v>1008151</v>
      </c>
      <c r="J119" s="10">
        <v>1292336</v>
      </c>
      <c r="K119" s="10">
        <v>1106150</v>
      </c>
      <c r="L119" s="7"/>
      <c r="N119" s="28" t="s">
        <v>25</v>
      </c>
      <c r="O119" s="73">
        <v>229537</v>
      </c>
      <c r="P119" s="73">
        <v>312622</v>
      </c>
      <c r="Q119" s="73">
        <v>429262</v>
      </c>
      <c r="R119" s="73">
        <v>572564</v>
      </c>
      <c r="S119" s="73">
        <v>702268</v>
      </c>
      <c r="T119" s="73">
        <v>863014</v>
      </c>
      <c r="U119" s="73">
        <v>1034892</v>
      </c>
      <c r="V119" s="73">
        <v>1422266</v>
      </c>
      <c r="W119" s="73">
        <v>1727716</v>
      </c>
      <c r="X119" s="73">
        <v>1858348</v>
      </c>
    </row>
    <row r="120" spans="1:25" customFormat="1" x14ac:dyDescent="0.15">
      <c r="A120" s="7" t="s">
        <v>172</v>
      </c>
      <c r="B120" s="63" t="s">
        <v>159</v>
      </c>
      <c r="C120" s="10">
        <v>2484</v>
      </c>
      <c r="D120" s="63" t="s">
        <v>159</v>
      </c>
      <c r="E120" s="10">
        <v>12472</v>
      </c>
      <c r="F120" s="10">
        <v>4324</v>
      </c>
      <c r="G120" s="10">
        <v>2868</v>
      </c>
      <c r="H120" s="63" t="s">
        <v>159</v>
      </c>
      <c r="I120" s="10">
        <v>3507</v>
      </c>
      <c r="J120" s="10">
        <v>7325</v>
      </c>
      <c r="K120" s="10">
        <v>27870</v>
      </c>
      <c r="L120" s="7"/>
      <c r="N120" s="27" t="s">
        <v>26</v>
      </c>
      <c r="O120" s="72">
        <v>185469</v>
      </c>
      <c r="P120" s="72">
        <v>252554</v>
      </c>
      <c r="Q120" s="72">
        <v>335901</v>
      </c>
      <c r="R120" s="72">
        <v>438308</v>
      </c>
      <c r="S120" s="72">
        <v>544822</v>
      </c>
      <c r="T120" s="72">
        <v>679239</v>
      </c>
      <c r="U120" s="72">
        <v>798815</v>
      </c>
      <c r="V120" s="72">
        <v>1048841</v>
      </c>
      <c r="W120" s="72">
        <v>1292314</v>
      </c>
      <c r="X120" s="72">
        <v>1491938</v>
      </c>
    </row>
    <row r="121" spans="1:25" customFormat="1" x14ac:dyDescent="0.15">
      <c r="A121" s="7" t="s">
        <v>52</v>
      </c>
      <c r="B121" s="63" t="s">
        <v>159</v>
      </c>
      <c r="C121" s="10">
        <v>6079</v>
      </c>
      <c r="D121" s="10">
        <v>7529</v>
      </c>
      <c r="E121" s="10">
        <v>8193</v>
      </c>
      <c r="F121" s="10">
        <v>15949</v>
      </c>
      <c r="G121" s="10">
        <v>20415</v>
      </c>
      <c r="H121" s="10">
        <v>28257</v>
      </c>
      <c r="I121" s="10">
        <v>40780</v>
      </c>
      <c r="J121" s="10">
        <v>53298</v>
      </c>
      <c r="K121" s="10">
        <v>48725</v>
      </c>
      <c r="L121" s="7"/>
      <c r="N121" s="27" t="s">
        <v>208</v>
      </c>
      <c r="O121" s="72">
        <v>10387</v>
      </c>
      <c r="P121" s="72">
        <v>7676</v>
      </c>
      <c r="Q121" s="72">
        <v>24232</v>
      </c>
      <c r="R121" s="72">
        <v>16485</v>
      </c>
      <c r="S121" s="72">
        <v>26145</v>
      </c>
      <c r="T121" s="72">
        <v>24594</v>
      </c>
      <c r="U121" s="72">
        <v>21498</v>
      </c>
      <c r="V121" s="72">
        <v>34433</v>
      </c>
      <c r="W121" s="72">
        <v>38642</v>
      </c>
      <c r="X121" s="72">
        <v>44982</v>
      </c>
    </row>
    <row r="122" spans="1:25" s="75" customFormat="1" ht="14" x14ac:dyDescent="0.15">
      <c r="A122" s="12" t="s">
        <v>53</v>
      </c>
      <c r="B122" s="64" t="s">
        <v>159</v>
      </c>
      <c r="C122" s="13">
        <v>305190</v>
      </c>
      <c r="D122" s="13">
        <v>336215</v>
      </c>
      <c r="E122" s="13">
        <v>503212</v>
      </c>
      <c r="F122" s="13">
        <v>559458</v>
      </c>
      <c r="G122" s="13">
        <v>701486</v>
      </c>
      <c r="H122" s="13">
        <v>1040456</v>
      </c>
      <c r="I122" s="13">
        <v>1273345</v>
      </c>
      <c r="J122" s="13">
        <v>1457485</v>
      </c>
      <c r="K122" s="13">
        <v>1316640</v>
      </c>
      <c r="L122" s="12"/>
      <c r="N122" s="28" t="s">
        <v>43</v>
      </c>
      <c r="O122" s="73">
        <v>195856</v>
      </c>
      <c r="P122" s="73">
        <v>260230</v>
      </c>
      <c r="Q122" s="73">
        <v>360133</v>
      </c>
      <c r="R122" s="73">
        <v>454793</v>
      </c>
      <c r="S122" s="73">
        <v>570967</v>
      </c>
      <c r="T122" s="73">
        <v>703833</v>
      </c>
      <c r="U122" s="73">
        <v>820313</v>
      </c>
      <c r="V122" s="73">
        <v>1083274</v>
      </c>
      <c r="W122" s="73">
        <v>1330956</v>
      </c>
      <c r="X122" s="73">
        <v>1536920</v>
      </c>
    </row>
    <row r="123" spans="1:25" customFormat="1" ht="14" x14ac:dyDescent="0.15">
      <c r="A123" s="7" t="s">
        <v>54</v>
      </c>
      <c r="B123" s="63" t="s">
        <v>159</v>
      </c>
      <c r="C123" s="10">
        <v>149387</v>
      </c>
      <c r="D123" s="10">
        <v>220712</v>
      </c>
      <c r="E123" s="10">
        <v>325658</v>
      </c>
      <c r="F123" s="10">
        <v>480049</v>
      </c>
      <c r="G123" s="10">
        <v>680579</v>
      </c>
      <c r="H123" s="10">
        <v>874971</v>
      </c>
      <c r="I123" s="10">
        <v>1339769</v>
      </c>
      <c r="J123" s="10">
        <v>1710205</v>
      </c>
      <c r="K123" s="10">
        <v>2252288</v>
      </c>
      <c r="L123" s="7"/>
      <c r="N123" s="28" t="s">
        <v>28</v>
      </c>
      <c r="O123" s="73">
        <v>33681</v>
      </c>
      <c r="P123" s="73">
        <v>52392</v>
      </c>
      <c r="Q123" s="73">
        <v>69129</v>
      </c>
      <c r="R123" s="73">
        <v>117771</v>
      </c>
      <c r="S123" s="73">
        <v>131301</v>
      </c>
      <c r="T123" s="73">
        <v>159181</v>
      </c>
      <c r="U123" s="73">
        <v>214579</v>
      </c>
      <c r="V123" s="73">
        <v>338992</v>
      </c>
      <c r="W123" s="73">
        <v>396760</v>
      </c>
      <c r="X123" s="73">
        <v>321428</v>
      </c>
      <c r="Y123" s="10">
        <f>X123*(1+((X123/W123)-1))</f>
        <v>260399.1309204557</v>
      </c>
    </row>
    <row r="124" spans="1:25" customFormat="1" x14ac:dyDescent="0.15">
      <c r="A124" s="7" t="s">
        <v>55</v>
      </c>
      <c r="B124" s="63" t="s">
        <v>159</v>
      </c>
      <c r="C124" s="10">
        <v>46404</v>
      </c>
      <c r="D124" s="10">
        <v>70241</v>
      </c>
      <c r="E124" s="10">
        <v>104706</v>
      </c>
      <c r="F124" s="10">
        <v>151683</v>
      </c>
      <c r="G124" s="10">
        <v>224290</v>
      </c>
      <c r="H124" s="10">
        <v>295612</v>
      </c>
      <c r="I124" s="10">
        <v>410686</v>
      </c>
      <c r="J124" s="10">
        <v>452149</v>
      </c>
      <c r="K124" s="10">
        <v>622371</v>
      </c>
      <c r="L124" s="108">
        <f>K124*(1+((K124/J124)-1))</f>
        <v>856677.02823847882</v>
      </c>
      <c r="N124" s="27" t="s">
        <v>206</v>
      </c>
      <c r="O124" s="72">
        <v>-8949</v>
      </c>
      <c r="P124" s="72">
        <v>-9386</v>
      </c>
      <c r="Q124" s="72">
        <v>-12803</v>
      </c>
      <c r="R124" s="72">
        <v>-13777</v>
      </c>
      <c r="S124" s="72">
        <v>-8917</v>
      </c>
      <c r="T124" s="72">
        <v>-8801</v>
      </c>
      <c r="U124" s="72">
        <v>-8389</v>
      </c>
      <c r="V124" s="72">
        <v>-4924</v>
      </c>
      <c r="W124" s="72">
        <v>-11138</v>
      </c>
      <c r="X124" s="72">
        <v>-9897</v>
      </c>
    </row>
    <row r="125" spans="1:25" customFormat="1" x14ac:dyDescent="0.15">
      <c r="A125" s="7" t="s">
        <v>56</v>
      </c>
      <c r="B125" s="63" t="s">
        <v>159</v>
      </c>
      <c r="C125" s="10">
        <v>102983</v>
      </c>
      <c r="D125" s="10">
        <v>150471</v>
      </c>
      <c r="E125" s="10">
        <v>220952</v>
      </c>
      <c r="F125" s="10">
        <v>328366</v>
      </c>
      <c r="G125" s="10">
        <v>456289</v>
      </c>
      <c r="H125" s="10">
        <v>579359</v>
      </c>
      <c r="I125" s="10">
        <v>929083</v>
      </c>
      <c r="J125" s="10">
        <v>1258056</v>
      </c>
      <c r="K125" s="10">
        <v>1629917</v>
      </c>
      <c r="L125" s="7"/>
      <c r="N125" s="27" t="s">
        <v>29</v>
      </c>
      <c r="O125" s="72">
        <v>-8949</v>
      </c>
      <c r="P125" s="72">
        <v>-9386</v>
      </c>
      <c r="Q125" s="72">
        <v>-14616</v>
      </c>
      <c r="R125" s="72">
        <v>-19219</v>
      </c>
      <c r="S125" s="72">
        <v>-8917</v>
      </c>
      <c r="T125" s="72">
        <v>-8801</v>
      </c>
      <c r="U125" s="72">
        <v>-7374</v>
      </c>
      <c r="V125" s="72">
        <v>-4924</v>
      </c>
      <c r="W125" s="72">
        <v>-11138</v>
      </c>
      <c r="X125" s="72">
        <v>-9897</v>
      </c>
    </row>
    <row r="126" spans="1:25" customFormat="1" x14ac:dyDescent="0.15">
      <c r="A126" s="7" t="s">
        <v>57</v>
      </c>
      <c r="B126" s="63" t="s">
        <v>159</v>
      </c>
      <c r="C126" s="10">
        <v>336873</v>
      </c>
      <c r="D126" s="10">
        <v>336841</v>
      </c>
      <c r="E126" s="10">
        <v>336809</v>
      </c>
      <c r="F126" s="10">
        <v>336777</v>
      </c>
      <c r="G126" s="10">
        <v>336746</v>
      </c>
      <c r="H126" s="10">
        <v>336716</v>
      </c>
      <c r="I126" s="10">
        <v>407408</v>
      </c>
      <c r="J126" s="10">
        <v>407826</v>
      </c>
      <c r="K126" s="10">
        <v>411809</v>
      </c>
      <c r="L126" s="7"/>
      <c r="N126" s="27" t="s">
        <v>30</v>
      </c>
      <c r="O126" s="72">
        <v>24732</v>
      </c>
      <c r="P126" s="72">
        <v>43006</v>
      </c>
      <c r="Q126" s="72">
        <v>54513</v>
      </c>
      <c r="R126" s="72">
        <v>98552</v>
      </c>
      <c r="S126" s="72">
        <v>122384</v>
      </c>
      <c r="T126" s="72">
        <v>150380</v>
      </c>
      <c r="U126" s="72">
        <v>207205</v>
      </c>
      <c r="V126" s="72">
        <v>334068</v>
      </c>
      <c r="W126" s="72">
        <v>385622</v>
      </c>
      <c r="X126" s="72">
        <v>311531</v>
      </c>
    </row>
    <row r="127" spans="1:25" customFormat="1" x14ac:dyDescent="0.15">
      <c r="A127" s="7" t="s">
        <v>58</v>
      </c>
      <c r="B127" s="63" t="s">
        <v>159</v>
      </c>
      <c r="C127" s="10">
        <v>3842</v>
      </c>
      <c r="D127" s="10">
        <v>7639</v>
      </c>
      <c r="E127" s="10">
        <v>7019</v>
      </c>
      <c r="F127" s="10">
        <v>9490</v>
      </c>
      <c r="G127" s="10">
        <v>829788</v>
      </c>
      <c r="H127" s="10">
        <v>923894</v>
      </c>
      <c r="I127" s="10">
        <v>1111027</v>
      </c>
      <c r="J127" s="10">
        <v>1216610</v>
      </c>
      <c r="K127" s="10">
        <v>1289957</v>
      </c>
      <c r="L127" s="7"/>
      <c r="N127" s="27" t="s">
        <v>31</v>
      </c>
      <c r="O127" s="72">
        <v>9634</v>
      </c>
      <c r="P127" s="72">
        <v>16199</v>
      </c>
      <c r="Q127" s="72">
        <v>11474</v>
      </c>
      <c r="R127" s="72">
        <v>-4236</v>
      </c>
      <c r="S127" s="72">
        <v>6197</v>
      </c>
      <c r="T127" s="72">
        <v>-251</v>
      </c>
      <c r="U127" s="72">
        <v>12224</v>
      </c>
      <c r="V127" s="72">
        <v>50838</v>
      </c>
      <c r="W127" s="72">
        <v>87427</v>
      </c>
      <c r="X127" s="72">
        <v>65551</v>
      </c>
    </row>
    <row r="128" spans="1:25" s="75" customFormat="1" ht="14" x14ac:dyDescent="0.15">
      <c r="A128" s="12" t="s">
        <v>59</v>
      </c>
      <c r="B128" s="64" t="s">
        <v>159</v>
      </c>
      <c r="C128" s="13">
        <v>748888</v>
      </c>
      <c r="D128" s="13">
        <v>831166</v>
      </c>
      <c r="E128" s="13">
        <v>1067992</v>
      </c>
      <c r="F128" s="13">
        <v>1234091</v>
      </c>
      <c r="G128" s="13">
        <v>2324309</v>
      </c>
      <c r="H128" s="13">
        <v>2880425</v>
      </c>
      <c r="I128" s="13">
        <v>3730695</v>
      </c>
      <c r="J128" s="13">
        <v>4351242</v>
      </c>
      <c r="K128" s="13">
        <v>4662550</v>
      </c>
      <c r="L128" s="12"/>
      <c r="N128" s="28" t="s">
        <v>32</v>
      </c>
      <c r="O128" s="73">
        <v>15098</v>
      </c>
      <c r="P128" s="73">
        <v>26807</v>
      </c>
      <c r="Q128" s="73">
        <v>43039</v>
      </c>
      <c r="R128" s="73">
        <v>102788</v>
      </c>
      <c r="S128" s="73">
        <v>116187</v>
      </c>
      <c r="T128" s="73">
        <v>150631</v>
      </c>
      <c r="U128" s="73">
        <v>194981</v>
      </c>
      <c r="V128" s="73">
        <v>283230</v>
      </c>
      <c r="W128" s="73">
        <v>298195</v>
      </c>
      <c r="X128" s="73">
        <v>245980</v>
      </c>
      <c r="Y128" s="10">
        <f>AVERAGE(W128:X128)</f>
        <v>272087.5</v>
      </c>
    </row>
    <row r="129" spans="1:24" customFormat="1" x14ac:dyDescent="0.15">
      <c r="A129" s="7" t="s">
        <v>60</v>
      </c>
      <c r="B129" s="63" t="s">
        <v>159</v>
      </c>
      <c r="C129" s="10">
        <v>183162</v>
      </c>
      <c r="D129" s="10">
        <v>219971</v>
      </c>
      <c r="E129" s="10">
        <v>333277</v>
      </c>
      <c r="F129" s="10">
        <v>387312</v>
      </c>
      <c r="G129" s="10">
        <v>461867</v>
      </c>
      <c r="H129" s="10">
        <v>566670</v>
      </c>
      <c r="I129" s="10">
        <v>896048</v>
      </c>
      <c r="J129" s="10">
        <v>856185</v>
      </c>
      <c r="K129" s="10">
        <v>990555</v>
      </c>
      <c r="L129" s="7"/>
      <c r="N129" s="27" t="s">
        <v>34</v>
      </c>
      <c r="O129" s="72">
        <v>15098</v>
      </c>
      <c r="P129" s="72">
        <v>26807</v>
      </c>
      <c r="Q129" s="72">
        <v>43039</v>
      </c>
      <c r="R129" s="72">
        <v>102788</v>
      </c>
      <c r="S129" s="72">
        <v>116187</v>
      </c>
      <c r="T129" s="72">
        <v>150631</v>
      </c>
      <c r="U129" s="72">
        <v>194981</v>
      </c>
      <c r="V129" s="72">
        <v>283230</v>
      </c>
      <c r="W129" s="72">
        <v>298195</v>
      </c>
      <c r="X129" s="72">
        <v>245980</v>
      </c>
    </row>
    <row r="130" spans="1:24" customFormat="1" x14ac:dyDescent="0.15">
      <c r="A130" s="7" t="s">
        <v>61</v>
      </c>
      <c r="B130" s="63" t="s">
        <v>159</v>
      </c>
      <c r="C130" s="10">
        <v>147321</v>
      </c>
      <c r="D130" s="10">
        <v>158466</v>
      </c>
      <c r="E130" s="10">
        <v>258730</v>
      </c>
      <c r="F130" s="10">
        <v>313503</v>
      </c>
      <c r="G130" s="10">
        <v>368459</v>
      </c>
      <c r="H130" s="10">
        <v>417898</v>
      </c>
      <c r="I130" s="10">
        <v>661883</v>
      </c>
      <c r="J130" s="10">
        <v>590883</v>
      </c>
      <c r="K130" s="10">
        <v>679265</v>
      </c>
      <c r="L130" s="7"/>
      <c r="N130" s="27" t="s">
        <v>35</v>
      </c>
      <c r="O130" s="72">
        <v>83222.33</v>
      </c>
      <c r="P130" s="72">
        <v>83365.217999999993</v>
      </c>
      <c r="Q130" s="72">
        <v>83432.157000000007</v>
      </c>
      <c r="R130" s="72">
        <v>90951</v>
      </c>
      <c r="S130" s="72">
        <v>96770</v>
      </c>
      <c r="T130" s="72">
        <v>99435</v>
      </c>
      <c r="U130" s="72">
        <v>102690</v>
      </c>
      <c r="V130" s="72">
        <v>104683</v>
      </c>
      <c r="W130" s="72">
        <v>105626</v>
      </c>
      <c r="X130" s="72">
        <v>106264</v>
      </c>
    </row>
    <row r="131" spans="1:24" customFormat="1" x14ac:dyDescent="0.15">
      <c r="A131" s="7" t="s">
        <v>62</v>
      </c>
      <c r="B131" s="63" t="s">
        <v>159</v>
      </c>
      <c r="C131" s="10">
        <v>35841</v>
      </c>
      <c r="D131" s="10">
        <v>61505</v>
      </c>
      <c r="E131" s="10">
        <v>74547</v>
      </c>
      <c r="F131" s="10">
        <v>73809</v>
      </c>
      <c r="G131" s="10">
        <v>93408</v>
      </c>
      <c r="H131" s="10">
        <v>148772</v>
      </c>
      <c r="I131" s="10">
        <v>234165</v>
      </c>
      <c r="J131" s="10">
        <v>265302</v>
      </c>
      <c r="K131" s="10">
        <v>311290</v>
      </c>
      <c r="L131" s="7"/>
      <c r="N131" s="27" t="s">
        <v>36</v>
      </c>
      <c r="O131" s="72">
        <v>0.18</v>
      </c>
      <c r="P131" s="72">
        <v>0.32</v>
      </c>
      <c r="Q131" s="72">
        <v>0.52</v>
      </c>
      <c r="R131" s="72">
        <v>1.1299999999999999</v>
      </c>
      <c r="S131" s="72">
        <v>1.2</v>
      </c>
      <c r="T131" s="72">
        <v>1.51</v>
      </c>
      <c r="U131" s="72">
        <v>1.9</v>
      </c>
      <c r="V131" s="72">
        <v>2.71</v>
      </c>
      <c r="W131" s="72">
        <v>2.82</v>
      </c>
      <c r="X131" s="72">
        <v>2.31</v>
      </c>
    </row>
    <row r="132" spans="1:24" customFormat="1" x14ac:dyDescent="0.15">
      <c r="A132" s="7" t="s">
        <v>63</v>
      </c>
      <c r="B132" s="63" t="s">
        <v>159</v>
      </c>
      <c r="C132" s="10">
        <v>1267</v>
      </c>
      <c r="D132" s="10">
        <v>3500</v>
      </c>
      <c r="E132" s="10">
        <v>3500</v>
      </c>
      <c r="F132" s="10">
        <v>3500</v>
      </c>
      <c r="G132" s="63" t="s">
        <v>159</v>
      </c>
      <c r="H132" s="10">
        <v>1647</v>
      </c>
      <c r="I132" s="10">
        <v>2103</v>
      </c>
      <c r="J132" s="10">
        <v>2103</v>
      </c>
      <c r="K132" s="10">
        <v>2103</v>
      </c>
      <c r="L132" s="7"/>
      <c r="N132" s="27" t="s">
        <v>37</v>
      </c>
      <c r="O132" s="72">
        <v>0.18</v>
      </c>
      <c r="P132" s="72">
        <v>0.32</v>
      </c>
      <c r="Q132" s="72">
        <v>0.52</v>
      </c>
      <c r="R132" s="72">
        <v>1.1299999999999999</v>
      </c>
      <c r="S132" s="72">
        <v>1.2</v>
      </c>
      <c r="T132" s="72">
        <v>1.51</v>
      </c>
      <c r="U132" s="72">
        <v>1.9</v>
      </c>
      <c r="V132" s="72">
        <v>2.71</v>
      </c>
      <c r="W132" s="72">
        <v>2.82</v>
      </c>
      <c r="X132" s="72">
        <v>2.31</v>
      </c>
    </row>
    <row r="133" spans="1:24" customFormat="1" x14ac:dyDescent="0.15">
      <c r="A133" s="7" t="s">
        <v>64</v>
      </c>
      <c r="B133" s="63" t="s">
        <v>159</v>
      </c>
      <c r="C133" s="10">
        <v>12145</v>
      </c>
      <c r="D133" s="10">
        <v>20243</v>
      </c>
      <c r="E133" s="10">
        <v>22523</v>
      </c>
      <c r="F133" s="10">
        <v>13473</v>
      </c>
      <c r="G133" s="10">
        <v>90674</v>
      </c>
      <c r="H133" s="10">
        <v>130519</v>
      </c>
      <c r="I133" s="10">
        <v>133864</v>
      </c>
      <c r="J133" s="10">
        <v>148470</v>
      </c>
      <c r="K133" s="10">
        <v>159355</v>
      </c>
      <c r="L133" s="7"/>
      <c r="N133" s="27" t="s">
        <v>38</v>
      </c>
      <c r="O133" s="72">
        <v>85651.748999999996</v>
      </c>
      <c r="P133" s="72">
        <v>86280.907000000007</v>
      </c>
      <c r="Q133" s="72">
        <v>88430.986999999994</v>
      </c>
      <c r="R133" s="72">
        <v>99660</v>
      </c>
      <c r="S133" s="72">
        <v>104561</v>
      </c>
      <c r="T133" s="72">
        <v>104962</v>
      </c>
      <c r="U133" s="72">
        <v>106142</v>
      </c>
      <c r="V133" s="72">
        <v>107390</v>
      </c>
      <c r="W133" s="72">
        <v>107443</v>
      </c>
      <c r="X133" s="72">
        <v>107882</v>
      </c>
    </row>
    <row r="134" spans="1:24" s="75" customFormat="1" ht="14" x14ac:dyDescent="0.15">
      <c r="A134" s="12" t="s">
        <v>65</v>
      </c>
      <c r="B134" s="64" t="s">
        <v>159</v>
      </c>
      <c r="C134" s="13">
        <v>196574</v>
      </c>
      <c r="D134" s="13">
        <v>243714</v>
      </c>
      <c r="E134" s="13">
        <v>359300</v>
      </c>
      <c r="F134" s="13">
        <v>404285</v>
      </c>
      <c r="G134" s="13">
        <v>552541</v>
      </c>
      <c r="H134" s="13">
        <v>698836</v>
      </c>
      <c r="I134" s="13">
        <v>1032015</v>
      </c>
      <c r="J134" s="13">
        <v>1006758</v>
      </c>
      <c r="K134" s="13">
        <v>1152013</v>
      </c>
      <c r="L134" s="12"/>
      <c r="N134" s="27" t="s">
        <v>39</v>
      </c>
      <c r="O134" s="72">
        <v>0.18</v>
      </c>
      <c r="P134" s="72">
        <v>0.31</v>
      </c>
      <c r="Q134" s="72">
        <v>0.49</v>
      </c>
      <c r="R134" s="72">
        <v>1.03</v>
      </c>
      <c r="S134" s="72">
        <v>1.1100000000000001</v>
      </c>
      <c r="T134" s="72">
        <v>1.44</v>
      </c>
      <c r="U134" s="72">
        <v>1.84</v>
      </c>
      <c r="V134" s="72">
        <v>2.64</v>
      </c>
      <c r="W134" s="72">
        <v>2.78</v>
      </c>
      <c r="X134" s="72">
        <v>2.2799999999999998</v>
      </c>
    </row>
    <row r="135" spans="1:24" customFormat="1" x14ac:dyDescent="0.15">
      <c r="A135" s="7" t="s">
        <v>66</v>
      </c>
      <c r="B135" s="63" t="s">
        <v>159</v>
      </c>
      <c r="C135" s="10">
        <v>176323</v>
      </c>
      <c r="D135" s="10">
        <v>387243</v>
      </c>
      <c r="E135" s="10">
        <v>185562</v>
      </c>
      <c r="F135" s="10">
        <v>141834</v>
      </c>
      <c r="G135" s="10">
        <v>142606</v>
      </c>
      <c r="H135" s="10">
        <v>207157</v>
      </c>
      <c r="I135" s="10">
        <v>195762</v>
      </c>
      <c r="J135" s="10">
        <v>405551</v>
      </c>
      <c r="K135" s="10">
        <v>194939</v>
      </c>
      <c r="L135" s="7"/>
      <c r="N135" s="27" t="s">
        <v>40</v>
      </c>
      <c r="O135" s="72">
        <v>0.18</v>
      </c>
      <c r="P135" s="72">
        <v>0.31</v>
      </c>
      <c r="Q135" s="72">
        <v>0.49</v>
      </c>
      <c r="R135" s="72">
        <v>1.03</v>
      </c>
      <c r="S135" s="72">
        <v>1.1100000000000001</v>
      </c>
      <c r="T135" s="72">
        <v>1.44</v>
      </c>
      <c r="U135" s="72">
        <v>1.84</v>
      </c>
      <c r="V135" s="72">
        <v>2.64</v>
      </c>
      <c r="W135" s="72">
        <v>2.78</v>
      </c>
      <c r="X135" s="72">
        <v>2.2799999999999998</v>
      </c>
    </row>
    <row r="136" spans="1:24" customFormat="1" x14ac:dyDescent="0.15">
      <c r="A136" s="7" t="s">
        <v>67</v>
      </c>
      <c r="B136" s="63" t="s">
        <v>159</v>
      </c>
      <c r="C136" s="10">
        <v>46798</v>
      </c>
      <c r="D136" s="10">
        <v>45015</v>
      </c>
      <c r="E136" s="10">
        <v>52788</v>
      </c>
      <c r="F136" s="10">
        <v>63818</v>
      </c>
      <c r="G136" s="10">
        <v>18378</v>
      </c>
      <c r="H136" s="10">
        <v>27990</v>
      </c>
      <c r="I136" s="10">
        <v>40958</v>
      </c>
      <c r="J136" s="10">
        <v>41520</v>
      </c>
      <c r="K136" s="10">
        <v>67188</v>
      </c>
      <c r="L136" s="7"/>
      <c r="N136" s="27" t="s">
        <v>41</v>
      </c>
      <c r="O136" s="72">
        <v>83333.717999999993</v>
      </c>
      <c r="P136" s="72">
        <v>83373.206999999995</v>
      </c>
      <c r="Q136" s="72">
        <v>83518.346999999994</v>
      </c>
      <c r="R136" s="72">
        <v>95509.179000000004</v>
      </c>
      <c r="S136" s="72">
        <v>97588.539000000004</v>
      </c>
      <c r="T136" s="72">
        <v>101457.85799999999</v>
      </c>
      <c r="U136" s="72">
        <v>104368.212</v>
      </c>
      <c r="V136" s="72">
        <v>105760.65</v>
      </c>
      <c r="W136" s="72">
        <v>106150.66099999999</v>
      </c>
      <c r="X136" s="72">
        <v>106737.53200000001</v>
      </c>
    </row>
    <row r="137" spans="1:24" customFormat="1" x14ac:dyDescent="0.15">
      <c r="A137" s="7" t="s">
        <v>68</v>
      </c>
      <c r="B137" s="63" t="s">
        <v>159</v>
      </c>
      <c r="C137" s="10">
        <v>16828</v>
      </c>
      <c r="D137" s="10">
        <v>20911</v>
      </c>
      <c r="E137" s="10">
        <v>27482</v>
      </c>
      <c r="F137" s="10">
        <v>39845</v>
      </c>
      <c r="G137" s="10">
        <v>846448</v>
      </c>
      <c r="H137" s="10">
        <v>949054</v>
      </c>
      <c r="I137" s="10">
        <v>1138761</v>
      </c>
      <c r="J137" s="10">
        <v>1240237</v>
      </c>
      <c r="K137" s="10">
        <v>1317420</v>
      </c>
      <c r="L137" s="7"/>
    </row>
    <row r="138" spans="1:24" s="75" customFormat="1" ht="14" x14ac:dyDescent="0.15">
      <c r="A138" s="12" t="s">
        <v>69</v>
      </c>
      <c r="B138" s="64" t="s">
        <v>159</v>
      </c>
      <c r="C138" s="13">
        <v>436523</v>
      </c>
      <c r="D138" s="13">
        <v>696883</v>
      </c>
      <c r="E138" s="13">
        <v>625132</v>
      </c>
      <c r="F138" s="13">
        <v>649782</v>
      </c>
      <c r="G138" s="13">
        <v>1559973</v>
      </c>
      <c r="H138" s="13">
        <v>1883037</v>
      </c>
      <c r="I138" s="13">
        <v>2407496</v>
      </c>
      <c r="J138" s="13">
        <v>2694066</v>
      </c>
      <c r="K138" s="13">
        <v>2731560</v>
      </c>
      <c r="L138" s="12"/>
    </row>
    <row r="139" spans="1:24" customFormat="1" x14ac:dyDescent="0.15">
      <c r="A139" s="7" t="s">
        <v>70</v>
      </c>
      <c r="B139" s="63" t="s">
        <v>159</v>
      </c>
      <c r="C139" s="10">
        <v>83</v>
      </c>
      <c r="D139" s="10">
        <v>83</v>
      </c>
      <c r="E139" s="10">
        <v>96</v>
      </c>
      <c r="F139" s="10">
        <v>98</v>
      </c>
      <c r="G139" s="10">
        <v>101</v>
      </c>
      <c r="H139" s="10">
        <v>104</v>
      </c>
      <c r="I139" s="10">
        <v>106</v>
      </c>
      <c r="J139" s="10">
        <v>106</v>
      </c>
      <c r="K139" s="10">
        <v>107</v>
      </c>
      <c r="L139" s="7"/>
    </row>
    <row r="140" spans="1:24" customFormat="1" x14ac:dyDescent="0.15">
      <c r="A140" s="7" t="s">
        <v>71</v>
      </c>
      <c r="B140" s="63" t="s">
        <v>159</v>
      </c>
      <c r="C140" s="10">
        <v>264288</v>
      </c>
      <c r="D140" s="10">
        <v>117270</v>
      </c>
      <c r="E140" s="10">
        <v>323419</v>
      </c>
      <c r="F140" s="10">
        <v>340462</v>
      </c>
      <c r="G140" s="10">
        <v>370413</v>
      </c>
      <c r="H140" s="10">
        <v>408124</v>
      </c>
      <c r="I140" s="10">
        <v>450332</v>
      </c>
      <c r="J140" s="10">
        <v>482312</v>
      </c>
      <c r="K140" s="10">
        <v>513060</v>
      </c>
      <c r="L140" s="7"/>
    </row>
    <row r="141" spans="1:24" customFormat="1" x14ac:dyDescent="0.15">
      <c r="A141" s="7" t="s">
        <v>72</v>
      </c>
      <c r="B141" s="63" t="s">
        <v>159</v>
      </c>
      <c r="C141" s="10">
        <v>48094</v>
      </c>
      <c r="D141" s="10">
        <v>16754</v>
      </c>
      <c r="E141" s="10">
        <v>119550</v>
      </c>
      <c r="F141" s="10">
        <v>243563</v>
      </c>
      <c r="G141" s="10">
        <v>394015</v>
      </c>
      <c r="H141" s="10">
        <v>588996</v>
      </c>
      <c r="I141" s="10">
        <v>872226</v>
      </c>
      <c r="J141" s="10">
        <v>1170421</v>
      </c>
      <c r="K141" s="10">
        <v>1416401</v>
      </c>
      <c r="L141" s="7"/>
    </row>
    <row r="142" spans="1:24" customFormat="1" x14ac:dyDescent="0.15">
      <c r="A142" s="7" t="s">
        <v>73</v>
      </c>
      <c r="B142" s="63" t="s">
        <v>159</v>
      </c>
      <c r="C142" s="10">
        <v>-100</v>
      </c>
      <c r="D142" s="10">
        <v>176</v>
      </c>
      <c r="E142" s="10">
        <v>-205</v>
      </c>
      <c r="F142" s="10">
        <v>186</v>
      </c>
      <c r="G142" s="10">
        <v>-193</v>
      </c>
      <c r="H142" s="10">
        <v>164</v>
      </c>
      <c r="I142" s="10">
        <v>535</v>
      </c>
      <c r="J142" s="10">
        <v>4337</v>
      </c>
      <c r="K142" s="10">
        <v>1422</v>
      </c>
      <c r="L142" s="7"/>
    </row>
    <row r="143" spans="1:24" customFormat="1" x14ac:dyDescent="0.15">
      <c r="A143" s="7" t="s">
        <v>75</v>
      </c>
      <c r="B143" s="63" t="s">
        <v>159</v>
      </c>
      <c r="C143" s="10">
        <v>312365</v>
      </c>
      <c r="D143" s="10">
        <v>134283</v>
      </c>
      <c r="E143" s="10">
        <v>442860</v>
      </c>
      <c r="F143" s="10">
        <v>584309</v>
      </c>
      <c r="G143" s="10">
        <v>764336</v>
      </c>
      <c r="H143" s="10">
        <v>997388</v>
      </c>
      <c r="I143" s="10">
        <v>1323199</v>
      </c>
      <c r="J143" s="10">
        <v>1657176</v>
      </c>
      <c r="K143" s="10">
        <v>1930990</v>
      </c>
      <c r="L143" s="108">
        <f>K143*(1+((K143/J143)-1))</f>
        <v>2250046.090517845</v>
      </c>
    </row>
    <row r="144" spans="1:24" s="75" customFormat="1" ht="14" x14ac:dyDescent="0.15">
      <c r="A144" s="12" t="s">
        <v>76</v>
      </c>
      <c r="B144" s="64" t="s">
        <v>159</v>
      </c>
      <c r="C144" s="13">
        <v>748888</v>
      </c>
      <c r="D144" s="13">
        <v>831166</v>
      </c>
      <c r="E144" s="13">
        <v>1067992</v>
      </c>
      <c r="F144" s="13">
        <v>1234091</v>
      </c>
      <c r="G144" s="13">
        <v>2324309</v>
      </c>
      <c r="H144" s="13">
        <v>2880425</v>
      </c>
      <c r="I144" s="13">
        <v>3730695</v>
      </c>
      <c r="J144" s="13">
        <v>4351242</v>
      </c>
      <c r="K144" s="13">
        <v>4662550</v>
      </c>
      <c r="L144" s="1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N44"/>
  <sheetViews>
    <sheetView zoomScale="140" zoomScaleNormal="140" workbookViewId="0">
      <selection activeCell="C15" sqref="C15"/>
    </sheetView>
  </sheetViews>
  <sheetFormatPr baseColWidth="10" defaultColWidth="8.83203125" defaultRowHeight="13" x14ac:dyDescent="0.15"/>
  <cols>
    <col min="1" max="1" width="52.33203125" customWidth="1"/>
    <col min="2" max="4" width="13.6640625" bestFit="1" customWidth="1"/>
    <col min="5" max="12" width="14.6640625" bestFit="1" customWidth="1"/>
    <col min="13" max="191" width="12" customWidth="1"/>
  </cols>
  <sheetData>
    <row r="4" spans="1:14" x14ac:dyDescent="0.15">
      <c r="A4" s="1" t="s">
        <v>0</v>
      </c>
    </row>
    <row r="5" spans="1:14" ht="20" x14ac:dyDescent="0.2">
      <c r="A5" s="2" t="s">
        <v>1</v>
      </c>
    </row>
    <row r="7" spans="1:14" ht="14" x14ac:dyDescent="0.15">
      <c r="A7" s="3" t="s">
        <v>2</v>
      </c>
    </row>
    <row r="10" spans="1:14" ht="14" x14ac:dyDescent="0.15">
      <c r="A10" s="4" t="s">
        <v>3</v>
      </c>
    </row>
    <row r="11" spans="1:14" ht="14" x14ac:dyDescent="0.15">
      <c r="A11" s="5" t="s">
        <v>4</v>
      </c>
      <c r="B11" s="6" t="s">
        <v>14</v>
      </c>
      <c r="C11" s="6" t="s">
        <v>13</v>
      </c>
      <c r="D11" s="6" t="s">
        <v>12</v>
      </c>
      <c r="E11" s="6" t="s">
        <v>11</v>
      </c>
      <c r="F11" s="6" t="s">
        <v>10</v>
      </c>
      <c r="G11" s="6" t="s">
        <v>9</v>
      </c>
      <c r="H11" s="6" t="s">
        <v>8</v>
      </c>
      <c r="I11" s="6" t="s">
        <v>7</v>
      </c>
      <c r="J11" s="6" t="s">
        <v>6</v>
      </c>
      <c r="K11" s="6" t="s">
        <v>5</v>
      </c>
      <c r="L11" s="5"/>
    </row>
    <row r="12" spans="1:14" ht="14" x14ac:dyDescent="0.15">
      <c r="A12" s="5" t="s">
        <v>15</v>
      </c>
      <c r="B12" s="6" t="s">
        <v>16</v>
      </c>
      <c r="C12" s="6" t="s">
        <v>16</v>
      </c>
      <c r="D12" s="6" t="s">
        <v>16</v>
      </c>
      <c r="E12" s="6" t="s">
        <v>16</v>
      </c>
      <c r="F12" s="6" t="s">
        <v>16</v>
      </c>
      <c r="G12" s="6" t="s">
        <v>16</v>
      </c>
      <c r="H12" s="6" t="s">
        <v>16</v>
      </c>
      <c r="I12" s="6" t="s">
        <v>16</v>
      </c>
      <c r="J12" s="6" t="s">
        <v>16</v>
      </c>
      <c r="K12" s="6" t="s">
        <v>16</v>
      </c>
      <c r="L12" s="5"/>
    </row>
    <row r="13" spans="1:14" ht="14" x14ac:dyDescent="0.15">
      <c r="A13" s="5" t="s">
        <v>17</v>
      </c>
      <c r="B13" s="6" t="s">
        <v>18</v>
      </c>
      <c r="C13" s="6" t="s">
        <v>18</v>
      </c>
      <c r="D13" s="6" t="s">
        <v>18</v>
      </c>
      <c r="E13" s="6" t="s">
        <v>18</v>
      </c>
      <c r="F13" s="6" t="s">
        <v>18</v>
      </c>
      <c r="G13" s="6" t="s">
        <v>18</v>
      </c>
      <c r="H13" s="6" t="s">
        <v>18</v>
      </c>
      <c r="I13" s="6" t="s">
        <v>18</v>
      </c>
      <c r="J13" s="6" t="s">
        <v>18</v>
      </c>
      <c r="K13" s="6" t="s">
        <v>18</v>
      </c>
      <c r="L13" s="5"/>
    </row>
    <row r="14" spans="1:14" ht="14" x14ac:dyDescent="0.15">
      <c r="A14" s="5" t="s">
        <v>19</v>
      </c>
      <c r="B14" s="6" t="s">
        <v>20</v>
      </c>
      <c r="C14" s="6" t="s">
        <v>20</v>
      </c>
      <c r="D14" s="6" t="s">
        <v>20</v>
      </c>
      <c r="E14" s="6" t="s">
        <v>20</v>
      </c>
      <c r="F14" s="6" t="s">
        <v>20</v>
      </c>
      <c r="G14" s="6" t="s">
        <v>20</v>
      </c>
      <c r="H14" s="6" t="s">
        <v>20</v>
      </c>
      <c r="I14" s="6" t="s">
        <v>20</v>
      </c>
      <c r="J14" s="6" t="s">
        <v>20</v>
      </c>
      <c r="K14" s="6" t="s">
        <v>20</v>
      </c>
      <c r="L14" s="5"/>
    </row>
    <row r="15" spans="1:14" x14ac:dyDescent="0.15">
      <c r="A15" s="15" t="s">
        <v>45</v>
      </c>
      <c r="B15" s="6"/>
      <c r="C15" s="16">
        <f>C20/B20-1</f>
        <v>6.4237279984610929E-2</v>
      </c>
      <c r="D15" s="16">
        <f t="shared" ref="D15:K15" si="0">D20/C20-1</f>
        <v>6.8640630825020699E-2</v>
      </c>
      <c r="E15" s="16">
        <f t="shared" si="0"/>
        <v>6.6694857022041365E-2</v>
      </c>
      <c r="F15" s="16">
        <f t="shared" si="0"/>
        <v>7.2336081820344011E-2</v>
      </c>
      <c r="G15" s="16">
        <f t="shared" si="0"/>
        <v>1.8687097400256869E-2</v>
      </c>
      <c r="H15" s="16">
        <f t="shared" si="0"/>
        <v>0.19854842367883885</v>
      </c>
      <c r="I15" s="16">
        <f t="shared" si="0"/>
        <v>0.14417530845507542</v>
      </c>
      <c r="J15" s="16">
        <f t="shared" si="0"/>
        <v>4.1321275230389531E-2</v>
      </c>
      <c r="K15" s="16">
        <f t="shared" si="0"/>
        <v>-3.0075665648049865E-2</v>
      </c>
      <c r="L15" s="17">
        <f>AVERAGE(C15:K15)</f>
        <v>7.1618365418725308E-2</v>
      </c>
    </row>
    <row r="16" spans="1:14" x14ac:dyDescent="0.15">
      <c r="A16" s="107" t="s">
        <v>175</v>
      </c>
      <c r="B16" s="80">
        <v>2.9000000000000001E-2</v>
      </c>
      <c r="C16" s="80">
        <v>1.7999999999999999E-2</v>
      </c>
      <c r="D16" s="80">
        <v>2.5000000000000001E-2</v>
      </c>
      <c r="E16" s="80">
        <v>0.03</v>
      </c>
      <c r="F16" s="80">
        <v>2.5999999999999999E-2</v>
      </c>
      <c r="G16" s="80">
        <v>-2.1999999999999999E-2</v>
      </c>
      <c r="H16" s="80">
        <v>6.0999999999999999E-2</v>
      </c>
      <c r="I16" s="80">
        <v>2.5000000000000001E-2</v>
      </c>
      <c r="J16" s="80">
        <v>2.9000000000000001E-2</v>
      </c>
      <c r="K16" s="80">
        <v>2.3E-2</v>
      </c>
      <c r="L16" s="81">
        <f>AVERAGE(B16:K16)</f>
        <v>2.4399999999999998E-2</v>
      </c>
      <c r="M16" s="38"/>
      <c r="N16" s="82"/>
    </row>
    <row r="17" spans="1:13" x14ac:dyDescent="0.15">
      <c r="A17" s="107" t="s">
        <v>176</v>
      </c>
      <c r="B17" s="6"/>
      <c r="C17" s="80">
        <f>C15-C16</f>
        <v>4.6237279984610927E-2</v>
      </c>
      <c r="D17" s="80">
        <f t="shared" ref="D17:K17" si="1">D15-D16</f>
        <v>4.3640630825020697E-2</v>
      </c>
      <c r="E17" s="80">
        <f t="shared" si="1"/>
        <v>3.6694857022041366E-2</v>
      </c>
      <c r="F17" s="80">
        <f t="shared" si="1"/>
        <v>4.6336081820344016E-2</v>
      </c>
      <c r="G17" s="80">
        <f t="shared" si="1"/>
        <v>4.0687097400256868E-2</v>
      </c>
      <c r="H17" s="80">
        <f t="shared" si="1"/>
        <v>0.13754842367883885</v>
      </c>
      <c r="I17" s="80">
        <f t="shared" si="1"/>
        <v>0.11917530845507543</v>
      </c>
      <c r="J17" s="80">
        <f t="shared" si="1"/>
        <v>1.232127523038953E-2</v>
      </c>
      <c r="K17" s="80">
        <f t="shared" si="1"/>
        <v>-5.3075665648049865E-2</v>
      </c>
      <c r="L17" s="17">
        <f>ROUNDDOWN(AVERAGE(C17:K17),2)</f>
        <v>0.04</v>
      </c>
      <c r="M17" s="38"/>
    </row>
    <row r="18" spans="1:13" ht="14" x14ac:dyDescent="0.15">
      <c r="A18" s="5" t="s">
        <v>21</v>
      </c>
      <c r="B18" s="6" t="s">
        <v>22</v>
      </c>
      <c r="C18" s="6" t="s">
        <v>22</v>
      </c>
      <c r="D18" s="6" t="s">
        <v>22</v>
      </c>
      <c r="E18" s="6" t="s">
        <v>22</v>
      </c>
      <c r="F18" s="6" t="s">
        <v>22</v>
      </c>
      <c r="G18" s="6" t="s">
        <v>22</v>
      </c>
      <c r="H18" s="6" t="s">
        <v>22</v>
      </c>
      <c r="I18" s="6" t="s">
        <v>22</v>
      </c>
      <c r="J18" s="6" t="s">
        <v>22</v>
      </c>
      <c r="K18" s="6" t="s">
        <v>22</v>
      </c>
      <c r="L18" s="5"/>
    </row>
    <row r="19" spans="1:13" x14ac:dyDescent="0.15">
      <c r="A19" s="7" t="s">
        <v>23</v>
      </c>
      <c r="B19" s="10">
        <v>83176000</v>
      </c>
      <c r="C19" s="10">
        <v>88519000</v>
      </c>
      <c r="D19" s="10">
        <v>94595000</v>
      </c>
      <c r="E19" s="10">
        <v>100904000</v>
      </c>
      <c r="F19" s="10">
        <v>108203000</v>
      </c>
      <c r="G19" s="10">
        <v>110225000</v>
      </c>
      <c r="H19" s="10">
        <v>132110000</v>
      </c>
      <c r="I19" s="10">
        <v>151157000</v>
      </c>
      <c r="J19" s="10">
        <v>157403000</v>
      </c>
      <c r="K19" s="10">
        <v>152669000</v>
      </c>
      <c r="L19" s="7"/>
    </row>
    <row r="20" spans="1:13" ht="14" x14ac:dyDescent="0.15">
      <c r="A20" s="12" t="s">
        <v>24</v>
      </c>
      <c r="B20" s="13">
        <v>83176000</v>
      </c>
      <c r="C20" s="13">
        <v>88519000</v>
      </c>
      <c r="D20" s="13">
        <v>94595000</v>
      </c>
      <c r="E20" s="13">
        <v>100904000</v>
      </c>
      <c r="F20" s="13">
        <v>108203000</v>
      </c>
      <c r="G20" s="13">
        <v>110225000</v>
      </c>
      <c r="H20" s="13">
        <v>132110000</v>
      </c>
      <c r="I20" s="13">
        <v>151157000</v>
      </c>
      <c r="J20" s="13">
        <v>157403000</v>
      </c>
      <c r="K20" s="13">
        <v>152669000</v>
      </c>
      <c r="L20" s="112">
        <f>AVERAGE(B20:K20)</f>
        <v>117896100</v>
      </c>
    </row>
    <row r="21" spans="1:13" x14ac:dyDescent="0.15">
      <c r="A21" s="11" t="s">
        <v>42</v>
      </c>
      <c r="B21" s="10">
        <v>54222000</v>
      </c>
      <c r="C21" s="10">
        <v>58254000</v>
      </c>
      <c r="D21" s="10">
        <v>62282000</v>
      </c>
      <c r="E21" s="10">
        <v>66548000</v>
      </c>
      <c r="F21" s="10">
        <v>71043000</v>
      </c>
      <c r="G21" s="10">
        <v>72653000</v>
      </c>
      <c r="H21" s="10">
        <v>87257000</v>
      </c>
      <c r="I21" s="10">
        <v>100325000</v>
      </c>
      <c r="J21" s="10">
        <v>104625000</v>
      </c>
      <c r="K21" s="10">
        <v>101709000</v>
      </c>
      <c r="L21" s="7"/>
    </row>
    <row r="22" spans="1:13" ht="14" x14ac:dyDescent="0.15">
      <c r="A22" s="12" t="s">
        <v>25</v>
      </c>
      <c r="B22" s="13">
        <v>28954000</v>
      </c>
      <c r="C22" s="13">
        <v>30265000</v>
      </c>
      <c r="D22" s="13">
        <v>32313000</v>
      </c>
      <c r="E22" s="13">
        <v>34356000</v>
      </c>
      <c r="F22" s="13">
        <v>37160000</v>
      </c>
      <c r="G22" s="13">
        <v>37572000</v>
      </c>
      <c r="H22" s="13">
        <v>44853000</v>
      </c>
      <c r="I22" s="13">
        <v>50832000</v>
      </c>
      <c r="J22" s="13">
        <v>52778000</v>
      </c>
      <c r="K22" s="13">
        <v>50960000</v>
      </c>
      <c r="L22" s="7"/>
    </row>
    <row r="23" spans="1:13" x14ac:dyDescent="0.15">
      <c r="A23" s="7" t="s">
        <v>26</v>
      </c>
      <c r="B23" s="10">
        <v>16834000</v>
      </c>
      <c r="C23" s="10">
        <v>16801000</v>
      </c>
      <c r="D23" s="10">
        <v>17132000</v>
      </c>
      <c r="E23" s="10">
        <v>17864000</v>
      </c>
      <c r="F23" s="10">
        <v>19513000</v>
      </c>
      <c r="G23" s="10">
        <v>19740000</v>
      </c>
      <c r="H23" s="10">
        <v>24447000</v>
      </c>
      <c r="I23" s="10">
        <v>25406000</v>
      </c>
      <c r="J23" s="10">
        <v>26284000</v>
      </c>
      <c r="K23" s="10">
        <v>26598000</v>
      </c>
      <c r="L23" s="7"/>
    </row>
    <row r="24" spans="1:13" x14ac:dyDescent="0.15">
      <c r="A24" s="7" t="s">
        <v>27</v>
      </c>
      <c r="B24" s="10">
        <v>1651000</v>
      </c>
      <c r="C24" s="10">
        <v>1690000</v>
      </c>
      <c r="D24" s="10">
        <v>1754000</v>
      </c>
      <c r="E24" s="10">
        <v>1811000</v>
      </c>
      <c r="F24" s="10">
        <v>1870000</v>
      </c>
      <c r="G24" s="10">
        <v>1989000</v>
      </c>
      <c r="H24" s="10">
        <v>2128000</v>
      </c>
      <c r="I24" s="10">
        <v>2386000</v>
      </c>
      <c r="J24" s="10">
        <v>2455000</v>
      </c>
      <c r="K24" s="10">
        <v>2673000</v>
      </c>
      <c r="L24" s="7"/>
    </row>
    <row r="25" spans="1:13" ht="14" x14ac:dyDescent="0.15">
      <c r="A25" s="12" t="s">
        <v>43</v>
      </c>
      <c r="B25" s="13">
        <v>18485000</v>
      </c>
      <c r="C25" s="13">
        <v>18491000</v>
      </c>
      <c r="D25" s="13">
        <v>18886000</v>
      </c>
      <c r="E25" s="13">
        <v>19675000</v>
      </c>
      <c r="F25" s="13">
        <v>21630000</v>
      </c>
      <c r="G25" s="13">
        <v>21729000</v>
      </c>
      <c r="H25" s="13">
        <v>26575000</v>
      </c>
      <c r="I25" s="13">
        <v>27792000</v>
      </c>
      <c r="J25" s="13">
        <v>28739000</v>
      </c>
      <c r="K25" s="13">
        <v>29271000</v>
      </c>
      <c r="L25" s="7"/>
    </row>
    <row r="26" spans="1:13" ht="14" x14ac:dyDescent="0.15">
      <c r="A26" s="12" t="s">
        <v>28</v>
      </c>
      <c r="B26" s="13">
        <v>10469000</v>
      </c>
      <c r="C26" s="13">
        <v>11774000</v>
      </c>
      <c r="D26" s="13">
        <v>13427000</v>
      </c>
      <c r="E26" s="13">
        <v>14681000</v>
      </c>
      <c r="F26" s="13">
        <v>15530000</v>
      </c>
      <c r="G26" s="13">
        <v>15843000</v>
      </c>
      <c r="H26" s="13">
        <v>18278000</v>
      </c>
      <c r="I26" s="13">
        <v>23040000</v>
      </c>
      <c r="J26" s="13">
        <v>24039000</v>
      </c>
      <c r="K26" s="13">
        <v>21689000</v>
      </c>
      <c r="L26" s="7"/>
    </row>
    <row r="27" spans="1:13" ht="28" x14ac:dyDescent="0.15">
      <c r="A27" s="14" t="s">
        <v>44</v>
      </c>
      <c r="B27" s="10">
        <v>-493000</v>
      </c>
      <c r="C27" s="10">
        <v>-753000</v>
      </c>
      <c r="D27" s="10">
        <v>-936000</v>
      </c>
      <c r="E27" s="10">
        <v>-983000</v>
      </c>
      <c r="F27" s="10">
        <v>-974000</v>
      </c>
      <c r="G27" s="10">
        <v>-1128000</v>
      </c>
      <c r="H27" s="10">
        <v>-1300000</v>
      </c>
      <c r="I27" s="10">
        <v>-1303000</v>
      </c>
      <c r="J27" s="10">
        <v>-1562000</v>
      </c>
      <c r="K27" s="10">
        <v>-1765000</v>
      </c>
      <c r="L27" s="7"/>
    </row>
    <row r="28" spans="1:13" x14ac:dyDescent="0.15">
      <c r="A28" s="7" t="s">
        <v>29</v>
      </c>
      <c r="B28" s="10">
        <v>-493000</v>
      </c>
      <c r="C28" s="10">
        <v>-753000</v>
      </c>
      <c r="D28" s="10">
        <v>-936000</v>
      </c>
      <c r="E28" s="10">
        <v>-983000</v>
      </c>
      <c r="F28" s="10">
        <v>-974000</v>
      </c>
      <c r="G28" s="10">
        <v>-1128000</v>
      </c>
      <c r="H28" s="10">
        <v>-1300000</v>
      </c>
      <c r="I28" s="10">
        <v>-1303000</v>
      </c>
      <c r="J28" s="10">
        <v>-1562000</v>
      </c>
      <c r="K28" s="10">
        <v>-1765000</v>
      </c>
      <c r="L28" s="7"/>
    </row>
    <row r="29" spans="1:13" x14ac:dyDescent="0.15">
      <c r="A29" s="7" t="s">
        <v>30</v>
      </c>
      <c r="B29" s="10">
        <v>9976000</v>
      </c>
      <c r="C29" s="10">
        <v>11021000</v>
      </c>
      <c r="D29" s="10">
        <v>12491000</v>
      </c>
      <c r="E29" s="10">
        <v>13698000</v>
      </c>
      <c r="F29" s="10">
        <v>14556000</v>
      </c>
      <c r="G29" s="10">
        <v>14715000</v>
      </c>
      <c r="H29" s="10">
        <v>16978000</v>
      </c>
      <c r="I29" s="10">
        <v>21737000</v>
      </c>
      <c r="J29" s="10">
        <v>22477000</v>
      </c>
      <c r="K29" s="10">
        <v>19924000</v>
      </c>
      <c r="L29" s="7"/>
    </row>
    <row r="30" spans="1:13" x14ac:dyDescent="0.15">
      <c r="A30" s="7" t="s">
        <v>31</v>
      </c>
      <c r="B30" s="10">
        <v>3631000</v>
      </c>
      <c r="C30" s="10">
        <v>4012000</v>
      </c>
      <c r="D30" s="10">
        <v>4534000</v>
      </c>
      <c r="E30" s="10">
        <v>5068000</v>
      </c>
      <c r="F30" s="10">
        <v>3435000</v>
      </c>
      <c r="G30" s="10">
        <v>3473000</v>
      </c>
      <c r="H30" s="10">
        <v>4112000</v>
      </c>
      <c r="I30" s="10">
        <v>5304000</v>
      </c>
      <c r="J30" s="10">
        <v>5372000</v>
      </c>
      <c r="K30" s="10">
        <v>4781000</v>
      </c>
      <c r="L30" s="7"/>
    </row>
    <row r="31" spans="1:13" ht="14" x14ac:dyDescent="0.15">
      <c r="A31" s="12" t="s">
        <v>32</v>
      </c>
      <c r="B31" s="13">
        <v>6345000</v>
      </c>
      <c r="C31" s="13">
        <v>7009000</v>
      </c>
      <c r="D31" s="13">
        <v>7957000</v>
      </c>
      <c r="E31" s="13">
        <v>8630000</v>
      </c>
      <c r="F31" s="13">
        <v>11121000</v>
      </c>
      <c r="G31" s="13">
        <v>11242000</v>
      </c>
      <c r="H31" s="13">
        <v>12866000</v>
      </c>
      <c r="I31" s="13">
        <v>16433000</v>
      </c>
      <c r="J31" s="13">
        <v>17105000</v>
      </c>
      <c r="K31" s="13">
        <v>15143000</v>
      </c>
      <c r="L31" s="7"/>
    </row>
    <row r="32" spans="1:13" x14ac:dyDescent="0.15">
      <c r="A32" s="7"/>
      <c r="B32" s="8"/>
      <c r="C32" s="8"/>
      <c r="D32" s="8"/>
      <c r="E32" s="8"/>
      <c r="F32" s="8"/>
      <c r="G32" s="8"/>
      <c r="H32" s="8"/>
      <c r="I32" s="8"/>
      <c r="J32" s="8"/>
      <c r="K32" s="8"/>
      <c r="L32" s="7"/>
    </row>
    <row r="33" spans="1:12" x14ac:dyDescent="0.15">
      <c r="A33" s="7"/>
      <c r="B33" s="8"/>
      <c r="C33" s="8"/>
      <c r="D33" s="8"/>
      <c r="E33" s="8"/>
      <c r="F33" s="8"/>
      <c r="G33" s="8"/>
      <c r="H33" s="8"/>
      <c r="I33" s="8"/>
      <c r="J33" s="8"/>
      <c r="K33" s="8"/>
      <c r="L33" s="7"/>
    </row>
    <row r="34" spans="1:12" x14ac:dyDescent="0.15">
      <c r="A34" s="7" t="s">
        <v>33</v>
      </c>
      <c r="B34" s="8">
        <v>0</v>
      </c>
      <c r="C34" s="8">
        <v>0</v>
      </c>
      <c r="D34" s="8">
        <v>0</v>
      </c>
      <c r="E34" s="8">
        <v>0</v>
      </c>
      <c r="F34" s="8">
        <v>0</v>
      </c>
      <c r="G34" s="8">
        <v>0</v>
      </c>
      <c r="H34" s="8">
        <v>0</v>
      </c>
      <c r="I34" s="8">
        <v>0</v>
      </c>
      <c r="J34" s="8">
        <v>0</v>
      </c>
      <c r="K34" s="8">
        <v>0</v>
      </c>
      <c r="L34" s="7"/>
    </row>
    <row r="35" spans="1:12" x14ac:dyDescent="0.15">
      <c r="A35" s="7" t="s">
        <v>34</v>
      </c>
      <c r="B35" s="8">
        <v>6345000</v>
      </c>
      <c r="C35" s="8">
        <v>7009000</v>
      </c>
      <c r="D35" s="8">
        <v>7957000</v>
      </c>
      <c r="E35" s="8">
        <v>8630000</v>
      </c>
      <c r="F35" s="8">
        <v>11121000</v>
      </c>
      <c r="G35" s="8">
        <v>11242000</v>
      </c>
      <c r="H35" s="8">
        <v>12866000</v>
      </c>
      <c r="I35" s="8">
        <v>16433000</v>
      </c>
      <c r="J35" s="8">
        <v>17105000</v>
      </c>
      <c r="K35" s="8">
        <v>15143000</v>
      </c>
      <c r="L35" s="7"/>
    </row>
    <row r="36" spans="1:12" x14ac:dyDescent="0.15">
      <c r="A36" s="7" t="s">
        <v>35</v>
      </c>
      <c r="B36" s="8">
        <v>1338000</v>
      </c>
      <c r="C36" s="8">
        <v>1277000</v>
      </c>
      <c r="D36" s="8">
        <v>1229000</v>
      </c>
      <c r="E36" s="8">
        <v>1178000</v>
      </c>
      <c r="F36" s="8">
        <v>1137000</v>
      </c>
      <c r="G36" s="8">
        <v>1093000</v>
      </c>
      <c r="H36" s="8">
        <v>1074000</v>
      </c>
      <c r="I36" s="8">
        <v>1054000</v>
      </c>
      <c r="J36" s="8">
        <v>1022000</v>
      </c>
      <c r="K36" s="8">
        <v>999000</v>
      </c>
      <c r="L36" s="7"/>
    </row>
    <row r="37" spans="1:12" x14ac:dyDescent="0.15">
      <c r="A37" s="7" t="s">
        <v>36</v>
      </c>
      <c r="B37" s="9">
        <v>4.74</v>
      </c>
      <c r="C37" s="9">
        <v>5.49</v>
      </c>
      <c r="D37" s="9">
        <v>6.47</v>
      </c>
      <c r="E37" s="9">
        <v>7.33</v>
      </c>
      <c r="F37" s="9">
        <v>9.7799999999999994</v>
      </c>
      <c r="G37" s="9">
        <v>10.29</v>
      </c>
      <c r="H37" s="9">
        <v>11.98</v>
      </c>
      <c r="I37" s="9">
        <v>15.59</v>
      </c>
      <c r="J37" s="9">
        <v>16.739999999999998</v>
      </c>
      <c r="K37" s="9">
        <v>15.16</v>
      </c>
      <c r="L37" s="7"/>
    </row>
    <row r="38" spans="1:12" x14ac:dyDescent="0.15">
      <c r="A38" s="7" t="s">
        <v>37</v>
      </c>
      <c r="B38" s="9">
        <v>4.74</v>
      </c>
      <c r="C38" s="9">
        <v>5.49</v>
      </c>
      <c r="D38" s="9">
        <v>6.47</v>
      </c>
      <c r="E38" s="9">
        <v>7.33</v>
      </c>
      <c r="F38" s="9">
        <v>9.7799999999999994</v>
      </c>
      <c r="G38" s="9">
        <v>10.29</v>
      </c>
      <c r="H38" s="9">
        <v>11.98</v>
      </c>
      <c r="I38" s="9">
        <v>15.59</v>
      </c>
      <c r="J38" s="9">
        <v>16.739999999999998</v>
      </c>
      <c r="K38" s="9">
        <v>15.16</v>
      </c>
      <c r="L38" s="7"/>
    </row>
    <row r="39" spans="1:12" x14ac:dyDescent="0.15">
      <c r="A39" s="7" t="s">
        <v>38</v>
      </c>
      <c r="B39" s="8">
        <v>1346000</v>
      </c>
      <c r="C39" s="8">
        <v>1283000</v>
      </c>
      <c r="D39" s="8">
        <v>1234000</v>
      </c>
      <c r="E39" s="8">
        <v>1184000</v>
      </c>
      <c r="F39" s="8">
        <v>1143000</v>
      </c>
      <c r="G39" s="8">
        <v>1097000</v>
      </c>
      <c r="H39" s="8">
        <v>1078000</v>
      </c>
      <c r="I39" s="8">
        <v>1058000</v>
      </c>
      <c r="J39" s="8">
        <v>1025000</v>
      </c>
      <c r="K39" s="8">
        <v>1002000</v>
      </c>
      <c r="L39" s="7"/>
    </row>
    <row r="40" spans="1:12" x14ac:dyDescent="0.15">
      <c r="A40" s="7" t="s">
        <v>39</v>
      </c>
      <c r="B40" s="9">
        <v>4.71</v>
      </c>
      <c r="C40" s="9">
        <v>5.46</v>
      </c>
      <c r="D40" s="9">
        <v>6.45</v>
      </c>
      <c r="E40" s="9">
        <v>7.29</v>
      </c>
      <c r="F40" s="9">
        <v>9.73</v>
      </c>
      <c r="G40" s="9">
        <v>10.25</v>
      </c>
      <c r="H40" s="9">
        <v>11.94</v>
      </c>
      <c r="I40" s="9">
        <v>15.53</v>
      </c>
      <c r="J40" s="9">
        <v>16.690000000000001</v>
      </c>
      <c r="K40" s="9">
        <v>15.11</v>
      </c>
      <c r="L40" s="7"/>
    </row>
    <row r="41" spans="1:12" x14ac:dyDescent="0.15">
      <c r="A41" s="7" t="s">
        <v>40</v>
      </c>
      <c r="B41" s="9">
        <v>4.71</v>
      </c>
      <c r="C41" s="9">
        <v>5.46</v>
      </c>
      <c r="D41" s="9">
        <v>6.45</v>
      </c>
      <c r="E41" s="9">
        <v>7.29</v>
      </c>
      <c r="F41" s="9">
        <v>9.73</v>
      </c>
      <c r="G41" s="9">
        <v>10.25</v>
      </c>
      <c r="H41" s="9">
        <v>11.94</v>
      </c>
      <c r="I41" s="9">
        <v>15.53</v>
      </c>
      <c r="J41" s="9">
        <v>16.690000000000001</v>
      </c>
      <c r="K41" s="9">
        <v>15.11</v>
      </c>
      <c r="L41" s="7"/>
    </row>
    <row r="42" spans="1:12" x14ac:dyDescent="0.15">
      <c r="A42" s="7" t="s">
        <v>41</v>
      </c>
      <c r="B42" s="8">
        <v>1307000</v>
      </c>
      <c r="C42" s="8">
        <v>1252000</v>
      </c>
      <c r="D42" s="8">
        <v>1203000</v>
      </c>
      <c r="E42" s="8">
        <v>1158000</v>
      </c>
      <c r="F42" s="8">
        <v>1105000</v>
      </c>
      <c r="G42" s="8">
        <v>1077000</v>
      </c>
      <c r="H42" s="8">
        <v>1077000</v>
      </c>
      <c r="I42" s="8">
        <v>1035000</v>
      </c>
      <c r="J42" s="8">
        <v>1016000</v>
      </c>
      <c r="K42" s="8">
        <v>992000</v>
      </c>
      <c r="L42" s="7"/>
    </row>
    <row r="44" spans="1:12" x14ac:dyDescent="0.15">
      <c r="A44" s="7" t="s">
        <v>132</v>
      </c>
      <c r="C44" s="18">
        <f>(C27/B27)-1</f>
        <v>0.52738336713995948</v>
      </c>
      <c r="D44" s="18">
        <f t="shared" ref="D44:K44" si="2">(D27/C27)-1</f>
        <v>0.24302788844621515</v>
      </c>
      <c r="E44" s="18">
        <f t="shared" si="2"/>
        <v>5.0213675213675257E-2</v>
      </c>
      <c r="F44" s="18">
        <f t="shared" si="2"/>
        <v>-9.1556459816887203E-3</v>
      </c>
      <c r="G44" s="18">
        <f t="shared" si="2"/>
        <v>0.15811088295687892</v>
      </c>
      <c r="H44" s="18">
        <f t="shared" si="2"/>
        <v>0.15248226950354615</v>
      </c>
      <c r="I44" s="18">
        <f t="shared" si="2"/>
        <v>2.3076923076923439E-3</v>
      </c>
      <c r="J44" s="18">
        <f t="shared" si="2"/>
        <v>0.19877206446661555</v>
      </c>
      <c r="K44" s="18">
        <f t="shared" si="2"/>
        <v>0.12996158770806665</v>
      </c>
    </row>
  </sheetData>
  <sheetProtection formatCells="0" formatColumns="0" formatRows="0" insertColumns="0" insertRows="0" insertHyperlinks="0" deleteColumns="0" deleteRows="0" sort="0" autoFilter="0" pivotTables="0"/>
  <sortState xmlns:xlrd2="http://schemas.microsoft.com/office/spreadsheetml/2017/richdata2" columnSort="1" ref="B11:K42">
    <sortCondition ref="B11:K11"/>
  </sortState>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991-2108-404F-9FED-604309FF80E7}">
  <dimension ref="A4:L51"/>
  <sheetViews>
    <sheetView zoomScale="150" zoomScaleNormal="150" workbookViewId="0">
      <selection activeCell="C58" sqref="C58"/>
    </sheetView>
  </sheetViews>
  <sheetFormatPr baseColWidth="10" defaultColWidth="8.83203125" defaultRowHeight="13" x14ac:dyDescent="0.15"/>
  <cols>
    <col min="1" max="1" width="50" style="20" customWidth="1"/>
    <col min="2" max="11" width="15.1640625" style="20" bestFit="1" customWidth="1"/>
    <col min="12" max="191" width="12" style="20" customWidth="1"/>
    <col min="192" max="16384" width="8.83203125" style="20"/>
  </cols>
  <sheetData>
    <row r="4" spans="1:12" x14ac:dyDescent="0.15">
      <c r="A4" s="21" t="s">
        <v>0</v>
      </c>
    </row>
    <row r="5" spans="1:12" ht="20" x14ac:dyDescent="0.2">
      <c r="A5" s="22" t="s">
        <v>1</v>
      </c>
    </row>
    <row r="7" spans="1:12" ht="14" x14ac:dyDescent="0.15">
      <c r="A7" s="23" t="s">
        <v>2</v>
      </c>
    </row>
    <row r="10" spans="1:12" ht="14" x14ac:dyDescent="0.15">
      <c r="A10" s="24" t="s">
        <v>47</v>
      </c>
    </row>
    <row r="11" spans="1:12" ht="14" x14ac:dyDescent="0.15">
      <c r="A11" s="25" t="s">
        <v>4</v>
      </c>
      <c r="B11" s="26" t="s">
        <v>14</v>
      </c>
      <c r="C11" s="26" t="s">
        <v>13</v>
      </c>
      <c r="D11" s="26" t="s">
        <v>12</v>
      </c>
      <c r="E11" s="26" t="s">
        <v>11</v>
      </c>
      <c r="F11" s="26" t="s">
        <v>10</v>
      </c>
      <c r="G11" s="26" t="s">
        <v>9</v>
      </c>
      <c r="H11" s="26" t="s">
        <v>8</v>
      </c>
      <c r="I11" s="26" t="s">
        <v>7</v>
      </c>
      <c r="J11" s="26" t="s">
        <v>6</v>
      </c>
      <c r="K11" s="26" t="s">
        <v>5</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x14ac:dyDescent="0.15">
      <c r="A16" s="27" t="s">
        <v>48</v>
      </c>
      <c r="B16" s="30">
        <v>1723000</v>
      </c>
      <c r="C16" s="30">
        <v>2216000</v>
      </c>
      <c r="D16" s="30">
        <v>2538000</v>
      </c>
      <c r="E16" s="30">
        <v>3595000</v>
      </c>
      <c r="F16" s="30">
        <v>1778000</v>
      </c>
      <c r="G16" s="30">
        <v>2133000</v>
      </c>
      <c r="H16" s="30">
        <v>7895000</v>
      </c>
      <c r="I16" s="30">
        <v>2343000</v>
      </c>
      <c r="J16" s="30">
        <v>2757000</v>
      </c>
      <c r="K16" s="30">
        <v>3760000</v>
      </c>
      <c r="L16" s="27"/>
    </row>
    <row r="17" spans="1:12" x14ac:dyDescent="0.15">
      <c r="A17" s="27" t="s">
        <v>49</v>
      </c>
      <c r="B17" s="30">
        <v>1723000</v>
      </c>
      <c r="C17" s="30">
        <v>2216000</v>
      </c>
      <c r="D17" s="30">
        <v>2538000</v>
      </c>
      <c r="E17" s="30">
        <v>3595000</v>
      </c>
      <c r="F17" s="30">
        <v>1778000</v>
      </c>
      <c r="G17" s="30">
        <v>2133000</v>
      </c>
      <c r="H17" s="30">
        <v>7895000</v>
      </c>
      <c r="I17" s="30">
        <v>2343000</v>
      </c>
      <c r="J17" s="30">
        <v>2757000</v>
      </c>
      <c r="K17" s="30">
        <v>3760000</v>
      </c>
      <c r="L17" s="27"/>
    </row>
    <row r="18" spans="1:12" x14ac:dyDescent="0.15">
      <c r="A18" s="27" t="s">
        <v>50</v>
      </c>
      <c r="B18" s="30">
        <v>1484000</v>
      </c>
      <c r="C18" s="30">
        <v>1890000</v>
      </c>
      <c r="D18" s="30">
        <v>2029000</v>
      </c>
      <c r="E18" s="30">
        <v>1952000</v>
      </c>
      <c r="F18" s="30">
        <v>1936000</v>
      </c>
      <c r="G18" s="30">
        <v>2106000</v>
      </c>
      <c r="H18" s="30">
        <v>2992000</v>
      </c>
      <c r="I18" s="30">
        <v>3426000</v>
      </c>
      <c r="J18" s="30">
        <v>3317000</v>
      </c>
      <c r="K18" s="30">
        <v>3328000</v>
      </c>
      <c r="L18" s="27"/>
    </row>
    <row r="19" spans="1:12" x14ac:dyDescent="0.15">
      <c r="A19" s="27" t="s">
        <v>51</v>
      </c>
      <c r="B19" s="30">
        <v>11079000</v>
      </c>
      <c r="C19" s="30">
        <v>11809000</v>
      </c>
      <c r="D19" s="30">
        <v>12549000</v>
      </c>
      <c r="E19" s="30">
        <v>12748000</v>
      </c>
      <c r="F19" s="30">
        <v>13925000</v>
      </c>
      <c r="G19" s="30">
        <v>14531000</v>
      </c>
      <c r="H19" s="30">
        <v>16627000</v>
      </c>
      <c r="I19" s="30">
        <v>22068000</v>
      </c>
      <c r="J19" s="30">
        <v>24886000</v>
      </c>
      <c r="K19" s="30">
        <v>20976000</v>
      </c>
      <c r="L19" s="27"/>
    </row>
    <row r="20" spans="1:12" x14ac:dyDescent="0.15">
      <c r="A20" s="27" t="s">
        <v>52</v>
      </c>
      <c r="B20" s="30">
        <v>1016000</v>
      </c>
      <c r="C20" s="30">
        <v>1078000</v>
      </c>
      <c r="D20" s="30">
        <v>608000</v>
      </c>
      <c r="E20" s="30">
        <v>638000</v>
      </c>
      <c r="F20" s="30">
        <v>890000</v>
      </c>
      <c r="G20" s="30">
        <v>1040000</v>
      </c>
      <c r="H20" s="30">
        <v>963000</v>
      </c>
      <c r="I20" s="30">
        <v>1218000</v>
      </c>
      <c r="J20" s="30">
        <v>1511000</v>
      </c>
      <c r="K20" s="30">
        <v>1711000</v>
      </c>
      <c r="L20" s="27"/>
    </row>
    <row r="21" spans="1:12" s="29" customFormat="1" ht="14" x14ac:dyDescent="0.15">
      <c r="A21" s="28" t="s">
        <v>53</v>
      </c>
      <c r="B21" s="31">
        <v>15302000</v>
      </c>
      <c r="C21" s="31">
        <v>16993000</v>
      </c>
      <c r="D21" s="31">
        <v>17724000</v>
      </c>
      <c r="E21" s="31">
        <v>18933000</v>
      </c>
      <c r="F21" s="31">
        <v>18529000</v>
      </c>
      <c r="G21" s="31">
        <v>19810000</v>
      </c>
      <c r="H21" s="31">
        <v>28477000</v>
      </c>
      <c r="I21" s="31">
        <v>29055000</v>
      </c>
      <c r="J21" s="31">
        <v>32471000</v>
      </c>
      <c r="K21" s="31">
        <v>29775000</v>
      </c>
      <c r="L21" s="28"/>
    </row>
    <row r="22" spans="1:12" x14ac:dyDescent="0.15">
      <c r="A22" s="27" t="s">
        <v>54</v>
      </c>
      <c r="B22" s="30">
        <v>38513000</v>
      </c>
      <c r="C22" s="30">
        <v>39266000</v>
      </c>
      <c r="D22" s="30">
        <v>40426000</v>
      </c>
      <c r="E22" s="30">
        <v>41414000</v>
      </c>
      <c r="F22" s="30">
        <v>42939000</v>
      </c>
      <c r="G22" s="30">
        <v>44860000</v>
      </c>
      <c r="H22" s="30">
        <v>48801000</v>
      </c>
      <c r="I22" s="30">
        <v>51329000</v>
      </c>
      <c r="J22" s="30">
        <v>52275000</v>
      </c>
      <c r="K22" s="30">
        <v>53257000</v>
      </c>
      <c r="L22" s="116">
        <f>AVERAGE(B22:K22)</f>
        <v>45308000</v>
      </c>
    </row>
    <row r="23" spans="1:12" x14ac:dyDescent="0.15">
      <c r="A23" s="27" t="s">
        <v>55</v>
      </c>
      <c r="B23" s="30">
        <v>15793000</v>
      </c>
      <c r="C23" s="30">
        <v>17075000</v>
      </c>
      <c r="D23" s="30">
        <v>18512000</v>
      </c>
      <c r="E23" s="30">
        <v>19339000</v>
      </c>
      <c r="F23" s="30">
        <v>20564000</v>
      </c>
      <c r="G23" s="30">
        <v>22090000</v>
      </c>
      <c r="H23" s="30">
        <v>24096000</v>
      </c>
      <c r="I23" s="30">
        <v>26130000</v>
      </c>
      <c r="J23" s="30">
        <v>26644000</v>
      </c>
      <c r="K23" s="30">
        <v>27103000</v>
      </c>
      <c r="L23" s="27"/>
    </row>
    <row r="24" spans="1:12" x14ac:dyDescent="0.15">
      <c r="A24" s="27" t="s">
        <v>56</v>
      </c>
      <c r="B24" s="30">
        <v>22720000</v>
      </c>
      <c r="C24" s="30">
        <v>22191000</v>
      </c>
      <c r="D24" s="30">
        <v>21914000</v>
      </c>
      <c r="E24" s="30">
        <v>22075000</v>
      </c>
      <c r="F24" s="30">
        <v>22375000</v>
      </c>
      <c r="G24" s="30">
        <v>22770000</v>
      </c>
      <c r="H24" s="30">
        <v>24705000</v>
      </c>
      <c r="I24" s="30">
        <v>25199000</v>
      </c>
      <c r="J24" s="30">
        <v>25631000</v>
      </c>
      <c r="K24" s="30">
        <v>26154000</v>
      </c>
      <c r="L24" s="27"/>
    </row>
    <row r="25" spans="1:12" x14ac:dyDescent="0.15">
      <c r="A25" s="27" t="s">
        <v>57</v>
      </c>
      <c r="B25" s="30">
        <v>1353000</v>
      </c>
      <c r="C25" s="30">
        <v>2102000</v>
      </c>
      <c r="D25" s="30">
        <v>2093000</v>
      </c>
      <c r="E25" s="30">
        <v>2275000</v>
      </c>
      <c r="F25" s="30">
        <v>2252000</v>
      </c>
      <c r="G25" s="30">
        <v>2254000</v>
      </c>
      <c r="H25" s="30">
        <v>7126000</v>
      </c>
      <c r="I25" s="30">
        <v>7449000</v>
      </c>
      <c r="J25" s="30">
        <v>7444000</v>
      </c>
      <c r="K25" s="30">
        <v>8455000</v>
      </c>
      <c r="L25" s="27"/>
    </row>
    <row r="26" spans="1:12" x14ac:dyDescent="0.15">
      <c r="A26" s="27" t="s">
        <v>58</v>
      </c>
      <c r="B26" s="30">
        <v>571000</v>
      </c>
      <c r="C26" s="30">
        <v>1263000</v>
      </c>
      <c r="D26" s="30">
        <v>1235000</v>
      </c>
      <c r="E26" s="30">
        <v>1246000</v>
      </c>
      <c r="F26" s="30">
        <v>847000</v>
      </c>
      <c r="G26" s="30">
        <v>6402000</v>
      </c>
      <c r="H26" s="30">
        <v>10273000</v>
      </c>
      <c r="I26" s="30">
        <v>10173000</v>
      </c>
      <c r="J26" s="30">
        <v>10899000</v>
      </c>
      <c r="K26" s="30">
        <v>12146000</v>
      </c>
      <c r="L26" s="113">
        <f>AVERAGE(B26:K26)</f>
        <v>5505500</v>
      </c>
    </row>
    <row r="27" spans="1:12" s="29" customFormat="1" ht="14" x14ac:dyDescent="0.15">
      <c r="A27" s="28" t="s">
        <v>59</v>
      </c>
      <c r="B27" s="31">
        <v>39946000</v>
      </c>
      <c r="C27" s="31">
        <v>42549000</v>
      </c>
      <c r="D27" s="31">
        <v>42966000</v>
      </c>
      <c r="E27" s="31">
        <v>44529000</v>
      </c>
      <c r="F27" s="31">
        <v>44003000</v>
      </c>
      <c r="G27" s="31">
        <v>51236000</v>
      </c>
      <c r="H27" s="31">
        <v>70581000</v>
      </c>
      <c r="I27" s="31">
        <v>71876000</v>
      </c>
      <c r="J27" s="31">
        <v>76445000</v>
      </c>
      <c r="K27" s="31">
        <v>76530000</v>
      </c>
      <c r="L27" s="28"/>
    </row>
    <row r="28" spans="1:12" x14ac:dyDescent="0.15">
      <c r="A28" s="27" t="s">
        <v>60</v>
      </c>
      <c r="B28" s="30">
        <v>9004000</v>
      </c>
      <c r="C28" s="30">
        <v>10023000</v>
      </c>
      <c r="D28" s="30">
        <v>10679000</v>
      </c>
      <c r="E28" s="30">
        <v>11054000</v>
      </c>
      <c r="F28" s="30">
        <v>11872000</v>
      </c>
      <c r="G28" s="30">
        <v>11958000</v>
      </c>
      <c r="H28" s="30">
        <v>17132000</v>
      </c>
      <c r="I28" s="30">
        <v>19779000</v>
      </c>
      <c r="J28" s="30">
        <v>17292000</v>
      </c>
      <c r="K28" s="30">
        <v>16358000</v>
      </c>
      <c r="L28" s="27"/>
    </row>
    <row r="29" spans="1:12" x14ac:dyDescent="0.15">
      <c r="A29" s="27" t="s">
        <v>61</v>
      </c>
      <c r="B29" s="30">
        <v>5807000</v>
      </c>
      <c r="C29" s="30">
        <v>6565000</v>
      </c>
      <c r="D29" s="30">
        <v>7000000</v>
      </c>
      <c r="E29" s="30">
        <v>7244000</v>
      </c>
      <c r="F29" s="30">
        <v>7755000</v>
      </c>
      <c r="G29" s="30">
        <v>7787000</v>
      </c>
      <c r="H29" s="30">
        <v>11606000</v>
      </c>
      <c r="I29" s="30">
        <v>13462000</v>
      </c>
      <c r="J29" s="30">
        <v>11443000</v>
      </c>
      <c r="K29" s="30">
        <v>10037000</v>
      </c>
      <c r="L29" s="27"/>
    </row>
    <row r="30" spans="1:12" x14ac:dyDescent="0.15">
      <c r="A30" s="27" t="s">
        <v>62</v>
      </c>
      <c r="B30" s="30">
        <v>3197000</v>
      </c>
      <c r="C30" s="30">
        <v>3458000</v>
      </c>
      <c r="D30" s="30">
        <v>3679000</v>
      </c>
      <c r="E30" s="30">
        <v>3810000</v>
      </c>
      <c r="F30" s="30">
        <v>4117000</v>
      </c>
      <c r="G30" s="30">
        <v>4171000</v>
      </c>
      <c r="H30" s="30">
        <v>5526000</v>
      </c>
      <c r="I30" s="30">
        <v>6317000</v>
      </c>
      <c r="J30" s="30">
        <v>5849000</v>
      </c>
      <c r="K30" s="30">
        <v>6321000</v>
      </c>
      <c r="L30" s="27"/>
    </row>
    <row r="31" spans="1:12" x14ac:dyDescent="0.15">
      <c r="A31" s="27" t="s">
        <v>63</v>
      </c>
      <c r="B31" s="30">
        <v>328000</v>
      </c>
      <c r="C31" s="30">
        <v>427000</v>
      </c>
      <c r="D31" s="30">
        <v>1252000</v>
      </c>
      <c r="E31" s="30">
        <v>2761000</v>
      </c>
      <c r="F31" s="30">
        <v>2395000</v>
      </c>
      <c r="G31" s="30">
        <v>2813000</v>
      </c>
      <c r="H31" s="30">
        <v>1416000</v>
      </c>
      <c r="I31" s="30">
        <v>3482000</v>
      </c>
      <c r="J31" s="30">
        <v>1231000</v>
      </c>
      <c r="K31" s="30">
        <v>1100000</v>
      </c>
      <c r="L31" s="27"/>
    </row>
    <row r="32" spans="1:12" x14ac:dyDescent="0.15">
      <c r="A32" s="27" t="s">
        <v>64</v>
      </c>
      <c r="B32" s="30">
        <v>1937000</v>
      </c>
      <c r="C32" s="30">
        <v>2076000</v>
      </c>
      <c r="D32" s="30">
        <v>2202000</v>
      </c>
      <c r="E32" s="30">
        <v>2379000</v>
      </c>
      <c r="F32" s="30">
        <v>2449000</v>
      </c>
      <c r="G32" s="30">
        <v>3604000</v>
      </c>
      <c r="H32" s="30">
        <v>4618000</v>
      </c>
      <c r="I32" s="30">
        <v>5432000</v>
      </c>
      <c r="J32" s="30">
        <v>4587000</v>
      </c>
      <c r="K32" s="30">
        <v>4289000</v>
      </c>
      <c r="L32" s="27"/>
    </row>
    <row r="33" spans="1:12" x14ac:dyDescent="0.15">
      <c r="A33" s="27" t="s">
        <v>65</v>
      </c>
      <c r="B33" s="30">
        <v>11269000</v>
      </c>
      <c r="C33" s="30">
        <v>12526000</v>
      </c>
      <c r="D33" s="30">
        <v>14133000</v>
      </c>
      <c r="E33" s="30">
        <v>16194000</v>
      </c>
      <c r="F33" s="30">
        <v>16716000</v>
      </c>
      <c r="G33" s="30">
        <v>18375000</v>
      </c>
      <c r="H33" s="30">
        <v>23166000</v>
      </c>
      <c r="I33" s="30">
        <v>28693000</v>
      </c>
      <c r="J33" s="30">
        <v>23110000</v>
      </c>
      <c r="K33" s="30">
        <v>22015000</v>
      </c>
      <c r="L33" s="27"/>
    </row>
    <row r="34" spans="1:12" x14ac:dyDescent="0.15">
      <c r="A34" s="27" t="s">
        <v>66</v>
      </c>
      <c r="B34" s="30">
        <v>16869000</v>
      </c>
      <c r="C34" s="30">
        <v>20888000</v>
      </c>
      <c r="D34" s="30">
        <v>22349000</v>
      </c>
      <c r="E34" s="30">
        <v>24267000</v>
      </c>
      <c r="F34" s="30">
        <v>26807000</v>
      </c>
      <c r="G34" s="30">
        <v>28670000</v>
      </c>
      <c r="H34" s="30">
        <v>35822000</v>
      </c>
      <c r="I34" s="30">
        <v>36604000</v>
      </c>
      <c r="J34" s="30">
        <v>41962000</v>
      </c>
      <c r="K34" s="30">
        <v>42743000</v>
      </c>
      <c r="L34" s="27"/>
    </row>
    <row r="35" spans="1:12" x14ac:dyDescent="0.15">
      <c r="A35" s="27" t="s">
        <v>67</v>
      </c>
      <c r="B35" s="30">
        <v>642000</v>
      </c>
      <c r="C35" s="30">
        <v>854000</v>
      </c>
      <c r="D35" s="30">
        <v>296000</v>
      </c>
      <c r="E35" s="30">
        <v>440000</v>
      </c>
      <c r="F35" s="30">
        <v>491000</v>
      </c>
      <c r="G35" s="30">
        <v>706000</v>
      </c>
      <c r="H35" s="30">
        <v>1131000</v>
      </c>
      <c r="I35" s="30">
        <v>909000</v>
      </c>
      <c r="J35" s="30">
        <v>1019000</v>
      </c>
      <c r="K35" s="30">
        <v>863000</v>
      </c>
      <c r="L35" s="27"/>
    </row>
    <row r="36" spans="1:12" x14ac:dyDescent="0.15">
      <c r="A36" s="27" t="s">
        <v>68</v>
      </c>
      <c r="B36" s="30">
        <v>1844000</v>
      </c>
      <c r="C36" s="30">
        <v>1965000</v>
      </c>
      <c r="D36" s="30">
        <v>1855000</v>
      </c>
      <c r="E36" s="30">
        <v>2174000</v>
      </c>
      <c r="F36" s="30">
        <v>1867000</v>
      </c>
      <c r="G36" s="30">
        <v>6601000</v>
      </c>
      <c r="H36" s="30">
        <v>7163000</v>
      </c>
      <c r="I36" s="30">
        <v>7366000</v>
      </c>
      <c r="J36" s="30">
        <v>8792000</v>
      </c>
      <c r="K36" s="30">
        <v>9865000</v>
      </c>
      <c r="L36" s="27"/>
    </row>
    <row r="37" spans="1:12" s="29" customFormat="1" ht="14" x14ac:dyDescent="0.15">
      <c r="A37" s="28" t="s">
        <v>69</v>
      </c>
      <c r="B37" s="31">
        <v>30624000</v>
      </c>
      <c r="C37" s="31">
        <v>36233000</v>
      </c>
      <c r="D37" s="31">
        <v>38633000</v>
      </c>
      <c r="E37" s="31">
        <v>43075000</v>
      </c>
      <c r="F37" s="31">
        <v>45881000</v>
      </c>
      <c r="G37" s="31">
        <v>54352000</v>
      </c>
      <c r="H37" s="31">
        <v>67282000</v>
      </c>
      <c r="I37" s="31">
        <v>73572000</v>
      </c>
      <c r="J37" s="31">
        <v>74883000</v>
      </c>
      <c r="K37" s="31">
        <v>75486000</v>
      </c>
      <c r="L37" s="28"/>
    </row>
    <row r="38" spans="1:12" x14ac:dyDescent="0.15">
      <c r="A38" s="27" t="s">
        <v>70</v>
      </c>
      <c r="B38" s="30">
        <v>88000</v>
      </c>
      <c r="C38" s="30">
        <v>88000</v>
      </c>
      <c r="D38" s="30">
        <v>88000</v>
      </c>
      <c r="E38" s="30">
        <v>89000</v>
      </c>
      <c r="F38" s="30">
        <v>89000</v>
      </c>
      <c r="G38" s="30">
        <v>89000</v>
      </c>
      <c r="H38" s="30">
        <v>89000</v>
      </c>
      <c r="I38" s="30">
        <v>90000</v>
      </c>
      <c r="J38" s="30">
        <v>90000</v>
      </c>
      <c r="K38" s="30">
        <v>90000</v>
      </c>
      <c r="L38" s="27"/>
    </row>
    <row r="39" spans="1:12" x14ac:dyDescent="0.15">
      <c r="A39" s="27" t="s">
        <v>71</v>
      </c>
      <c r="B39" s="30">
        <v>8885000</v>
      </c>
      <c r="C39" s="30">
        <v>9347000</v>
      </c>
      <c r="D39" s="30">
        <v>9787000</v>
      </c>
      <c r="E39" s="30">
        <v>10192000</v>
      </c>
      <c r="F39" s="30">
        <v>10578000</v>
      </c>
      <c r="G39" s="30">
        <v>11001000</v>
      </c>
      <c r="H39" s="30">
        <v>11540000</v>
      </c>
      <c r="I39" s="30">
        <v>12132000</v>
      </c>
      <c r="J39" s="30">
        <v>12592000</v>
      </c>
      <c r="K39" s="30">
        <v>13147000</v>
      </c>
      <c r="L39" s="27"/>
    </row>
    <row r="40" spans="1:12" x14ac:dyDescent="0.15">
      <c r="A40" s="27" t="s">
        <v>72</v>
      </c>
      <c r="B40" s="30">
        <v>26995000</v>
      </c>
      <c r="C40" s="30">
        <v>30973000</v>
      </c>
      <c r="D40" s="30">
        <v>35519000</v>
      </c>
      <c r="E40" s="30">
        <v>39935000</v>
      </c>
      <c r="F40" s="30">
        <v>46423000</v>
      </c>
      <c r="G40" s="30">
        <v>51729000</v>
      </c>
      <c r="H40" s="30">
        <v>58134000</v>
      </c>
      <c r="I40" s="30">
        <v>67580000</v>
      </c>
      <c r="J40" s="30">
        <v>76896000</v>
      </c>
      <c r="K40" s="30">
        <v>83656000</v>
      </c>
      <c r="L40" s="27"/>
    </row>
    <row r="41" spans="1:12" x14ac:dyDescent="0.15">
      <c r="A41" s="27" t="s">
        <v>73</v>
      </c>
      <c r="B41" s="30">
        <v>-452000</v>
      </c>
      <c r="C41" s="30">
        <v>-898000</v>
      </c>
      <c r="D41" s="30">
        <v>-867000</v>
      </c>
      <c r="E41" s="30">
        <v>-566000</v>
      </c>
      <c r="F41" s="30">
        <v>-772000</v>
      </c>
      <c r="G41" s="30">
        <v>-739000</v>
      </c>
      <c r="H41" s="30">
        <v>-671000</v>
      </c>
      <c r="I41" s="30">
        <v>-704000</v>
      </c>
      <c r="J41" s="30">
        <v>-718000</v>
      </c>
      <c r="K41" s="30">
        <v>-477000</v>
      </c>
      <c r="L41" s="27"/>
    </row>
    <row r="42" spans="1:12" x14ac:dyDescent="0.15">
      <c r="A42" s="27" t="s">
        <v>74</v>
      </c>
      <c r="B42" s="30">
        <v>26194000</v>
      </c>
      <c r="C42" s="30">
        <v>33194000</v>
      </c>
      <c r="D42" s="30">
        <v>40194000</v>
      </c>
      <c r="E42" s="30">
        <v>48196000</v>
      </c>
      <c r="F42" s="30">
        <v>58196000</v>
      </c>
      <c r="G42" s="30">
        <v>65196000</v>
      </c>
      <c r="H42" s="30">
        <v>65793000</v>
      </c>
      <c r="I42" s="30">
        <v>80794000</v>
      </c>
      <c r="J42" s="30">
        <v>87298000</v>
      </c>
      <c r="K42" s="30">
        <v>95372000</v>
      </c>
      <c r="L42" s="27"/>
    </row>
    <row r="43" spans="1:12" x14ac:dyDescent="0.15">
      <c r="A43" s="27" t="s">
        <v>75</v>
      </c>
      <c r="B43" s="30">
        <v>9322000</v>
      </c>
      <c r="C43" s="30">
        <v>6316000</v>
      </c>
      <c r="D43" s="30">
        <v>4333000</v>
      </c>
      <c r="E43" s="30">
        <v>1454000</v>
      </c>
      <c r="F43" s="30">
        <v>-1878000</v>
      </c>
      <c r="G43" s="30">
        <v>-3116000</v>
      </c>
      <c r="H43" s="30">
        <v>3299000</v>
      </c>
      <c r="I43" s="30">
        <v>-1696000</v>
      </c>
      <c r="J43" s="30">
        <v>1562000</v>
      </c>
      <c r="K43" s="30">
        <v>1044000</v>
      </c>
      <c r="L43" s="27"/>
    </row>
    <row r="44" spans="1:12" s="29" customFormat="1" ht="14" x14ac:dyDescent="0.15">
      <c r="A44" s="28" t="s">
        <v>76</v>
      </c>
      <c r="B44" s="31">
        <v>39946000</v>
      </c>
      <c r="C44" s="31">
        <v>42549000</v>
      </c>
      <c r="D44" s="31">
        <v>42966000</v>
      </c>
      <c r="E44" s="31">
        <v>44529000</v>
      </c>
      <c r="F44" s="31">
        <v>44003000</v>
      </c>
      <c r="G44" s="31">
        <v>51236000</v>
      </c>
      <c r="H44" s="31">
        <v>70581000</v>
      </c>
      <c r="I44" s="31">
        <v>71876000</v>
      </c>
      <c r="J44" s="31">
        <v>76445000</v>
      </c>
      <c r="K44" s="31">
        <v>76530000</v>
      </c>
      <c r="L44" s="28"/>
    </row>
    <row r="47" spans="1:12" x14ac:dyDescent="0.15">
      <c r="A47" s="20" t="s">
        <v>110</v>
      </c>
      <c r="B47" s="20">
        <f>B23/B24</f>
        <v>0.69511443661971828</v>
      </c>
      <c r="C47" s="20">
        <f t="shared" ref="C47:K47" si="0">C23/C24</f>
        <v>0.7694560858005498</v>
      </c>
      <c r="D47" s="20">
        <f t="shared" si="0"/>
        <v>0.8447567764899151</v>
      </c>
      <c r="E47" s="20">
        <f t="shared" si="0"/>
        <v>0.87605889014722538</v>
      </c>
      <c r="F47" s="20">
        <f t="shared" si="0"/>
        <v>0.91906145251396643</v>
      </c>
      <c r="G47" s="20">
        <f t="shared" si="0"/>
        <v>0.97013614404918758</v>
      </c>
      <c r="H47" s="20">
        <f t="shared" si="0"/>
        <v>0.97534911961141468</v>
      </c>
      <c r="I47" s="20">
        <f t="shared" si="0"/>
        <v>1.036945910552006</v>
      </c>
      <c r="J47" s="20">
        <f t="shared" si="0"/>
        <v>1.0395224532792322</v>
      </c>
      <c r="K47" s="20">
        <f t="shared" si="0"/>
        <v>1.036285080675996</v>
      </c>
    </row>
    <row r="48" spans="1:12" x14ac:dyDescent="0.15">
      <c r="A48" s="20" t="s">
        <v>111</v>
      </c>
      <c r="C48" s="42">
        <f>C23-B23</f>
        <v>1282000</v>
      </c>
      <c r="D48" s="42">
        <f t="shared" ref="D48:K48" si="1">D23-C23</f>
        <v>1437000</v>
      </c>
      <c r="E48" s="42">
        <f t="shared" si="1"/>
        <v>827000</v>
      </c>
      <c r="F48" s="42">
        <f t="shared" si="1"/>
        <v>1225000</v>
      </c>
      <c r="G48" s="42">
        <f t="shared" si="1"/>
        <v>1526000</v>
      </c>
      <c r="H48" s="42">
        <f t="shared" si="1"/>
        <v>2006000</v>
      </c>
      <c r="I48" s="42">
        <f t="shared" si="1"/>
        <v>2034000</v>
      </c>
      <c r="J48" s="42">
        <f t="shared" si="1"/>
        <v>514000</v>
      </c>
      <c r="K48" s="42">
        <f t="shared" si="1"/>
        <v>459000</v>
      </c>
    </row>
    <row r="49" spans="1:11" x14ac:dyDescent="0.15">
      <c r="A49" s="20" t="s">
        <v>119</v>
      </c>
      <c r="C49" s="20">
        <f>C48/C24</f>
        <v>5.7771168491730883E-2</v>
      </c>
      <c r="D49" s="20">
        <f t="shared" ref="D49:K49" si="2">D48/D24</f>
        <v>6.5574518572601992E-2</v>
      </c>
      <c r="E49" s="20">
        <f t="shared" si="2"/>
        <v>3.7463193657984145E-2</v>
      </c>
      <c r="F49" s="20">
        <f t="shared" si="2"/>
        <v>5.4748603351955305E-2</v>
      </c>
      <c r="G49" s="20">
        <f t="shared" si="2"/>
        <v>6.7018006148440931E-2</v>
      </c>
      <c r="H49" s="20">
        <f t="shared" si="2"/>
        <v>8.1198138028739125E-2</v>
      </c>
      <c r="I49" s="20">
        <f t="shared" si="2"/>
        <v>8.0717488789237665E-2</v>
      </c>
      <c r="J49" s="20">
        <f t="shared" si="2"/>
        <v>2.0053841051851273E-2</v>
      </c>
      <c r="K49" s="20">
        <f t="shared" si="2"/>
        <v>1.7549896765313145E-2</v>
      </c>
    </row>
    <row r="51" spans="1:11" x14ac:dyDescent="0.15">
      <c r="J51" s="42"/>
      <c r="K51" s="42"/>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C8848-0484-BA47-8A05-8A7918738CE5}">
  <dimension ref="A4:L70"/>
  <sheetViews>
    <sheetView topLeftCell="A13" zoomScale="150" zoomScaleNormal="150" workbookViewId="0">
      <selection activeCell="L19" sqref="L19:L31"/>
    </sheetView>
  </sheetViews>
  <sheetFormatPr baseColWidth="10" defaultRowHeight="13" x14ac:dyDescent="0.15"/>
  <cols>
    <col min="1" max="1" width="52.33203125" customWidth="1"/>
  </cols>
  <sheetData>
    <row r="4" spans="1:12" x14ac:dyDescent="0.15">
      <c r="A4" s="1" t="s">
        <v>0</v>
      </c>
    </row>
    <row r="5" spans="1:12" ht="20" x14ac:dyDescent="0.2">
      <c r="A5" s="2" t="s">
        <v>1</v>
      </c>
    </row>
    <row r="7" spans="1:12" ht="14" x14ac:dyDescent="0.15">
      <c r="A7" s="3" t="s">
        <v>2</v>
      </c>
    </row>
    <row r="10" spans="1:12" ht="14" x14ac:dyDescent="0.15">
      <c r="A10" s="4" t="s">
        <v>3</v>
      </c>
    </row>
    <row r="11" spans="1:12" ht="14" x14ac:dyDescent="0.15">
      <c r="A11" s="5" t="s">
        <v>4</v>
      </c>
      <c r="B11" s="6" t="s">
        <v>14</v>
      </c>
      <c r="C11" s="6" t="s">
        <v>13</v>
      </c>
      <c r="D11" s="6" t="s">
        <v>12</v>
      </c>
      <c r="E11" s="6" t="s">
        <v>11</v>
      </c>
      <c r="F11" s="6" t="s">
        <v>10</v>
      </c>
      <c r="G11" s="6" t="s">
        <v>9</v>
      </c>
      <c r="H11" s="6" t="s">
        <v>8</v>
      </c>
      <c r="I11" s="6" t="s">
        <v>7</v>
      </c>
      <c r="J11" s="6" t="s">
        <v>6</v>
      </c>
      <c r="K11" s="6" t="s">
        <v>5</v>
      </c>
      <c r="L11" s="5"/>
    </row>
    <row r="12" spans="1:12" x14ac:dyDescent="0.15">
      <c r="A12" s="5" t="s">
        <v>15</v>
      </c>
    </row>
    <row r="13" spans="1:12" x14ac:dyDescent="0.15">
      <c r="A13" s="5" t="s">
        <v>17</v>
      </c>
    </row>
    <row r="14" spans="1:12" x14ac:dyDescent="0.15">
      <c r="A14" s="5" t="s">
        <v>19</v>
      </c>
    </row>
    <row r="15" spans="1:12" x14ac:dyDescent="0.15">
      <c r="A15" s="15" t="s">
        <v>45</v>
      </c>
    </row>
    <row r="16" spans="1:12" x14ac:dyDescent="0.15">
      <c r="A16" s="5"/>
    </row>
    <row r="17" spans="1:12" x14ac:dyDescent="0.15">
      <c r="A17" s="5"/>
    </row>
    <row r="18" spans="1:12" x14ac:dyDescent="0.15">
      <c r="A18" s="5" t="s">
        <v>21</v>
      </c>
      <c r="B18" t="e">
        <f>'Income Statement'!B18/'Income Statement'!B$20</f>
        <v>#VALUE!</v>
      </c>
      <c r="C18" t="e">
        <f>'Income Statement'!C18/'Income Statement'!C$20</f>
        <v>#VALUE!</v>
      </c>
      <c r="D18" t="e">
        <f>'Income Statement'!D18/'Income Statement'!D$20</f>
        <v>#VALUE!</v>
      </c>
      <c r="E18" t="e">
        <f>'Income Statement'!E18/'Income Statement'!E$20</f>
        <v>#VALUE!</v>
      </c>
      <c r="F18" t="e">
        <f>'Income Statement'!F18/'Income Statement'!F$20</f>
        <v>#VALUE!</v>
      </c>
      <c r="G18" t="e">
        <f>'Income Statement'!G18/'Income Statement'!G$20</f>
        <v>#VALUE!</v>
      </c>
      <c r="H18" t="e">
        <f>'Income Statement'!H18/'Income Statement'!H$20</f>
        <v>#VALUE!</v>
      </c>
      <c r="I18" t="e">
        <f>'Income Statement'!I18/'Income Statement'!I$20</f>
        <v>#VALUE!</v>
      </c>
      <c r="J18" t="e">
        <f>'Income Statement'!J18/'Income Statement'!J$20</f>
        <v>#VALUE!</v>
      </c>
      <c r="K18" t="e">
        <f>'Income Statement'!K18/'Income Statement'!K$20</f>
        <v>#VALUE!</v>
      </c>
    </row>
    <row r="19" spans="1:12" x14ac:dyDescent="0.15">
      <c r="A19" s="7" t="s">
        <v>23</v>
      </c>
      <c r="B19" s="18">
        <f>'Income Statement'!B19/'Income Statement'!B$20</f>
        <v>1</v>
      </c>
      <c r="C19" s="18">
        <f>'Income Statement'!C19/'Income Statement'!C$20</f>
        <v>1</v>
      </c>
      <c r="D19" s="18">
        <f>'Income Statement'!D19/'Income Statement'!D$20</f>
        <v>1</v>
      </c>
      <c r="E19" s="18">
        <f>'Income Statement'!E19/'Income Statement'!E$20</f>
        <v>1</v>
      </c>
      <c r="F19" s="18">
        <f>'Income Statement'!F19/'Income Statement'!F$20</f>
        <v>1</v>
      </c>
      <c r="G19" s="18">
        <f>'Income Statement'!G19/'Income Statement'!G$20</f>
        <v>1</v>
      </c>
      <c r="H19" s="18">
        <f>'Income Statement'!H19/'Income Statement'!H$20</f>
        <v>1</v>
      </c>
      <c r="I19" s="18">
        <f>'Income Statement'!I19/'Income Statement'!I$20</f>
        <v>1</v>
      </c>
      <c r="J19" s="18">
        <f>'Income Statement'!J19/'Income Statement'!J$20</f>
        <v>1</v>
      </c>
      <c r="K19" s="18">
        <f>'Income Statement'!K19/'Income Statement'!K$20</f>
        <v>1</v>
      </c>
      <c r="L19" s="38">
        <f>AVERAGE(B19:K19)</f>
        <v>1</v>
      </c>
    </row>
    <row r="20" spans="1:12" ht="14" x14ac:dyDescent="0.15">
      <c r="A20" s="12" t="s">
        <v>24</v>
      </c>
      <c r="B20" s="18">
        <f>'Income Statement'!B20/'Income Statement'!B$20</f>
        <v>1</v>
      </c>
      <c r="C20" s="18">
        <f>'Income Statement'!C20/'Income Statement'!C$20</f>
        <v>1</v>
      </c>
      <c r="D20" s="18">
        <f>'Income Statement'!D20/'Income Statement'!D$20</f>
        <v>1</v>
      </c>
      <c r="E20" s="18">
        <f>'Income Statement'!E20/'Income Statement'!E$20</f>
        <v>1</v>
      </c>
      <c r="F20" s="18">
        <f>'Income Statement'!F20/'Income Statement'!F$20</f>
        <v>1</v>
      </c>
      <c r="G20" s="18">
        <f>'Income Statement'!G20/'Income Statement'!G$20</f>
        <v>1</v>
      </c>
      <c r="H20" s="18">
        <f>'Income Statement'!H20/'Income Statement'!H$20</f>
        <v>1</v>
      </c>
      <c r="I20" s="18">
        <f>'Income Statement'!I20/'Income Statement'!I$20</f>
        <v>1</v>
      </c>
      <c r="J20" s="18">
        <f>'Income Statement'!J20/'Income Statement'!J$20</f>
        <v>1</v>
      </c>
      <c r="K20" s="18">
        <f>'Income Statement'!K20/'Income Statement'!K$20</f>
        <v>1</v>
      </c>
      <c r="L20" s="38">
        <f t="shared" ref="L20:L31" si="0">AVERAGE(B20:K20)</f>
        <v>1</v>
      </c>
    </row>
    <row r="21" spans="1:12" x14ac:dyDescent="0.15">
      <c r="A21" s="11" t="s">
        <v>42</v>
      </c>
      <c r="B21" s="18">
        <f>'Income Statement'!B21/'Income Statement'!B$20</f>
        <v>0.6518947773396172</v>
      </c>
      <c r="C21" s="18">
        <f>'Income Statement'!C21/'Income Statement'!C$20</f>
        <v>0.65809600198827367</v>
      </c>
      <c r="D21" s="18">
        <f>'Income Statement'!D21/'Income Statement'!D$20</f>
        <v>0.65840689254188911</v>
      </c>
      <c r="E21" s="18">
        <f>'Income Statement'!E21/'Income Statement'!E$20</f>
        <v>0.65951795766272892</v>
      </c>
      <c r="F21" s="18">
        <f>'Income Statement'!F21/'Income Statement'!F$20</f>
        <v>0.65657144441466497</v>
      </c>
      <c r="G21" s="18">
        <f>'Income Statement'!G21/'Income Statement'!G$20</f>
        <v>0.65913359038330688</v>
      </c>
      <c r="H21" s="18">
        <f>'Income Statement'!H21/'Income Statement'!H$20</f>
        <v>0.6604874725607448</v>
      </c>
      <c r="I21" s="18">
        <f>'Income Statement'!I21/'Income Statement'!I$20</f>
        <v>0.66371388688582067</v>
      </c>
      <c r="J21" s="18">
        <f>'Income Statement'!J21/'Income Statement'!J$20</f>
        <v>0.66469508205053274</v>
      </c>
      <c r="K21" s="18">
        <f>'Income Statement'!K21/'Income Statement'!K$20</f>
        <v>0.66620597501784906</v>
      </c>
      <c r="L21" s="38">
        <f t="shared" si="0"/>
        <v>0.65987230808454278</v>
      </c>
    </row>
    <row r="22" spans="1:12" ht="14" x14ac:dyDescent="0.15">
      <c r="A22" s="12" t="s">
        <v>25</v>
      </c>
      <c r="B22" s="18">
        <f>'Income Statement'!B22/'Income Statement'!B$20</f>
        <v>0.3481052226603828</v>
      </c>
      <c r="C22" s="18">
        <f>'Income Statement'!C22/'Income Statement'!C$20</f>
        <v>0.34190399801172627</v>
      </c>
      <c r="D22" s="18">
        <f>'Income Statement'!D22/'Income Statement'!D$20</f>
        <v>0.34159310745811089</v>
      </c>
      <c r="E22" s="18">
        <f>'Income Statement'!E22/'Income Statement'!E$20</f>
        <v>0.34048204233727108</v>
      </c>
      <c r="F22" s="18">
        <f>'Income Statement'!F22/'Income Statement'!F$20</f>
        <v>0.34342855558533497</v>
      </c>
      <c r="G22" s="18">
        <f>'Income Statement'!G22/'Income Statement'!G$20</f>
        <v>0.34086640961669312</v>
      </c>
      <c r="H22" s="18">
        <f>'Income Statement'!H22/'Income Statement'!H$20</f>
        <v>0.33951252743925514</v>
      </c>
      <c r="I22" s="18">
        <f>'Income Statement'!I22/'Income Statement'!I$20</f>
        <v>0.33628611311417927</v>
      </c>
      <c r="J22" s="18">
        <f>'Income Statement'!J22/'Income Statement'!J$20</f>
        <v>0.33530491794946732</v>
      </c>
      <c r="K22" s="18">
        <f>'Income Statement'!K22/'Income Statement'!K$20</f>
        <v>0.33379402498215094</v>
      </c>
      <c r="L22" s="38">
        <f t="shared" si="0"/>
        <v>0.34012769191545711</v>
      </c>
    </row>
    <row r="23" spans="1:12" x14ac:dyDescent="0.15">
      <c r="A23" s="7" t="s">
        <v>26</v>
      </c>
      <c r="B23" s="18">
        <f>'Income Statement'!B23/'Income Statement'!B$20</f>
        <v>0.20239011253246128</v>
      </c>
      <c r="C23" s="18">
        <f>'Income Statement'!C23/'Income Statement'!C$20</f>
        <v>0.18980105965950814</v>
      </c>
      <c r="D23" s="18">
        <f>'Income Statement'!D23/'Income Statement'!D$20</f>
        <v>0.18110893810455098</v>
      </c>
      <c r="E23" s="18">
        <f>'Income Statement'!E23/'Income Statement'!E$20</f>
        <v>0.17703956235629906</v>
      </c>
      <c r="F23" s="18">
        <f>'Income Statement'!F23/'Income Statement'!F$20</f>
        <v>0.18033695923403234</v>
      </c>
      <c r="G23" s="18">
        <f>'Income Statement'!G23/'Income Statement'!G$20</f>
        <v>0.17908822862327059</v>
      </c>
      <c r="H23" s="18">
        <f>'Income Statement'!H23/'Income Statement'!H$20</f>
        <v>0.1850503368405117</v>
      </c>
      <c r="I23" s="18">
        <f>'Income Statement'!I23/'Income Statement'!I$20</f>
        <v>0.16807690017663754</v>
      </c>
      <c r="J23" s="18">
        <f>'Income Statement'!J23/'Income Statement'!J$20</f>
        <v>0.16698538147303418</v>
      </c>
      <c r="K23" s="18">
        <f>'Income Statement'!K23/'Income Statement'!K$20</f>
        <v>0.17422004467180632</v>
      </c>
      <c r="L23" s="38">
        <f t="shared" si="0"/>
        <v>0.18040975236721121</v>
      </c>
    </row>
    <row r="24" spans="1:12" x14ac:dyDescent="0.15">
      <c r="A24" s="7" t="s">
        <v>27</v>
      </c>
      <c r="B24" s="18">
        <f>'Income Statement'!B24/'Income Statement'!B$20</f>
        <v>1.9849475810329902E-2</v>
      </c>
      <c r="C24" s="18">
        <f>'Income Statement'!C24/'Income Statement'!C$20</f>
        <v>1.9091946361798031E-2</v>
      </c>
      <c r="D24" s="18">
        <f>'Income Statement'!D24/'Income Statement'!D$20</f>
        <v>1.8542206247687511E-2</v>
      </c>
      <c r="E24" s="18">
        <f>'Income Statement'!E24/'Income Statement'!E$20</f>
        <v>1.7947752319035917E-2</v>
      </c>
      <c r="F24" s="18">
        <f>'Income Statement'!F24/'Income Statement'!F$20</f>
        <v>1.7282330434461153E-2</v>
      </c>
      <c r="G24" s="18">
        <f>'Income Statement'!G24/'Income Statement'!G$20</f>
        <v>1.8044908142435926E-2</v>
      </c>
      <c r="H24" s="18">
        <f>'Income Statement'!H24/'Income Statement'!H$20</f>
        <v>1.6107788963742337E-2</v>
      </c>
      <c r="I24" s="18">
        <f>'Income Statement'!I24/'Income Statement'!I$20</f>
        <v>1.578491237587409E-2</v>
      </c>
      <c r="J24" s="18">
        <f>'Income Statement'!J24/'Income Statement'!J$20</f>
        <v>1.5596907301639739E-2</v>
      </c>
      <c r="K24" s="18">
        <f>'Income Statement'!K24/'Income Statement'!K$20</f>
        <v>1.7508466027811802E-2</v>
      </c>
      <c r="L24" s="38">
        <f t="shared" si="0"/>
        <v>1.7575669398481642E-2</v>
      </c>
    </row>
    <row r="25" spans="1:12" ht="14" x14ac:dyDescent="0.15">
      <c r="A25" s="12" t="s">
        <v>43</v>
      </c>
      <c r="B25" s="18">
        <f>'Income Statement'!B25/'Income Statement'!B$20</f>
        <v>0.2222395883427912</v>
      </c>
      <c r="C25" s="18">
        <f>'Income Statement'!C25/'Income Statement'!C$20</f>
        <v>0.20889300602130617</v>
      </c>
      <c r="D25" s="18">
        <f>'Income Statement'!D25/'Income Statement'!D$20</f>
        <v>0.19965114435223849</v>
      </c>
      <c r="E25" s="18">
        <f>'Income Statement'!E25/'Income Statement'!E$20</f>
        <v>0.19498731467533498</v>
      </c>
      <c r="F25" s="18">
        <f>'Income Statement'!F25/'Income Statement'!F$20</f>
        <v>0.19990203598791162</v>
      </c>
      <c r="G25" s="18">
        <f>'Income Statement'!G25/'Income Statement'!G$20</f>
        <v>0.19713313676570651</v>
      </c>
      <c r="H25" s="18">
        <f>'Income Statement'!H25/'Income Statement'!H$20</f>
        <v>0.20115812580425402</v>
      </c>
      <c r="I25" s="18">
        <f>'Income Statement'!I25/'Income Statement'!I$20</f>
        <v>0.18386181255251163</v>
      </c>
      <c r="J25" s="18">
        <f>'Income Statement'!J25/'Income Statement'!J$20</f>
        <v>0.18258228877467392</v>
      </c>
      <c r="K25" s="18">
        <f>'Income Statement'!K25/'Income Statement'!K$20</f>
        <v>0.19172851069961813</v>
      </c>
      <c r="L25" s="38">
        <f t="shared" si="0"/>
        <v>0.19821369639763467</v>
      </c>
    </row>
    <row r="26" spans="1:12" ht="14" x14ac:dyDescent="0.15">
      <c r="A26" s="12" t="s">
        <v>28</v>
      </c>
      <c r="B26" s="18">
        <f>'Income Statement'!B26/'Income Statement'!B$20</f>
        <v>0.12586563431759162</v>
      </c>
      <c r="C26" s="18">
        <f>'Income Statement'!C26/'Income Statement'!C$20</f>
        <v>0.13301099199042013</v>
      </c>
      <c r="D26" s="18">
        <f>'Income Statement'!D26/'Income Statement'!D$20</f>
        <v>0.1419419631058724</v>
      </c>
      <c r="E26" s="18">
        <f>'Income Statement'!E26/'Income Statement'!E$20</f>
        <v>0.14549472766193611</v>
      </c>
      <c r="F26" s="18">
        <f>'Income Statement'!F26/'Income Statement'!F$20</f>
        <v>0.14352651959742335</v>
      </c>
      <c r="G26" s="18">
        <f>'Income Statement'!G26/'Income Statement'!G$20</f>
        <v>0.14373327285098661</v>
      </c>
      <c r="H26" s="18">
        <f>'Income Statement'!H26/'Income Statement'!H$20</f>
        <v>0.13835440163500112</v>
      </c>
      <c r="I26" s="18">
        <f>'Income Statement'!I26/'Income Statement'!I$20</f>
        <v>0.15242430056166767</v>
      </c>
      <c r="J26" s="18">
        <f>'Income Statement'!J26/'Income Statement'!J$20</f>
        <v>0.15272262917479337</v>
      </c>
      <c r="K26" s="18">
        <f>'Income Statement'!K26/'Income Statement'!K$20</f>
        <v>0.14206551428253281</v>
      </c>
      <c r="L26" s="38">
        <f t="shared" si="0"/>
        <v>0.14191399551782252</v>
      </c>
    </row>
    <row r="27" spans="1:12" ht="28" x14ac:dyDescent="0.15">
      <c r="A27" s="14" t="s">
        <v>44</v>
      </c>
      <c r="B27" s="18">
        <f>'Income Statement'!B27/'Income Statement'!B$20</f>
        <v>-5.9271905357314606E-3</v>
      </c>
      <c r="C27" s="18">
        <f>'Income Statement'!C27/'Income Statement'!C$20</f>
        <v>-8.506648290197585E-3</v>
      </c>
      <c r="D27" s="18">
        <f>'Income Statement'!D27/'Income Statement'!D$20</f>
        <v>-9.8948147365082728E-3</v>
      </c>
      <c r="E27" s="18">
        <f>'Income Statement'!E27/'Income Statement'!E$20</f>
        <v>-9.7419329263458334E-3</v>
      </c>
      <c r="F27" s="18">
        <f>'Income Statement'!F27/'Income Statement'!F$20</f>
        <v>-9.0015988466123856E-3</v>
      </c>
      <c r="G27" s="18">
        <f>'Income Statement'!G27/'Income Statement'!G$20</f>
        <v>-1.0233613064186891E-2</v>
      </c>
      <c r="H27" s="18">
        <f>'Income Statement'!H27/'Income Statement'!H$20</f>
        <v>-9.8402846113087583E-3</v>
      </c>
      <c r="I27" s="18">
        <f>'Income Statement'!I27/'Income Statement'!I$20</f>
        <v>-8.6201763729102845E-3</v>
      </c>
      <c r="J27" s="18">
        <f>'Income Statement'!J27/'Income Statement'!J$20</f>
        <v>-9.9235719776624327E-3</v>
      </c>
      <c r="K27" s="18">
        <f>'Income Statement'!K27/'Income Statement'!K$20</f>
        <v>-1.156095867530409E-2</v>
      </c>
      <c r="L27" s="38">
        <f t="shared" si="0"/>
        <v>-9.3250790036767985E-3</v>
      </c>
    </row>
    <row r="28" spans="1:12" x14ac:dyDescent="0.15">
      <c r="A28" s="7" t="s">
        <v>29</v>
      </c>
      <c r="B28" s="18">
        <f>'Income Statement'!B28/'Income Statement'!B$20</f>
        <v>-5.9271905357314606E-3</v>
      </c>
      <c r="C28" s="18">
        <f>'Income Statement'!C28/'Income Statement'!C$20</f>
        <v>-8.506648290197585E-3</v>
      </c>
      <c r="D28" s="18">
        <f>'Income Statement'!D28/'Income Statement'!D$20</f>
        <v>-9.8948147365082728E-3</v>
      </c>
      <c r="E28" s="18">
        <f>'Income Statement'!E28/'Income Statement'!E$20</f>
        <v>-9.7419329263458334E-3</v>
      </c>
      <c r="F28" s="18">
        <f>'Income Statement'!F28/'Income Statement'!F$20</f>
        <v>-9.0015988466123856E-3</v>
      </c>
      <c r="G28" s="18">
        <f>'Income Statement'!G28/'Income Statement'!G$20</f>
        <v>-1.0233613064186891E-2</v>
      </c>
      <c r="H28" s="18">
        <f>'Income Statement'!H28/'Income Statement'!H$20</f>
        <v>-9.8402846113087583E-3</v>
      </c>
      <c r="I28" s="18">
        <f>'Income Statement'!I28/'Income Statement'!I$20</f>
        <v>-8.6201763729102845E-3</v>
      </c>
      <c r="J28" s="18">
        <f>'Income Statement'!J28/'Income Statement'!J$20</f>
        <v>-9.9235719776624327E-3</v>
      </c>
      <c r="K28" s="18">
        <f>'Income Statement'!K28/'Income Statement'!K$20</f>
        <v>-1.156095867530409E-2</v>
      </c>
      <c r="L28" s="38">
        <f t="shared" si="0"/>
        <v>-9.3250790036767985E-3</v>
      </c>
    </row>
    <row r="29" spans="1:12" x14ac:dyDescent="0.15">
      <c r="A29" s="7" t="s">
        <v>30</v>
      </c>
      <c r="B29" s="18">
        <f>'Income Statement'!B29/'Income Statement'!B$20</f>
        <v>0.11993844378186015</v>
      </c>
      <c r="C29" s="18">
        <f>'Income Statement'!C29/'Income Statement'!C$20</f>
        <v>0.12450434370022255</v>
      </c>
      <c r="D29" s="18">
        <f>'Income Statement'!D29/'Income Statement'!D$20</f>
        <v>0.13204714836936413</v>
      </c>
      <c r="E29" s="18">
        <f>'Income Statement'!E29/'Income Statement'!E$20</f>
        <v>0.13575279473559027</v>
      </c>
      <c r="F29" s="18">
        <f>'Income Statement'!F29/'Income Statement'!F$20</f>
        <v>0.13452492075081099</v>
      </c>
      <c r="G29" s="18">
        <f>'Income Statement'!G29/'Income Statement'!G$20</f>
        <v>0.13349965978679973</v>
      </c>
      <c r="H29" s="18">
        <f>'Income Statement'!H29/'Income Statement'!H$20</f>
        <v>0.12851411702369236</v>
      </c>
      <c r="I29" s="18">
        <f>'Income Statement'!I29/'Income Statement'!I$20</f>
        <v>0.14380412418875738</v>
      </c>
      <c r="J29" s="18">
        <f>'Income Statement'!J29/'Income Statement'!J$20</f>
        <v>0.14279905719713093</v>
      </c>
      <c r="K29" s="18">
        <f>'Income Statement'!K29/'Income Statement'!K$20</f>
        <v>0.13050455560722871</v>
      </c>
      <c r="L29" s="38">
        <f t="shared" si="0"/>
        <v>0.1325889165141457</v>
      </c>
    </row>
    <row r="30" spans="1:12" x14ac:dyDescent="0.15">
      <c r="A30" s="7" t="s">
        <v>31</v>
      </c>
      <c r="B30" s="18">
        <f>'Income Statement'!B30/'Income Statement'!B$20</f>
        <v>4.3654419544099259E-2</v>
      </c>
      <c r="C30" s="18">
        <f>'Income Statement'!C30/'Income Statement'!C$20</f>
        <v>4.5323602842327636E-2</v>
      </c>
      <c r="D30" s="18">
        <f>'Income Statement'!D30/'Income Statement'!D$20</f>
        <v>4.7930651725778317E-2</v>
      </c>
      <c r="E30" s="18">
        <f>'Income Statement'!E30/'Income Statement'!E$20</f>
        <v>5.0225957345595811E-2</v>
      </c>
      <c r="F30" s="18">
        <f>'Income Statement'!F30/'Income Statement'!F$20</f>
        <v>3.174588504939789E-2</v>
      </c>
      <c r="G30" s="18">
        <f>'Income Statement'!G30/'Income Statement'!G$20</f>
        <v>3.150827852120662E-2</v>
      </c>
      <c r="H30" s="18">
        <f>'Income Statement'!H30/'Income Statement'!H$20</f>
        <v>3.1125577170539702E-2</v>
      </c>
      <c r="I30" s="18">
        <f>'Income Statement'!I30/'Income Statement'!I$20</f>
        <v>3.5089344191800577E-2</v>
      </c>
      <c r="J30" s="18">
        <f>'Income Statement'!J30/'Income Statement'!J$20</f>
        <v>3.41289556107571E-2</v>
      </c>
      <c r="K30" s="18">
        <f>'Income Statement'!K30/'Income Statement'!K$20</f>
        <v>3.1316115255880371E-2</v>
      </c>
      <c r="L30" s="38">
        <f t="shared" si="0"/>
        <v>3.8204878725738328E-2</v>
      </c>
    </row>
    <row r="31" spans="1:12" ht="14" x14ac:dyDescent="0.15">
      <c r="A31" s="12" t="s">
        <v>32</v>
      </c>
      <c r="B31" s="18">
        <f>'Income Statement'!B31/'Income Statement'!B$20</f>
        <v>7.6284024237760886E-2</v>
      </c>
      <c r="C31" s="18">
        <f>'Income Statement'!C31/'Income Statement'!C$20</f>
        <v>7.9180740857894921E-2</v>
      </c>
      <c r="D31" s="18">
        <f>'Income Statement'!D31/'Income Statement'!D$20</f>
        <v>8.4116496643585809E-2</v>
      </c>
      <c r="E31" s="18">
        <f>'Income Statement'!E31/'Income Statement'!E$20</f>
        <v>8.5526837389994448E-2</v>
      </c>
      <c r="F31" s="18">
        <f>'Income Statement'!F31/'Income Statement'!F$20</f>
        <v>0.10277903570141309</v>
      </c>
      <c r="G31" s="18">
        <f>'Income Statement'!G31/'Income Statement'!G$20</f>
        <v>0.10199138126559311</v>
      </c>
      <c r="H31" s="18">
        <f>'Income Statement'!H31/'Income Statement'!H$20</f>
        <v>9.738853985315267E-2</v>
      </c>
      <c r="I31" s="18">
        <f>'Income Statement'!I31/'Income Statement'!I$20</f>
        <v>0.10871477999695681</v>
      </c>
      <c r="J31" s="18">
        <f>'Income Statement'!J31/'Income Statement'!J$20</f>
        <v>0.10867010158637383</v>
      </c>
      <c r="K31" s="18">
        <f>'Income Statement'!K31/'Income Statement'!K$20</f>
        <v>9.9188440351348342E-2</v>
      </c>
      <c r="L31" s="38">
        <f t="shared" si="0"/>
        <v>9.4384037788407399E-2</v>
      </c>
    </row>
    <row r="32" spans="1:12" ht="14" x14ac:dyDescent="0.15">
      <c r="A32" s="12"/>
      <c r="B32" s="18"/>
      <c r="C32" s="18"/>
      <c r="D32" s="18"/>
      <c r="E32" s="18"/>
      <c r="F32" s="18"/>
      <c r="G32" s="18"/>
      <c r="H32" s="18"/>
      <c r="I32" s="18"/>
      <c r="J32" s="18"/>
      <c r="K32" s="18"/>
    </row>
    <row r="33" spans="1:12" ht="14" x14ac:dyDescent="0.15">
      <c r="A33" s="12"/>
      <c r="B33" s="18"/>
      <c r="C33" s="18"/>
      <c r="D33" s="18"/>
      <c r="E33" s="18"/>
      <c r="F33" s="18"/>
      <c r="G33" s="18"/>
      <c r="H33" s="18"/>
      <c r="I33" s="18"/>
      <c r="J33" s="18"/>
      <c r="K33" s="18"/>
    </row>
    <row r="34" spans="1:12" ht="14" x14ac:dyDescent="0.15">
      <c r="A34" s="12"/>
      <c r="B34" s="18">
        <f>B30/B29</f>
        <v>0.36397353648757014</v>
      </c>
      <c r="C34" s="18">
        <f t="shared" ref="C34:K34" si="1">C30/C29</f>
        <v>0.36403230196896835</v>
      </c>
      <c r="D34" s="18">
        <f t="shared" si="1"/>
        <v>0.36298134656953007</v>
      </c>
      <c r="E34" s="18">
        <f t="shared" si="1"/>
        <v>0.36998101912687981</v>
      </c>
      <c r="F34" s="18">
        <f t="shared" si="1"/>
        <v>0.23598516075845008</v>
      </c>
      <c r="G34" s="18">
        <f t="shared" si="1"/>
        <v>0.23601766904519195</v>
      </c>
      <c r="H34" s="18">
        <f t="shared" si="1"/>
        <v>0.24219578277771237</v>
      </c>
      <c r="I34" s="18">
        <f t="shared" si="1"/>
        <v>0.244007912775452</v>
      </c>
      <c r="J34" s="18">
        <f t="shared" si="1"/>
        <v>0.23899986653023089</v>
      </c>
      <c r="K34" s="18">
        <f t="shared" si="1"/>
        <v>0.23996185504918693</v>
      </c>
      <c r="L34" s="38">
        <f>AVERAGE(B34:K34)</f>
        <v>0.28981364510891722</v>
      </c>
    </row>
    <row r="35" spans="1:12" ht="14" x14ac:dyDescent="0.15">
      <c r="A35" s="12"/>
      <c r="B35" s="18"/>
      <c r="C35" s="18"/>
      <c r="D35" s="18"/>
      <c r="E35" s="18"/>
      <c r="F35" s="18"/>
      <c r="G35" s="18"/>
      <c r="H35" s="18"/>
      <c r="I35" s="18"/>
      <c r="J35" s="18"/>
      <c r="K35" s="18"/>
    </row>
    <row r="36" spans="1:12" x14ac:dyDescent="0.15">
      <c r="A36" s="7"/>
    </row>
    <row r="37" spans="1:12" x14ac:dyDescent="0.15">
      <c r="A37" s="7"/>
    </row>
    <row r="38" spans="1:12" x14ac:dyDescent="0.15">
      <c r="A38" s="7" t="s">
        <v>33</v>
      </c>
    </row>
    <row r="39" spans="1:12" x14ac:dyDescent="0.15">
      <c r="A39" s="7" t="s">
        <v>34</v>
      </c>
    </row>
    <row r="40" spans="1:12" x14ac:dyDescent="0.15">
      <c r="A40" s="7" t="s">
        <v>35</v>
      </c>
    </row>
    <row r="41" spans="1:12" x14ac:dyDescent="0.15">
      <c r="A41" s="7" t="s">
        <v>36</v>
      </c>
    </row>
    <row r="42" spans="1:12" x14ac:dyDescent="0.15">
      <c r="A42" s="7" t="s">
        <v>37</v>
      </c>
    </row>
    <row r="43" spans="1:12" x14ac:dyDescent="0.15">
      <c r="A43" s="7" t="s">
        <v>38</v>
      </c>
    </row>
    <row r="44" spans="1:12" x14ac:dyDescent="0.15">
      <c r="A44" s="7" t="s">
        <v>39</v>
      </c>
    </row>
    <row r="45" spans="1:12" x14ac:dyDescent="0.15">
      <c r="A45" s="7" t="s">
        <v>40</v>
      </c>
    </row>
    <row r="46" spans="1:12" x14ac:dyDescent="0.15">
      <c r="A46" s="7" t="s">
        <v>41</v>
      </c>
    </row>
    <row r="70" spans="1:1" x14ac:dyDescent="0.15">
      <c r="A70" s="19" t="s">
        <v>46</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0BB1-9920-2A46-88E2-2423DDF51725}">
  <dimension ref="A4:L44"/>
  <sheetViews>
    <sheetView topLeftCell="A22" zoomScale="140" zoomScaleNormal="140" workbookViewId="0">
      <selection activeCell="E51" sqref="E51"/>
    </sheetView>
  </sheetViews>
  <sheetFormatPr baseColWidth="10" defaultColWidth="8.83203125" defaultRowHeight="13" x14ac:dyDescent="0.15"/>
  <cols>
    <col min="1" max="1" width="50" style="20" customWidth="1"/>
    <col min="2" max="11" width="15.1640625" style="20" bestFit="1" customWidth="1"/>
    <col min="12" max="191" width="12" style="20" customWidth="1"/>
    <col min="192" max="16384" width="8.83203125" style="20"/>
  </cols>
  <sheetData>
    <row r="4" spans="1:12" x14ac:dyDescent="0.15">
      <c r="A4" s="21" t="s">
        <v>0</v>
      </c>
    </row>
    <row r="5" spans="1:12" ht="20" x14ac:dyDescent="0.2">
      <c r="A5" s="22" t="s">
        <v>1</v>
      </c>
    </row>
    <row r="7" spans="1:12" ht="14" x14ac:dyDescent="0.15">
      <c r="A7" s="23" t="s">
        <v>2</v>
      </c>
    </row>
    <row r="10" spans="1:12" ht="14" x14ac:dyDescent="0.15">
      <c r="A10" s="24" t="s">
        <v>47</v>
      </c>
    </row>
    <row r="11" spans="1:12" ht="14" x14ac:dyDescent="0.15">
      <c r="A11" s="25" t="s">
        <v>4</v>
      </c>
      <c r="B11" s="26" t="s">
        <v>14</v>
      </c>
      <c r="C11" s="26" t="s">
        <v>13</v>
      </c>
      <c r="D11" s="26" t="s">
        <v>12</v>
      </c>
      <c r="E11" s="26" t="s">
        <v>11</v>
      </c>
      <c r="F11" s="26" t="s">
        <v>10</v>
      </c>
      <c r="G11" s="26" t="s">
        <v>9</v>
      </c>
      <c r="H11" s="26" t="s">
        <v>8</v>
      </c>
      <c r="I11" s="26" t="s">
        <v>7</v>
      </c>
      <c r="J11" s="26" t="s">
        <v>6</v>
      </c>
      <c r="K11" s="26" t="s">
        <v>5</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ht="14" x14ac:dyDescent="0.15">
      <c r="A16" s="27" t="s">
        <v>48</v>
      </c>
      <c r="B16" s="32">
        <f>'Balance Sheet'!B16/'Balance Sheet'!B$27</f>
        <v>4.3133229860311421E-2</v>
      </c>
      <c r="C16" s="32">
        <f>'Balance Sheet'!C16/'Balance Sheet'!C$27</f>
        <v>5.2081129991304147E-2</v>
      </c>
      <c r="D16" s="32">
        <f>'Balance Sheet'!D16/'Balance Sheet'!D$27</f>
        <v>5.9069962295768746E-2</v>
      </c>
      <c r="E16" s="32">
        <f>'Balance Sheet'!E16/'Balance Sheet'!E$27</f>
        <v>8.0733903748119201E-2</v>
      </c>
      <c r="F16" s="32">
        <f>'Balance Sheet'!F16/'Balance Sheet'!F$27</f>
        <v>4.0406335931641023E-2</v>
      </c>
      <c r="G16" s="32">
        <f>'Balance Sheet'!G16/'Balance Sheet'!G$27</f>
        <v>4.163088453431181E-2</v>
      </c>
      <c r="H16" s="32">
        <f>'Balance Sheet'!H16/'Balance Sheet'!H$27</f>
        <v>0.11185729870645074</v>
      </c>
      <c r="I16" s="32">
        <f>'Balance Sheet'!I16/'Balance Sheet'!I$27</f>
        <v>3.259780733485447E-2</v>
      </c>
      <c r="J16" s="32">
        <f>'Balance Sheet'!J16/'Balance Sheet'!J$27</f>
        <v>3.6065144875400613E-2</v>
      </c>
      <c r="K16" s="32">
        <f>'Balance Sheet'!K16/'Balance Sheet'!K$27</f>
        <v>4.9131059715144386E-2</v>
      </c>
      <c r="L16" s="27"/>
    </row>
    <row r="17" spans="1:12" ht="14" x14ac:dyDescent="0.15">
      <c r="A17" s="27" t="s">
        <v>49</v>
      </c>
      <c r="B17" s="32">
        <f>'Balance Sheet'!B17/'Balance Sheet'!B$27</f>
        <v>4.3133229860311421E-2</v>
      </c>
      <c r="C17" s="32">
        <f>'Balance Sheet'!C17/'Balance Sheet'!C$27</f>
        <v>5.2081129991304147E-2</v>
      </c>
      <c r="D17" s="32">
        <f>'Balance Sheet'!D17/'Balance Sheet'!D$27</f>
        <v>5.9069962295768746E-2</v>
      </c>
      <c r="E17" s="32">
        <f>'Balance Sheet'!E17/'Balance Sheet'!E$27</f>
        <v>8.0733903748119201E-2</v>
      </c>
      <c r="F17" s="32">
        <f>'Balance Sheet'!F17/'Balance Sheet'!F$27</f>
        <v>4.0406335931641023E-2</v>
      </c>
      <c r="G17" s="32">
        <f>'Balance Sheet'!G17/'Balance Sheet'!G$27</f>
        <v>4.163088453431181E-2</v>
      </c>
      <c r="H17" s="32">
        <f>'Balance Sheet'!H17/'Balance Sheet'!H$27</f>
        <v>0.11185729870645074</v>
      </c>
      <c r="I17" s="32">
        <f>'Balance Sheet'!I17/'Balance Sheet'!I$27</f>
        <v>3.259780733485447E-2</v>
      </c>
      <c r="J17" s="32">
        <f>'Balance Sheet'!J17/'Balance Sheet'!J$27</f>
        <v>3.6065144875400613E-2</v>
      </c>
      <c r="K17" s="32">
        <f>'Balance Sheet'!K17/'Balance Sheet'!K$27</f>
        <v>4.9131059715144386E-2</v>
      </c>
      <c r="L17" s="27"/>
    </row>
    <row r="18" spans="1:12" ht="14" x14ac:dyDescent="0.15">
      <c r="A18" s="27" t="s">
        <v>50</v>
      </c>
      <c r="B18" s="32">
        <f>'Balance Sheet'!B18/'Balance Sheet'!B$27</f>
        <v>3.7150152706153308E-2</v>
      </c>
      <c r="C18" s="32">
        <f>'Balance Sheet'!C18/'Balance Sheet'!C$27</f>
        <v>4.4419375308467887E-2</v>
      </c>
      <c r="D18" s="32">
        <f>'Balance Sheet'!D18/'Balance Sheet'!D$27</f>
        <v>4.7223385933063355E-2</v>
      </c>
      <c r="E18" s="32">
        <f>'Balance Sheet'!E18/'Balance Sheet'!E$27</f>
        <v>4.3836600866850817E-2</v>
      </c>
      <c r="F18" s="32">
        <f>'Balance Sheet'!F18/'Balance Sheet'!F$27</f>
        <v>4.3997000204531511E-2</v>
      </c>
      <c r="G18" s="32">
        <f>'Balance Sheet'!G18/'Balance Sheet'!G$27</f>
        <v>4.11039113123585E-2</v>
      </c>
      <c r="H18" s="32">
        <f>'Balance Sheet'!H18/'Balance Sheet'!H$27</f>
        <v>4.239101174537057E-2</v>
      </c>
      <c r="I18" s="32">
        <f>'Balance Sheet'!I18/'Balance Sheet'!I$27</f>
        <v>4.7665423785408202E-2</v>
      </c>
      <c r="J18" s="32">
        <f>'Balance Sheet'!J18/'Balance Sheet'!J$27</f>
        <v>4.3390673032899472E-2</v>
      </c>
      <c r="K18" s="32">
        <f>'Balance Sheet'!K18/'Balance Sheet'!K$27</f>
        <v>4.3486214556383115E-2</v>
      </c>
      <c r="L18" s="27"/>
    </row>
    <row r="19" spans="1:12" ht="14" x14ac:dyDescent="0.15">
      <c r="A19" s="27" t="s">
        <v>51</v>
      </c>
      <c r="B19" s="32">
        <f>'Balance Sheet'!B19/'Balance Sheet'!B$27</f>
        <v>0.27734942171932109</v>
      </c>
      <c r="C19" s="32">
        <f>'Balance Sheet'!C19/'Balance Sheet'!C$27</f>
        <v>0.27753883757550118</v>
      </c>
      <c r="D19" s="32">
        <f>'Balance Sheet'!D19/'Balance Sheet'!D$27</f>
        <v>0.29206814690685656</v>
      </c>
      <c r="E19" s="32">
        <f>'Balance Sheet'!E19/'Balance Sheet'!E$27</f>
        <v>0.28628534213658513</v>
      </c>
      <c r="F19" s="32">
        <f>'Balance Sheet'!F19/'Balance Sheet'!F$27</f>
        <v>0.31645569620253167</v>
      </c>
      <c r="G19" s="32">
        <f>'Balance Sheet'!G19/'Balance Sheet'!G$27</f>
        <v>0.28360918104457805</v>
      </c>
      <c r="H19" s="32">
        <f>'Balance Sheet'!H19/'Balance Sheet'!H$27</f>
        <v>0.23557331293124212</v>
      </c>
      <c r="I19" s="32">
        <f>'Balance Sheet'!I19/'Balance Sheet'!I$27</f>
        <v>0.3070287717736101</v>
      </c>
      <c r="J19" s="32">
        <f>'Balance Sheet'!J19/'Balance Sheet'!J$27</f>
        <v>0.32554123879913666</v>
      </c>
      <c r="K19" s="32">
        <f>'Balance Sheet'!K19/'Balance Sheet'!K$27</f>
        <v>0.2740885927087417</v>
      </c>
      <c r="L19" s="27"/>
    </row>
    <row r="20" spans="1:12" ht="14" x14ac:dyDescent="0.15">
      <c r="A20" s="27" t="s">
        <v>52</v>
      </c>
      <c r="B20" s="32">
        <f>'Balance Sheet'!B20/'Balance Sheet'!B$27</f>
        <v>2.5434336354078005E-2</v>
      </c>
      <c r="C20" s="32">
        <f>'Balance Sheet'!C20/'Balance Sheet'!C$27</f>
        <v>2.5335495546311312E-2</v>
      </c>
      <c r="D20" s="32">
        <f>'Balance Sheet'!D20/'Balance Sheet'!D$27</f>
        <v>1.4150723828143183E-2</v>
      </c>
      <c r="E20" s="32">
        <f>'Balance Sheet'!E20/'Balance Sheet'!E$27</f>
        <v>1.4327741471849805E-2</v>
      </c>
      <c r="F20" s="32">
        <f>'Balance Sheet'!F20/'Balance Sheet'!F$27</f>
        <v>2.0225893689066656E-2</v>
      </c>
      <c r="G20" s="32">
        <f>'Balance Sheet'!G20/'Balance Sheet'!G$27</f>
        <v>2.0298227808572097E-2</v>
      </c>
      <c r="H20" s="32">
        <f>'Balance Sheet'!H20/'Balance Sheet'!H$27</f>
        <v>1.3643898499596208E-2</v>
      </c>
      <c r="I20" s="32">
        <f>'Balance Sheet'!I20/'Balance Sheet'!I$27</f>
        <v>1.6945851188157383E-2</v>
      </c>
      <c r="J20" s="32">
        <f>'Balance Sheet'!J20/'Balance Sheet'!J$27</f>
        <v>1.9765844724965662E-2</v>
      </c>
      <c r="K20" s="32">
        <f>'Balance Sheet'!K20/'Balance Sheet'!K$27</f>
        <v>2.2357245524630864E-2</v>
      </c>
      <c r="L20" s="27"/>
    </row>
    <row r="21" spans="1:12" s="29" customFormat="1" ht="14" x14ac:dyDescent="0.15">
      <c r="A21" s="28" t="s">
        <v>53</v>
      </c>
      <c r="B21" s="33">
        <f>'Balance Sheet'!B21/'Balance Sheet'!B$27</f>
        <v>0.3830671406398638</v>
      </c>
      <c r="C21" s="33">
        <f>'Balance Sheet'!C21/'Balance Sheet'!C$27</f>
        <v>0.3993748384215845</v>
      </c>
      <c r="D21" s="33">
        <f>'Balance Sheet'!D21/'Balance Sheet'!D$27</f>
        <v>0.41251221896383189</v>
      </c>
      <c r="E21" s="33">
        <f>'Balance Sheet'!E21/'Balance Sheet'!E$27</f>
        <v>0.42518358822340496</v>
      </c>
      <c r="F21" s="33">
        <f>'Balance Sheet'!F21/'Balance Sheet'!F$27</f>
        <v>0.42108492602777081</v>
      </c>
      <c r="G21" s="33">
        <f>'Balance Sheet'!G21/'Balance Sheet'!G$27</f>
        <v>0.38664220469982041</v>
      </c>
      <c r="H21" s="33">
        <f>'Balance Sheet'!H21/'Balance Sheet'!H$27</f>
        <v>0.40346552188265966</v>
      </c>
      <c r="I21" s="33">
        <f>'Balance Sheet'!I21/'Balance Sheet'!I$27</f>
        <v>0.40423785408203017</v>
      </c>
      <c r="J21" s="33">
        <f>'Balance Sheet'!J21/'Balance Sheet'!J$27</f>
        <v>0.42476290143240236</v>
      </c>
      <c r="K21" s="33">
        <f>'Balance Sheet'!K21/'Balance Sheet'!K$27</f>
        <v>0.38906311250490005</v>
      </c>
      <c r="L21" s="28"/>
    </row>
    <row r="22" spans="1:12" ht="14" x14ac:dyDescent="0.15">
      <c r="A22" s="27" t="s">
        <v>54</v>
      </c>
      <c r="B22" s="32">
        <f>'Balance Sheet'!B22/'Balance Sheet'!B$27</f>
        <v>0.96412657087067544</v>
      </c>
      <c r="C22" s="32">
        <f>'Balance Sheet'!C22/'Balance Sheet'!C$27</f>
        <v>0.92284189992714283</v>
      </c>
      <c r="D22" s="32">
        <f>'Balance Sheet'!D22/'Balance Sheet'!D$27</f>
        <v>0.94088348927058607</v>
      </c>
      <c r="E22" s="32">
        <f>'Balance Sheet'!E22/'Balance Sheet'!E$27</f>
        <v>0.93004558826831951</v>
      </c>
      <c r="F22" s="32">
        <f>'Balance Sheet'!F22/'Balance Sheet'!F$27</f>
        <v>0.97581983046610454</v>
      </c>
      <c r="G22" s="32">
        <f>'Balance Sheet'!G22/'Balance Sheet'!G$27</f>
        <v>0.87555624951206179</v>
      </c>
      <c r="H22" s="32">
        <f>'Balance Sheet'!H22/'Balance Sheet'!H$27</f>
        <v>0.69141837038296428</v>
      </c>
      <c r="I22" s="32">
        <f>'Balance Sheet'!I22/'Balance Sheet'!I$27</f>
        <v>0.71413267293672433</v>
      </c>
      <c r="J22" s="32">
        <f>'Balance Sheet'!J22/'Balance Sheet'!J$27</f>
        <v>0.68382497220223692</v>
      </c>
      <c r="K22" s="32">
        <f>'Balance Sheet'!K22/'Balance Sheet'!K$27</f>
        <v>0.69589703384293744</v>
      </c>
      <c r="L22" s="27"/>
    </row>
    <row r="23" spans="1:12" ht="14" x14ac:dyDescent="0.15">
      <c r="A23" s="27" t="s">
        <v>55</v>
      </c>
      <c r="B23" s="32">
        <f>'Balance Sheet'!B23/'Balance Sheet'!B$27</f>
        <v>0.39535873429129326</v>
      </c>
      <c r="C23" s="32">
        <f>'Balance Sheet'!C23/'Balance Sheet'!C$27</f>
        <v>0.40130202824978262</v>
      </c>
      <c r="D23" s="32">
        <f>'Balance Sheet'!D23/'Balance Sheet'!D$27</f>
        <v>0.43085230182004375</v>
      </c>
      <c r="E23" s="32">
        <f>'Balance Sheet'!E23/'Balance Sheet'!E$27</f>
        <v>0.4343012418873094</v>
      </c>
      <c r="F23" s="32">
        <f>'Balance Sheet'!F23/'Balance Sheet'!F$27</f>
        <v>0.46733177283367044</v>
      </c>
      <c r="G23" s="32">
        <f>'Balance Sheet'!G23/'Balance Sheet'!G$27</f>
        <v>0.43114216566476699</v>
      </c>
      <c r="H23" s="32">
        <f>'Balance Sheet'!H23/'Balance Sheet'!H$27</f>
        <v>0.34139499298678117</v>
      </c>
      <c r="I23" s="32">
        <f>'Balance Sheet'!I23/'Balance Sheet'!I$27</f>
        <v>0.36354276810061775</v>
      </c>
      <c r="J23" s="32">
        <f>'Balance Sheet'!J23/'Balance Sheet'!J$27</f>
        <v>0.34853816469357052</v>
      </c>
      <c r="K23" s="32">
        <f>'Balance Sheet'!K23/'Balance Sheet'!K$27</f>
        <v>0.35414869985626551</v>
      </c>
      <c r="L23" s="27"/>
    </row>
    <row r="24" spans="1:12" ht="14" x14ac:dyDescent="0.15">
      <c r="A24" s="27" t="s">
        <v>56</v>
      </c>
      <c r="B24" s="32">
        <f>'Balance Sheet'!B24/'Balance Sheet'!B$27</f>
        <v>0.56876783657938212</v>
      </c>
      <c r="C24" s="32">
        <f>'Balance Sheet'!C24/'Balance Sheet'!C$27</f>
        <v>0.52153987167736027</v>
      </c>
      <c r="D24" s="32">
        <f>'Balance Sheet'!D24/'Balance Sheet'!D$27</f>
        <v>0.51003118745054232</v>
      </c>
      <c r="E24" s="32">
        <f>'Balance Sheet'!E24/'Balance Sheet'!E$27</f>
        <v>0.49574434638101011</v>
      </c>
      <c r="F24" s="32">
        <f>'Balance Sheet'!F24/'Balance Sheet'!F$27</f>
        <v>0.5084880576324341</v>
      </c>
      <c r="G24" s="32">
        <f>'Balance Sheet'!G24/'Balance Sheet'!G$27</f>
        <v>0.44441408384729486</v>
      </c>
      <c r="H24" s="32">
        <f>'Balance Sheet'!H24/'Balance Sheet'!H$27</f>
        <v>0.35002337739618311</v>
      </c>
      <c r="I24" s="32">
        <f>'Balance Sheet'!I24/'Balance Sheet'!I$27</f>
        <v>0.35058990483610664</v>
      </c>
      <c r="J24" s="32">
        <f>'Balance Sheet'!J24/'Balance Sheet'!J$27</f>
        <v>0.33528680750866635</v>
      </c>
      <c r="K24" s="32">
        <f>'Balance Sheet'!K24/'Balance Sheet'!K$27</f>
        <v>0.34174833398667187</v>
      </c>
      <c r="L24" s="27"/>
    </row>
    <row r="25" spans="1:12" ht="14" x14ac:dyDescent="0.15">
      <c r="A25" s="27" t="s">
        <v>57</v>
      </c>
      <c r="B25" s="32">
        <f>'Balance Sheet'!B25/'Balance Sheet'!B$27</f>
        <v>3.3870725479397186E-2</v>
      </c>
      <c r="C25" s="32">
        <f>'Balance Sheet'!C25/'Balance Sheet'!C$27</f>
        <v>4.9401866083809254E-2</v>
      </c>
      <c r="D25" s="32">
        <f>'Balance Sheet'!D25/'Balance Sheet'!D$27</f>
        <v>4.8712935809710006E-2</v>
      </c>
      <c r="E25" s="32">
        <f>'Balance Sheet'!E25/'Balance Sheet'!E$27</f>
        <v>5.1090300702912705E-2</v>
      </c>
      <c r="F25" s="32">
        <f>'Balance Sheet'!F25/'Balance Sheet'!F$27</f>
        <v>5.1178328750312481E-2</v>
      </c>
      <c r="G25" s="32">
        <f>'Balance Sheet'!G25/'Balance Sheet'!G$27</f>
        <v>4.3992505269732217E-2</v>
      </c>
      <c r="H25" s="32">
        <f>'Balance Sheet'!H25/'Balance Sheet'!H$27</f>
        <v>0.10096201527323218</v>
      </c>
      <c r="I25" s="32">
        <f>'Balance Sheet'!I25/'Balance Sheet'!I$27</f>
        <v>0.103636818965997</v>
      </c>
      <c r="J25" s="32">
        <f>'Balance Sheet'!J25/'Balance Sheet'!J$27</f>
        <v>9.7377199293609787E-2</v>
      </c>
      <c r="K25" s="32">
        <f>'Balance Sheet'!K25/'Balance Sheet'!K$27</f>
        <v>0.11047955050307069</v>
      </c>
      <c r="L25" s="27"/>
    </row>
    <row r="26" spans="1:12" ht="14" x14ac:dyDescent="0.15">
      <c r="A26" s="27" t="s">
        <v>58</v>
      </c>
      <c r="B26" s="32">
        <f>'Balance Sheet'!B26/'Balance Sheet'!B$27</f>
        <v>1.4294297301356831E-2</v>
      </c>
      <c r="C26" s="32">
        <f>'Balance Sheet'!C26/'Balance Sheet'!C$27</f>
        <v>2.9683423817245997E-2</v>
      </c>
      <c r="D26" s="32">
        <f>'Balance Sheet'!D26/'Balance Sheet'!D$27</f>
        <v>2.8743657775915841E-2</v>
      </c>
      <c r="E26" s="32">
        <f>'Balance Sheet'!E26/'Balance Sheet'!E$27</f>
        <v>2.798176469267219E-2</v>
      </c>
      <c r="F26" s="32">
        <f>'Balance Sheet'!F26/'Balance Sheet'!F$27</f>
        <v>1.9248687589482536E-2</v>
      </c>
      <c r="G26" s="32">
        <f>'Balance Sheet'!G26/'Balance Sheet'!G$27</f>
        <v>0.12495120618315247</v>
      </c>
      <c r="H26" s="32">
        <f>'Balance Sheet'!H26/'Balance Sheet'!H$27</f>
        <v>0.14554908544792508</v>
      </c>
      <c r="I26" s="32">
        <f>'Balance Sheet'!I26/'Balance Sheet'!I$27</f>
        <v>0.14153542211586623</v>
      </c>
      <c r="J26" s="32">
        <f>'Balance Sheet'!J26/'Balance Sheet'!J$27</f>
        <v>0.14257309176532149</v>
      </c>
      <c r="K26" s="32">
        <f>'Balance Sheet'!K26/'Balance Sheet'!K$27</f>
        <v>0.15870900300535737</v>
      </c>
      <c r="L26" s="27"/>
    </row>
    <row r="27" spans="1:12" s="29" customFormat="1" ht="14" x14ac:dyDescent="0.15">
      <c r="A27" s="28" t="s">
        <v>59</v>
      </c>
      <c r="B27" s="33">
        <f>'Balance Sheet'!B27/'Balance Sheet'!B$27</f>
        <v>1</v>
      </c>
      <c r="C27" s="33">
        <f>'Balance Sheet'!C27/'Balance Sheet'!C$27</f>
        <v>1</v>
      </c>
      <c r="D27" s="33">
        <f>'Balance Sheet'!D27/'Balance Sheet'!D$27</f>
        <v>1</v>
      </c>
      <c r="E27" s="33">
        <f>'Balance Sheet'!E27/'Balance Sheet'!E$27</f>
        <v>1</v>
      </c>
      <c r="F27" s="33">
        <f>'Balance Sheet'!F27/'Balance Sheet'!F$27</f>
        <v>1</v>
      </c>
      <c r="G27" s="33">
        <f>'Balance Sheet'!G27/'Balance Sheet'!G$27</f>
        <v>1</v>
      </c>
      <c r="H27" s="33">
        <f>'Balance Sheet'!H27/'Balance Sheet'!H$27</f>
        <v>1</v>
      </c>
      <c r="I27" s="33">
        <f>'Balance Sheet'!I27/'Balance Sheet'!I$27</f>
        <v>1</v>
      </c>
      <c r="J27" s="33">
        <f>'Balance Sheet'!J27/'Balance Sheet'!J$27</f>
        <v>1</v>
      </c>
      <c r="K27" s="33">
        <f>'Balance Sheet'!K27/'Balance Sheet'!K$27</f>
        <v>1</v>
      </c>
      <c r="L27" s="28"/>
    </row>
    <row r="28" spans="1:12" ht="14" x14ac:dyDescent="0.15">
      <c r="A28" s="27" t="s">
        <v>60</v>
      </c>
      <c r="B28" s="32">
        <f>'Balance Sheet'!B28/'Balance Sheet'!B$27</f>
        <v>0.22540429579932911</v>
      </c>
      <c r="C28" s="32">
        <f>'Balance Sheet'!C28/'Balance Sheet'!C$27</f>
        <v>0.23556370302474794</v>
      </c>
      <c r="D28" s="32">
        <f>'Balance Sheet'!D28/'Balance Sheet'!D$27</f>
        <v>0.24854536144858724</v>
      </c>
      <c r="E28" s="32">
        <f>'Balance Sheet'!E28/'Balance Sheet'!E$27</f>
        <v>0.24824271822857014</v>
      </c>
      <c r="F28" s="32">
        <f>'Balance Sheet'!F28/'Balance Sheet'!F$27</f>
        <v>0.26979978637820151</v>
      </c>
      <c r="G28" s="32">
        <f>'Balance Sheet'!G28/'Balance Sheet'!G$27</f>
        <v>0.2333905847451011</v>
      </c>
      <c r="H28" s="32">
        <f>'Balance Sheet'!H28/'Balance Sheet'!H$27</f>
        <v>0.24272821297516328</v>
      </c>
      <c r="I28" s="32">
        <f>'Balance Sheet'!I28/'Balance Sheet'!I$27</f>
        <v>0.27518225833379711</v>
      </c>
      <c r="J28" s="32">
        <f>'Balance Sheet'!J28/'Balance Sheet'!J$27</f>
        <v>0.22620184446333966</v>
      </c>
      <c r="K28" s="32">
        <f>'Balance Sheet'!K28/'Balance Sheet'!K$27</f>
        <v>0.21374624330327976</v>
      </c>
      <c r="L28" s="27"/>
    </row>
    <row r="29" spans="1:12" ht="14" x14ac:dyDescent="0.15">
      <c r="A29" s="27" t="s">
        <v>61</v>
      </c>
      <c r="B29" s="32">
        <f>'Balance Sheet'!B29/'Balance Sheet'!B$27</f>
        <v>0.14537125118910529</v>
      </c>
      <c r="C29" s="32">
        <f>'Balance Sheet'!C29/'Balance Sheet'!C$27</f>
        <v>0.15429269783073632</v>
      </c>
      <c r="D29" s="32">
        <f>'Balance Sheet'!D29/'Balance Sheet'!D$27</f>
        <v>0.16291951775822744</v>
      </c>
      <c r="E29" s="32">
        <f>'Balance Sheet'!E29/'Balance Sheet'!E$27</f>
        <v>0.16268050034808776</v>
      </c>
      <c r="F29" s="32">
        <f>'Balance Sheet'!F29/'Balance Sheet'!F$27</f>
        <v>0.1762379837738336</v>
      </c>
      <c r="G29" s="32">
        <f>'Balance Sheet'!G29/'Balance Sheet'!G$27</f>
        <v>0.15198298071668359</v>
      </c>
      <c r="H29" s="32">
        <f>'Balance Sheet'!H29/'Balance Sheet'!H$27</f>
        <v>0.1644351879400972</v>
      </c>
      <c r="I29" s="32">
        <f>'Balance Sheet'!I29/'Balance Sheet'!I$27</f>
        <v>0.18729478546385442</v>
      </c>
      <c r="J29" s="32">
        <f>'Balance Sheet'!J29/'Balance Sheet'!J$27</f>
        <v>0.14968931911832037</v>
      </c>
      <c r="K29" s="32">
        <f>'Balance Sheet'!K29/'Balance Sheet'!K$27</f>
        <v>0.13115118254279368</v>
      </c>
      <c r="L29" s="27"/>
    </row>
    <row r="30" spans="1:12" ht="14" x14ac:dyDescent="0.15">
      <c r="A30" s="27" t="s">
        <v>62</v>
      </c>
      <c r="B30" s="32">
        <f>'Balance Sheet'!B30/'Balance Sheet'!B$27</f>
        <v>8.00330446102238E-2</v>
      </c>
      <c r="C30" s="32">
        <f>'Balance Sheet'!C30/'Balance Sheet'!C$27</f>
        <v>8.1271005194011606E-2</v>
      </c>
      <c r="D30" s="32">
        <f>'Balance Sheet'!D30/'Balance Sheet'!D$27</f>
        <v>8.5625843690359818E-2</v>
      </c>
      <c r="E30" s="32">
        <f>'Balance Sheet'!E30/'Balance Sheet'!E$27</f>
        <v>8.5562217880482377E-2</v>
      </c>
      <c r="F30" s="32">
        <f>'Balance Sheet'!F30/'Balance Sheet'!F$27</f>
        <v>9.3561802604367889E-2</v>
      </c>
      <c r="G30" s="32">
        <f>'Balance Sheet'!G30/'Balance Sheet'!G$27</f>
        <v>8.1407604028417513E-2</v>
      </c>
      <c r="H30" s="32">
        <f>'Balance Sheet'!H30/'Balance Sheet'!H$27</f>
        <v>7.8293025035066091E-2</v>
      </c>
      <c r="I30" s="32">
        <f>'Balance Sheet'!I30/'Balance Sheet'!I$27</f>
        <v>8.7887472869942682E-2</v>
      </c>
      <c r="J30" s="32">
        <f>'Balance Sheet'!J30/'Balance Sheet'!J$27</f>
        <v>7.6512525345019289E-2</v>
      </c>
      <c r="K30" s="32">
        <f>'Balance Sheet'!K30/'Balance Sheet'!K$27</f>
        <v>8.2595060760486089E-2</v>
      </c>
      <c r="L30" s="27"/>
    </row>
    <row r="31" spans="1:12" ht="14" x14ac:dyDescent="0.15">
      <c r="A31" s="27" t="s">
        <v>63</v>
      </c>
      <c r="B31" s="32">
        <f>'Balance Sheet'!B31/'Balance Sheet'!B$27</f>
        <v>8.211084964702348E-3</v>
      </c>
      <c r="C31" s="32">
        <f>'Balance Sheet'!C31/'Balance Sheet'!C$27</f>
        <v>1.0035488495616819E-2</v>
      </c>
      <c r="D31" s="32">
        <f>'Balance Sheet'!D31/'Balance Sheet'!D$27</f>
        <v>2.9139319461900109E-2</v>
      </c>
      <c r="E31" s="32">
        <f>'Balance Sheet'!E31/'Balance Sheet'!E$27</f>
        <v>6.2004536369556919E-2</v>
      </c>
      <c r="F31" s="32">
        <f>'Balance Sheet'!F31/'Balance Sheet'!F$27</f>
        <v>5.4428107174510826E-2</v>
      </c>
      <c r="G31" s="32">
        <f>'Balance Sheet'!G31/'Balance Sheet'!G$27</f>
        <v>5.490280271683972E-2</v>
      </c>
      <c r="H31" s="32">
        <f>'Balance Sheet'!H31/'Balance Sheet'!H$27</f>
        <v>2.0062056360776979E-2</v>
      </c>
      <c r="I31" s="32">
        <f>'Balance Sheet'!I31/'Balance Sheet'!I$27</f>
        <v>4.8444543380266013E-2</v>
      </c>
      <c r="J31" s="32">
        <f>'Balance Sheet'!J31/'Balance Sheet'!J$27</f>
        <v>1.6103080646216236E-2</v>
      </c>
      <c r="K31" s="32">
        <f>'Balance Sheet'!K31/'Balance Sheet'!K$27</f>
        <v>1.4373448320919901E-2</v>
      </c>
      <c r="L31" s="27"/>
    </row>
    <row r="32" spans="1:12" ht="14" x14ac:dyDescent="0.15">
      <c r="A32" s="27" t="s">
        <v>64</v>
      </c>
      <c r="B32" s="32">
        <f>'Balance Sheet'!B32/'Balance Sheet'!B$27</f>
        <v>4.849046212386722E-2</v>
      </c>
      <c r="C32" s="32">
        <f>'Balance Sheet'!C32/'Balance Sheet'!C$27</f>
        <v>4.8790805894380597E-2</v>
      </c>
      <c r="D32" s="32">
        <f>'Balance Sheet'!D32/'Balance Sheet'!D$27</f>
        <v>5.124982544337383E-2</v>
      </c>
      <c r="E32" s="32">
        <f>'Balance Sheet'!E32/'Balance Sheet'!E$27</f>
        <v>5.3425857306474429E-2</v>
      </c>
      <c r="F32" s="32">
        <f>'Balance Sheet'!F32/'Balance Sheet'!F$27</f>
        <v>5.565529622980251E-2</v>
      </c>
      <c r="G32" s="32">
        <f>'Balance Sheet'!G32/'Balance Sheet'!G$27</f>
        <v>7.0341166367397928E-2</v>
      </c>
      <c r="H32" s="32">
        <f>'Balance Sheet'!H32/'Balance Sheet'!H$27</f>
        <v>6.5428373074906843E-2</v>
      </c>
      <c r="I32" s="32">
        <f>'Balance Sheet'!I32/'Balance Sheet'!I$27</f>
        <v>7.5574600701207639E-2</v>
      </c>
      <c r="J32" s="32">
        <f>'Balance Sheet'!J32/'Balance Sheet'!J$27</f>
        <v>6.0003924390084375E-2</v>
      </c>
      <c r="K32" s="32">
        <f>'Balance Sheet'!K32/'Balance Sheet'!K$27</f>
        <v>5.6043381680386778E-2</v>
      </c>
      <c r="L32" s="27"/>
    </row>
    <row r="33" spans="1:12" ht="14" x14ac:dyDescent="0.15">
      <c r="A33" s="27" t="s">
        <v>65</v>
      </c>
      <c r="B33" s="32">
        <f>'Balance Sheet'!B33/'Balance Sheet'!B$27</f>
        <v>0.28210584288789864</v>
      </c>
      <c r="C33" s="32">
        <f>'Balance Sheet'!C33/'Balance Sheet'!C$27</f>
        <v>0.29438999741474536</v>
      </c>
      <c r="D33" s="32">
        <f>'Balance Sheet'!D33/'Balance Sheet'!D$27</f>
        <v>0.32893450635386118</v>
      </c>
      <c r="E33" s="32">
        <f>'Balance Sheet'!E33/'Balance Sheet'!E$27</f>
        <v>0.3636731119046015</v>
      </c>
      <c r="F33" s="32">
        <f>'Balance Sheet'!F33/'Balance Sheet'!F$27</f>
        <v>0.37988318978251484</v>
      </c>
      <c r="G33" s="32">
        <f>'Balance Sheet'!G33/'Balance Sheet'!G$27</f>
        <v>0.35863455382933873</v>
      </c>
      <c r="H33" s="32">
        <f>'Balance Sheet'!H33/'Balance Sheet'!H$27</f>
        <v>0.32821864241084714</v>
      </c>
      <c r="I33" s="32">
        <f>'Balance Sheet'!I33/'Balance Sheet'!I$27</f>
        <v>0.39920140241527075</v>
      </c>
      <c r="J33" s="32">
        <f>'Balance Sheet'!J33/'Balance Sheet'!J$27</f>
        <v>0.30230884949964026</v>
      </c>
      <c r="K33" s="32">
        <f>'Balance Sheet'!K33/'Balance Sheet'!K$27</f>
        <v>0.28766496798641056</v>
      </c>
      <c r="L33" s="27"/>
    </row>
    <row r="34" spans="1:12" ht="14" x14ac:dyDescent="0.15">
      <c r="A34" s="27" t="s">
        <v>66</v>
      </c>
      <c r="B34" s="32">
        <f>'Balance Sheet'!B34/'Balance Sheet'!B$27</f>
        <v>0.42229509838281681</v>
      </c>
      <c r="C34" s="32">
        <f>'Balance Sheet'!C34/'Balance Sheet'!C$27</f>
        <v>0.4909163552609932</v>
      </c>
      <c r="D34" s="32">
        <f>'Balance Sheet'!D34/'Balance Sheet'!D$27</f>
        <v>0.52015547176837496</v>
      </c>
      <c r="E34" s="32">
        <f>'Balance Sheet'!E34/'Balance Sheet'!E$27</f>
        <v>0.54497069325608027</v>
      </c>
      <c r="F34" s="32">
        <f>'Balance Sheet'!F34/'Balance Sheet'!F$27</f>
        <v>0.60920846305933685</v>
      </c>
      <c r="G34" s="32">
        <f>'Balance Sheet'!G34/'Balance Sheet'!G$27</f>
        <v>0.55956749160746355</v>
      </c>
      <c r="H34" s="32">
        <f>'Balance Sheet'!H34/'Balance Sheet'!H$27</f>
        <v>0.50753035519474077</v>
      </c>
      <c r="I34" s="32">
        <f>'Balance Sheet'!I34/'Balance Sheet'!I$27</f>
        <v>0.50926595803884467</v>
      </c>
      <c r="J34" s="32">
        <f>'Balance Sheet'!J34/'Balance Sheet'!J$27</f>
        <v>0.54891752240172675</v>
      </c>
      <c r="K34" s="32">
        <f>'Balance Sheet'!K34/'Balance Sheet'!K$27</f>
        <v>0.55851300143734484</v>
      </c>
      <c r="L34" s="27"/>
    </row>
    <row r="35" spans="1:12" ht="14" x14ac:dyDescent="0.15">
      <c r="A35" s="27" t="s">
        <v>67</v>
      </c>
      <c r="B35" s="32">
        <f>'Balance Sheet'!B35/'Balance Sheet'!B$27</f>
        <v>1.60716967906674E-2</v>
      </c>
      <c r="C35" s="32">
        <f>'Balance Sheet'!C35/'Balance Sheet'!C$27</f>
        <v>2.0070976991233638E-2</v>
      </c>
      <c r="D35" s="32">
        <f>'Balance Sheet'!D35/'Balance Sheet'!D$27</f>
        <v>6.8891681794907601E-3</v>
      </c>
      <c r="E35" s="32">
        <f>'Balance Sheet'!E35/'Balance Sheet'!E$27</f>
        <v>9.8812010150688308E-3</v>
      </c>
      <c r="F35" s="32">
        <f>'Balance Sheet'!F35/'Balance Sheet'!F$27</f>
        <v>1.1158330113855874E-2</v>
      </c>
      <c r="G35" s="32">
        <f>'Balance Sheet'!G35/'Balance Sheet'!G$27</f>
        <v>1.3779373877742213E-2</v>
      </c>
      <c r="H35" s="32">
        <f>'Balance Sheet'!H35/'Balance Sheet'!H$27</f>
        <v>1.6024142474603646E-2</v>
      </c>
      <c r="I35" s="32">
        <f>'Balance Sheet'!I35/'Balance Sheet'!I$27</f>
        <v>1.2646780566531249E-2</v>
      </c>
      <c r="J35" s="32">
        <f>'Balance Sheet'!J35/'Balance Sheet'!J$27</f>
        <v>1.3329844986591666E-2</v>
      </c>
      <c r="K35" s="32">
        <f>'Balance Sheet'!K35/'Balance Sheet'!K$27</f>
        <v>1.1276623546321704E-2</v>
      </c>
      <c r="L35" s="27"/>
    </row>
    <row r="36" spans="1:12" ht="14" x14ac:dyDescent="0.15">
      <c r="A36" s="27" t="s">
        <v>68</v>
      </c>
      <c r="B36" s="32">
        <f>'Balance Sheet'!B36/'Balance Sheet'!B$27</f>
        <v>4.6162319130826614E-2</v>
      </c>
      <c r="C36" s="32">
        <f>'Balance Sheet'!C36/'Balance Sheet'!C$27</f>
        <v>4.6182048931819784E-2</v>
      </c>
      <c r="D36" s="32">
        <f>'Balance Sheet'!D36/'Balance Sheet'!D$27</f>
        <v>4.3173672205930269E-2</v>
      </c>
      <c r="E36" s="32">
        <f>'Balance Sheet'!E36/'Balance Sheet'!E$27</f>
        <v>4.8822115924453728E-2</v>
      </c>
      <c r="F36" s="32">
        <f>'Balance Sheet'!F36/'Balance Sheet'!F$27</f>
        <v>4.242892530054769E-2</v>
      </c>
      <c r="G36" s="32">
        <f>'Balance Sheet'!G36/'Balance Sheet'!G$27</f>
        <v>0.12883519400421578</v>
      </c>
      <c r="H36" s="32">
        <f>'Balance Sheet'!H36/'Balance Sheet'!H$27</f>
        <v>0.10148623567248977</v>
      </c>
      <c r="I36" s="32">
        <f>'Balance Sheet'!I36/'Balance Sheet'!I$27</f>
        <v>0.10248205242361845</v>
      </c>
      <c r="J36" s="32">
        <f>'Balance Sheet'!J36/'Balance Sheet'!J$27</f>
        <v>0.11501079207273203</v>
      </c>
      <c r="K36" s="32">
        <f>'Balance Sheet'!K36/'Balance Sheet'!K$27</f>
        <v>0.12890369789624984</v>
      </c>
      <c r="L36" s="27"/>
    </row>
    <row r="37" spans="1:12" s="29" customFormat="1" ht="14" x14ac:dyDescent="0.15">
      <c r="A37" s="28" t="s">
        <v>69</v>
      </c>
      <c r="B37" s="33">
        <f>'Balance Sheet'!B37/'Balance Sheet'!B$27</f>
        <v>0.76663495719220953</v>
      </c>
      <c r="C37" s="33">
        <f>'Balance Sheet'!C37/'Balance Sheet'!C$27</f>
        <v>0.85155937859879194</v>
      </c>
      <c r="D37" s="33">
        <f>'Balance Sheet'!D37/'Balance Sheet'!D$27</f>
        <v>0.89915281850765727</v>
      </c>
      <c r="E37" s="33">
        <f>'Balance Sheet'!E37/'Balance Sheet'!E$27</f>
        <v>0.96734712210020435</v>
      </c>
      <c r="F37" s="33">
        <f>'Balance Sheet'!F37/'Balance Sheet'!F$27</f>
        <v>1.0426789082562553</v>
      </c>
      <c r="G37" s="33">
        <f>'Balance Sheet'!G37/'Balance Sheet'!G$27</f>
        <v>1.0608166133187602</v>
      </c>
      <c r="H37" s="33">
        <f>'Balance Sheet'!H37/'Balance Sheet'!H$27</f>
        <v>0.95325937575268127</v>
      </c>
      <c r="I37" s="33">
        <f>'Balance Sheet'!I37/'Balance Sheet'!I$27</f>
        <v>1.0235961934442652</v>
      </c>
      <c r="J37" s="33">
        <f>'Balance Sheet'!J37/'Balance Sheet'!J$27</f>
        <v>0.97956700896069071</v>
      </c>
      <c r="K37" s="33">
        <f>'Balance Sheet'!K37/'Balance Sheet'!K$27</f>
        <v>0.98635829086632698</v>
      </c>
      <c r="L37" s="28"/>
    </row>
    <row r="38" spans="1:12" ht="14" x14ac:dyDescent="0.15">
      <c r="A38" s="27" t="s">
        <v>70</v>
      </c>
      <c r="B38" s="32">
        <f>'Balance Sheet'!B38/'Balance Sheet'!B$27</f>
        <v>2.2029740149201423E-3</v>
      </c>
      <c r="C38" s="32">
        <f>'Balance Sheet'!C38/'Balance Sheet'!C$27</f>
        <v>2.0682037180662295E-3</v>
      </c>
      <c r="D38" s="32">
        <f>'Balance Sheet'!D38/'Balance Sheet'!D$27</f>
        <v>2.0481310803891449E-3</v>
      </c>
      <c r="E38" s="32">
        <f>'Balance Sheet'!E38/'Balance Sheet'!E$27</f>
        <v>1.9986974780480137E-3</v>
      </c>
      <c r="F38" s="32">
        <f>'Balance Sheet'!F38/'Balance Sheet'!F$27</f>
        <v>2.0225893689066656E-3</v>
      </c>
      <c r="G38" s="32">
        <f>'Balance Sheet'!G38/'Balance Sheet'!G$27</f>
        <v>1.7370598797720354E-3</v>
      </c>
      <c r="H38" s="32">
        <f>'Balance Sheet'!H38/'Balance Sheet'!H$27</f>
        <v>1.2609625819979882E-3</v>
      </c>
      <c r="I38" s="32">
        <f>'Balance Sheet'!I38/'Balance Sheet'!I$27</f>
        <v>1.2521564917357671E-3</v>
      </c>
      <c r="J38" s="32">
        <f>'Balance Sheet'!J38/'Balance Sheet'!J$27</f>
        <v>1.177317025312316E-3</v>
      </c>
      <c r="K38" s="32">
        <f>'Balance Sheet'!K38/'Balance Sheet'!K$27</f>
        <v>1.1760094080752645E-3</v>
      </c>
      <c r="L38" s="27"/>
    </row>
    <row r="39" spans="1:12" ht="14" x14ac:dyDescent="0.15">
      <c r="A39" s="27" t="s">
        <v>71</v>
      </c>
      <c r="B39" s="32">
        <f>'Balance Sheet'!B39/'Balance Sheet'!B$27</f>
        <v>0.22242527412006208</v>
      </c>
      <c r="C39" s="32">
        <f>'Balance Sheet'!C39/'Balance Sheet'!C$27</f>
        <v>0.21967613809960282</v>
      </c>
      <c r="D39" s="32">
        <f>'Balance Sheet'!D39/'Balance Sheet'!D$27</f>
        <v>0.22778476004282455</v>
      </c>
      <c r="E39" s="32">
        <f>'Balance Sheet'!E39/'Balance Sheet'!E$27</f>
        <v>0.22888454714904893</v>
      </c>
      <c r="F39" s="32">
        <f>'Balance Sheet'!F39/'Balance Sheet'!F$27</f>
        <v>0.24039270049769335</v>
      </c>
      <c r="G39" s="32">
        <f>'Balance Sheet'!G39/'Balance Sheet'!G$27</f>
        <v>0.21471231165586696</v>
      </c>
      <c r="H39" s="32">
        <f>'Balance Sheet'!H39/'Balance Sheet'!H$27</f>
        <v>0.16350009209277283</v>
      </c>
      <c r="I39" s="32">
        <f>'Balance Sheet'!I39/'Balance Sheet'!I$27</f>
        <v>0.16879069508598141</v>
      </c>
      <c r="J39" s="32">
        <f>'Balance Sheet'!J39/'Balance Sheet'!J$27</f>
        <v>0.16471973314147426</v>
      </c>
      <c r="K39" s="32">
        <f>'Balance Sheet'!K39/'Balance Sheet'!K$27</f>
        <v>0.1717888409773945</v>
      </c>
      <c r="L39" s="27"/>
    </row>
    <row r="40" spans="1:12" ht="14" x14ac:dyDescent="0.15">
      <c r="A40" s="27" t="s">
        <v>72</v>
      </c>
      <c r="B40" s="32">
        <f>'Balance Sheet'!B40/'Balance Sheet'!B$27</f>
        <v>0.6757873128723777</v>
      </c>
      <c r="C40" s="32">
        <f>'Balance Sheet'!C40/'Balance Sheet'!C$27</f>
        <v>0.72793720181437871</v>
      </c>
      <c r="D40" s="32">
        <f>'Balance Sheet'!D40/'Balance Sheet'!D$27</f>
        <v>0.82667690732206867</v>
      </c>
      <c r="E40" s="32">
        <f>'Balance Sheet'!E40/'Balance Sheet'!E$27</f>
        <v>0.89683127849266775</v>
      </c>
      <c r="F40" s="32">
        <f>'Balance Sheet'!F40/'Balance Sheet'!F$27</f>
        <v>1.0549962502556645</v>
      </c>
      <c r="G40" s="32">
        <f>'Balance Sheet'!G40/'Balance Sheet'!G$27</f>
        <v>1.0096221406823327</v>
      </c>
      <c r="H40" s="32">
        <f>'Balance Sheet'!H40/'Balance Sheet'!H$27</f>
        <v>0.82364942406596675</v>
      </c>
      <c r="I40" s="32">
        <f>'Balance Sheet'!I40/'Balance Sheet'!I$27</f>
        <v>0.94023039679447939</v>
      </c>
      <c r="J40" s="32">
        <f>'Balance Sheet'!J40/'Balance Sheet'!J$27</f>
        <v>1.0058996664268429</v>
      </c>
      <c r="K40" s="32">
        <f>'Balance Sheet'!K40/'Balance Sheet'!K$27</f>
        <v>1.0931138115771593</v>
      </c>
      <c r="L40" s="27"/>
    </row>
    <row r="41" spans="1:12" ht="14" x14ac:dyDescent="0.15">
      <c r="A41" s="27" t="s">
        <v>73</v>
      </c>
      <c r="B41" s="32">
        <f>'Balance Sheet'!B41/'Balance Sheet'!B$27</f>
        <v>-1.1315275622089822E-2</v>
      </c>
      <c r="C41" s="32">
        <f>'Balance Sheet'!C41/'Balance Sheet'!C$27</f>
        <v>-2.1105078850266752E-2</v>
      </c>
      <c r="D41" s="32">
        <f>'Balance Sheet'!D41/'Balance Sheet'!D$27</f>
        <v>-2.0178745985197599E-2</v>
      </c>
      <c r="E41" s="32">
        <f>'Balance Sheet'!E41/'Balance Sheet'!E$27</f>
        <v>-1.2710817669383997E-2</v>
      </c>
      <c r="F41" s="32">
        <f>'Balance Sheet'!F41/'Balance Sheet'!F$27</f>
        <v>-1.7544258346021861E-2</v>
      </c>
      <c r="G41" s="32">
        <f>'Balance Sheet'!G41/'Balance Sheet'!G$27</f>
        <v>-1.4423452260129596E-2</v>
      </c>
      <c r="H41" s="32">
        <f>'Balance Sheet'!H41/'Balance Sheet'!H$27</f>
        <v>-9.5068077811308986E-3</v>
      </c>
      <c r="I41" s="32">
        <f>'Balance Sheet'!I41/'Balance Sheet'!I$27</f>
        <v>-9.7946463353553344E-3</v>
      </c>
      <c r="J41" s="32">
        <f>'Balance Sheet'!J41/'Balance Sheet'!J$27</f>
        <v>-9.392373601936033E-3</v>
      </c>
      <c r="K41" s="32">
        <f>'Balance Sheet'!K41/'Balance Sheet'!K$27</f>
        <v>-6.2328498627989021E-3</v>
      </c>
      <c r="L41" s="27"/>
    </row>
    <row r="42" spans="1:12" ht="14" x14ac:dyDescent="0.15">
      <c r="A42" s="27" t="s">
        <v>74</v>
      </c>
      <c r="B42" s="32">
        <f>'Balance Sheet'!B42/'Balance Sheet'!B$27</f>
        <v>0.65573524257747962</v>
      </c>
      <c r="C42" s="32">
        <f>'Balance Sheet'!C42/'Balance Sheet'!C$27</f>
        <v>0.78013584338057296</v>
      </c>
      <c r="D42" s="32">
        <f>'Balance Sheet'!D42/'Balance Sheet'!D$27</f>
        <v>0.93548387096774188</v>
      </c>
      <c r="E42" s="32">
        <f>'Balance Sheet'!E42/'Balance Sheet'!E$27</f>
        <v>1.0823508275505851</v>
      </c>
      <c r="F42" s="32">
        <f>'Balance Sheet'!F42/'Balance Sheet'!F$27</f>
        <v>1.3225461900324977</v>
      </c>
      <c r="G42" s="32">
        <f>'Balance Sheet'!G42/'Balance Sheet'!G$27</f>
        <v>1.2724646732766023</v>
      </c>
      <c r="H42" s="32">
        <f>'Balance Sheet'!H42/'Balance Sheet'!H$27</f>
        <v>0.932163046712288</v>
      </c>
      <c r="I42" s="32">
        <f>'Balance Sheet'!I42/'Balance Sheet'!I$27</f>
        <v>1.1240747954811063</v>
      </c>
      <c r="J42" s="32">
        <f>'Balance Sheet'!J42/'Balance Sheet'!J$27</f>
        <v>1.141971351952384</v>
      </c>
      <c r="K42" s="32">
        <f>'Balance Sheet'!K42/'Balance Sheet'!K$27</f>
        <v>1.246204102966157</v>
      </c>
      <c r="L42" s="27"/>
    </row>
    <row r="43" spans="1:12" ht="14" x14ac:dyDescent="0.15">
      <c r="A43" s="27" t="s">
        <v>75</v>
      </c>
      <c r="B43" s="32">
        <f>'Balance Sheet'!B43/'Balance Sheet'!B$27</f>
        <v>0.23336504280779052</v>
      </c>
      <c r="C43" s="32">
        <f>'Balance Sheet'!C43/'Balance Sheet'!C$27</f>
        <v>0.14844062140120801</v>
      </c>
      <c r="D43" s="32">
        <f>'Balance Sheet'!D43/'Balance Sheet'!D$27</f>
        <v>0.10084718149234279</v>
      </c>
      <c r="E43" s="32">
        <f>'Balance Sheet'!E43/'Balance Sheet'!E$27</f>
        <v>3.2652877899795638E-2</v>
      </c>
      <c r="F43" s="32">
        <f>'Balance Sheet'!F43/'Balance Sheet'!F$27</f>
        <v>-4.2678908256255255E-2</v>
      </c>
      <c r="G43" s="32">
        <f>'Balance Sheet'!G43/'Balance Sheet'!G$27</f>
        <v>-6.0816613318760246E-2</v>
      </c>
      <c r="H43" s="32">
        <f>'Balance Sheet'!H43/'Balance Sheet'!H$27</f>
        <v>4.6740624247318681E-2</v>
      </c>
      <c r="I43" s="32">
        <f>'Balance Sheet'!I43/'Balance Sheet'!I$27</f>
        <v>-2.3596193444265123E-2</v>
      </c>
      <c r="J43" s="32">
        <f>'Balance Sheet'!J43/'Balance Sheet'!J$27</f>
        <v>2.0432991039309307E-2</v>
      </c>
      <c r="K43" s="32">
        <f>'Balance Sheet'!K43/'Balance Sheet'!K$27</f>
        <v>1.3641709133673069E-2</v>
      </c>
      <c r="L43" s="27"/>
    </row>
    <row r="44" spans="1:12" s="29" customFormat="1" ht="14" x14ac:dyDescent="0.15">
      <c r="A44" s="28" t="s">
        <v>76</v>
      </c>
      <c r="B44" s="33">
        <f>'Balance Sheet'!B44/'Balance Sheet'!B$27</f>
        <v>1</v>
      </c>
      <c r="C44" s="33">
        <f>'Balance Sheet'!C44/'Balance Sheet'!C$27</f>
        <v>1</v>
      </c>
      <c r="D44" s="33">
        <f>'Balance Sheet'!D44/'Balance Sheet'!D$27</f>
        <v>1</v>
      </c>
      <c r="E44" s="33">
        <f>'Balance Sheet'!E44/'Balance Sheet'!E$27</f>
        <v>1</v>
      </c>
      <c r="F44" s="33">
        <f>'Balance Sheet'!F44/'Balance Sheet'!F$27</f>
        <v>1</v>
      </c>
      <c r="G44" s="33">
        <f>'Balance Sheet'!G44/'Balance Sheet'!G$27</f>
        <v>1</v>
      </c>
      <c r="H44" s="33">
        <f>'Balance Sheet'!H44/'Balance Sheet'!H$27</f>
        <v>1</v>
      </c>
      <c r="I44" s="33">
        <f>'Balance Sheet'!I44/'Balance Sheet'!I$27</f>
        <v>1</v>
      </c>
      <c r="J44" s="33">
        <f>'Balance Sheet'!J44/'Balance Sheet'!J$27</f>
        <v>1</v>
      </c>
      <c r="K44" s="33">
        <f>'Balance Sheet'!K44/'Balance Sheet'!K$27</f>
        <v>1</v>
      </c>
      <c r="L44" s="28"/>
    </row>
  </sheetData>
  <sheetProtection formatCells="0" formatColumns="0" formatRows="0" insertColumns="0" insertRows="0" insertHyperlinks="0" deleteColumns="0" deleteRows="0" sort="0" autoFilter="0" pivotTables="0"/>
  <dataConsolidate/>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176BC-675B-6B46-803B-B4462A252C4B}">
  <dimension ref="A4:M138"/>
  <sheetViews>
    <sheetView topLeftCell="A18" zoomScale="94" zoomScaleNormal="140" workbookViewId="0">
      <selection activeCell="R109" sqref="R109"/>
    </sheetView>
  </sheetViews>
  <sheetFormatPr baseColWidth="10" defaultColWidth="8.83203125" defaultRowHeight="13" x14ac:dyDescent="0.15"/>
  <cols>
    <col min="1" max="1" width="43" style="20" customWidth="1"/>
    <col min="2" max="11" width="11.6640625" style="20" bestFit="1" customWidth="1"/>
    <col min="12" max="191" width="12" style="20" customWidth="1"/>
    <col min="192" max="16384" width="8.83203125" style="20"/>
  </cols>
  <sheetData>
    <row r="4" spans="1:12" x14ac:dyDescent="0.15">
      <c r="A4" s="21" t="s">
        <v>0</v>
      </c>
    </row>
    <row r="5" spans="1:12" ht="20" x14ac:dyDescent="0.2">
      <c r="A5" s="22" t="s">
        <v>1</v>
      </c>
    </row>
    <row r="7" spans="1:12" ht="28" x14ac:dyDescent="0.15">
      <c r="A7" s="23" t="s">
        <v>2</v>
      </c>
    </row>
    <row r="10" spans="1:12" ht="15" thickBot="1" x14ac:dyDescent="0.2">
      <c r="A10" s="24" t="s">
        <v>47</v>
      </c>
    </row>
    <row r="11" spans="1:12" ht="14" thickBot="1" x14ac:dyDescent="0.2">
      <c r="A11" s="25" t="s">
        <v>4</v>
      </c>
      <c r="B11" s="36">
        <v>2015</v>
      </c>
      <c r="C11" s="36">
        <v>2016</v>
      </c>
      <c r="D11" s="36">
        <v>2017</v>
      </c>
      <c r="E11" s="36">
        <v>2018</v>
      </c>
      <c r="F11" s="36">
        <v>2019</v>
      </c>
      <c r="G11" s="36">
        <v>2020</v>
      </c>
      <c r="H11" s="36">
        <v>2021</v>
      </c>
      <c r="I11" s="36">
        <v>2022</v>
      </c>
      <c r="J11" s="36">
        <v>2023</v>
      </c>
      <c r="K11" s="36">
        <v>2024</v>
      </c>
      <c r="L11" s="25"/>
    </row>
    <row r="12" spans="1:12" ht="14" x14ac:dyDescent="0.15">
      <c r="A12" s="25" t="s">
        <v>15</v>
      </c>
      <c r="B12" s="26" t="s">
        <v>16</v>
      </c>
      <c r="C12" s="26" t="s">
        <v>16</v>
      </c>
      <c r="D12" s="26" t="s">
        <v>16</v>
      </c>
      <c r="E12" s="26" t="s">
        <v>16</v>
      </c>
      <c r="F12" s="26" t="s">
        <v>16</v>
      </c>
      <c r="G12" s="26" t="s">
        <v>16</v>
      </c>
      <c r="H12" s="26" t="s">
        <v>16</v>
      </c>
      <c r="I12" s="26" t="s">
        <v>16</v>
      </c>
      <c r="J12" s="26" t="s">
        <v>16</v>
      </c>
      <c r="K12" s="26" t="s">
        <v>16</v>
      </c>
      <c r="L12" s="25"/>
    </row>
    <row r="13" spans="1:12" ht="14" x14ac:dyDescent="0.15">
      <c r="A13" s="25" t="s">
        <v>17</v>
      </c>
      <c r="B13" s="26" t="s">
        <v>18</v>
      </c>
      <c r="C13" s="26" t="s">
        <v>18</v>
      </c>
      <c r="D13" s="26" t="s">
        <v>18</v>
      </c>
      <c r="E13" s="26" t="s">
        <v>18</v>
      </c>
      <c r="F13" s="26" t="s">
        <v>18</v>
      </c>
      <c r="G13" s="26" t="s">
        <v>18</v>
      </c>
      <c r="H13" s="26" t="s">
        <v>18</v>
      </c>
      <c r="I13" s="26" t="s">
        <v>18</v>
      </c>
      <c r="J13" s="26" t="s">
        <v>18</v>
      </c>
      <c r="K13" s="26" t="s">
        <v>18</v>
      </c>
      <c r="L13" s="25"/>
    </row>
    <row r="14" spans="1:12" ht="14" x14ac:dyDescent="0.15">
      <c r="A14" s="25" t="s">
        <v>19</v>
      </c>
      <c r="B14" s="26" t="s">
        <v>20</v>
      </c>
      <c r="C14" s="26" t="s">
        <v>20</v>
      </c>
      <c r="D14" s="26" t="s">
        <v>20</v>
      </c>
      <c r="E14" s="26" t="s">
        <v>20</v>
      </c>
      <c r="F14" s="26" t="s">
        <v>20</v>
      </c>
      <c r="G14" s="26" t="s">
        <v>20</v>
      </c>
      <c r="H14" s="26" t="s">
        <v>20</v>
      </c>
      <c r="I14" s="26" t="s">
        <v>20</v>
      </c>
      <c r="J14" s="26" t="s">
        <v>20</v>
      </c>
      <c r="K14" s="26" t="s">
        <v>20</v>
      </c>
      <c r="L14" s="25"/>
    </row>
    <row r="15" spans="1:12" ht="14" x14ac:dyDescent="0.15">
      <c r="A15" s="25" t="s">
        <v>21</v>
      </c>
      <c r="B15" s="26" t="s">
        <v>22</v>
      </c>
      <c r="C15" s="26" t="s">
        <v>22</v>
      </c>
      <c r="D15" s="26" t="s">
        <v>22</v>
      </c>
      <c r="E15" s="26" t="s">
        <v>22</v>
      </c>
      <c r="F15" s="26" t="s">
        <v>22</v>
      </c>
      <c r="G15" s="26" t="s">
        <v>22</v>
      </c>
      <c r="H15" s="26" t="s">
        <v>22</v>
      </c>
      <c r="I15" s="26" t="s">
        <v>22</v>
      </c>
      <c r="J15" s="26" t="s">
        <v>22</v>
      </c>
      <c r="K15" s="26" t="s">
        <v>22</v>
      </c>
      <c r="L15" s="25"/>
    </row>
    <row r="16" spans="1:12" ht="14" x14ac:dyDescent="0.15">
      <c r="A16" s="27" t="s">
        <v>48</v>
      </c>
      <c r="B16" s="32">
        <f>'Balance Sheet'!B16/'Income Statement'!B$20</f>
        <v>2.0715110127921516E-2</v>
      </c>
      <c r="C16" s="32">
        <f>'Balance Sheet'!C16/'Income Statement'!C$20</f>
        <v>2.503417345428665E-2</v>
      </c>
      <c r="D16" s="32">
        <f>'Balance Sheet'!D16/'Income Statement'!D$20</f>
        <v>2.6830170727839737E-2</v>
      </c>
      <c r="E16" s="32">
        <f>'Balance Sheet'!E16/'Income Statement'!E$20</f>
        <v>3.5627923570918894E-2</v>
      </c>
      <c r="F16" s="32">
        <f>'Balance Sheet'!F16/'Income Statement'!F$20</f>
        <v>1.6432076744637394E-2</v>
      </c>
      <c r="G16" s="32">
        <f>'Balance Sheet'!G16/'Income Statement'!G$20</f>
        <v>1.9351326831481063E-2</v>
      </c>
      <c r="H16" s="32">
        <f>'Balance Sheet'!H16/'Income Statement'!H$20</f>
        <v>5.9760805389448189E-2</v>
      </c>
      <c r="I16" s="32">
        <f>'Balance Sheet'!I16/'Income Statement'!I$20</f>
        <v>1.5500439939930007E-2</v>
      </c>
      <c r="J16" s="32">
        <f>'Balance Sheet'!J16/'Income Statement'!J$20</f>
        <v>1.751554925890866E-2</v>
      </c>
      <c r="K16" s="32">
        <f>'Balance Sheet'!K16/'Income Statement'!K$20</f>
        <v>2.462844454342401E-2</v>
      </c>
      <c r="L16" s="110">
        <f>AVERAGE(B16:K16)</f>
        <v>2.6139602058879614E-2</v>
      </c>
    </row>
    <row r="17" spans="1:13" ht="14" x14ac:dyDescent="0.15">
      <c r="A17" s="27" t="s">
        <v>49</v>
      </c>
      <c r="B17" s="32">
        <f>'Balance Sheet'!B17/'Income Statement'!B$20</f>
        <v>2.0715110127921516E-2</v>
      </c>
      <c r="C17" s="32">
        <f>'Balance Sheet'!C17/'Income Statement'!C$20</f>
        <v>2.503417345428665E-2</v>
      </c>
      <c r="D17" s="32">
        <f>'Balance Sheet'!D17/'Income Statement'!D$20</f>
        <v>2.6830170727839737E-2</v>
      </c>
      <c r="E17" s="32">
        <f>'Balance Sheet'!E17/'Income Statement'!E$20</f>
        <v>3.5627923570918894E-2</v>
      </c>
      <c r="F17" s="32">
        <f>'Balance Sheet'!F17/'Income Statement'!F$20</f>
        <v>1.6432076744637394E-2</v>
      </c>
      <c r="G17" s="32">
        <f>'Balance Sheet'!G17/'Income Statement'!G$20</f>
        <v>1.9351326831481063E-2</v>
      </c>
      <c r="H17" s="32">
        <f>'Balance Sheet'!H17/'Income Statement'!H$20</f>
        <v>5.9760805389448189E-2</v>
      </c>
      <c r="I17" s="32">
        <f>'Balance Sheet'!I17/'Income Statement'!I$20</f>
        <v>1.5500439939930007E-2</v>
      </c>
      <c r="J17" s="32">
        <f>'Balance Sheet'!J17/'Income Statement'!J$20</f>
        <v>1.751554925890866E-2</v>
      </c>
      <c r="K17" s="32">
        <f>'Balance Sheet'!K17/'Income Statement'!K$20</f>
        <v>2.462844454342401E-2</v>
      </c>
      <c r="L17" s="110">
        <f t="shared" ref="L17:L44" si="0">AVERAGE(B17:K17)</f>
        <v>2.6139602058879614E-2</v>
      </c>
    </row>
    <row r="18" spans="1:13" ht="14" x14ac:dyDescent="0.15">
      <c r="A18" s="27" t="s">
        <v>50</v>
      </c>
      <c r="B18" s="32">
        <f>'Balance Sheet'!B18/'Income Statement'!B$20</f>
        <v>1.7841685101471577E-2</v>
      </c>
      <c r="C18" s="32">
        <f>'Balance Sheet'!C18/'Income Statement'!C$20</f>
        <v>2.1351348298105491E-2</v>
      </c>
      <c r="D18" s="32">
        <f>'Balance Sheet'!D18/'Income Statement'!D$20</f>
        <v>2.144933664570009E-2</v>
      </c>
      <c r="E18" s="32">
        <f>'Balance Sheet'!E18/'Income Statement'!E$20</f>
        <v>1.9345120114167922E-2</v>
      </c>
      <c r="F18" s="32">
        <f>'Balance Sheet'!F18/'Income Statement'!F$20</f>
        <v>1.789229503803037E-2</v>
      </c>
      <c r="G18" s="32">
        <f>'Balance Sheet'!G18/'Income Statement'!G$20</f>
        <v>1.9106373327285098E-2</v>
      </c>
      <c r="H18" s="32">
        <f>'Balance Sheet'!H18/'Income Statement'!H$20</f>
        <v>2.2647793505412156E-2</v>
      </c>
      <c r="I18" s="32">
        <f>'Balance Sheet'!I18/'Income Statement'!I$20</f>
        <v>2.2665175942893811E-2</v>
      </c>
      <c r="J18" s="32">
        <f>'Balance Sheet'!J18/'Income Statement'!J$20</f>
        <v>2.1073295934639111E-2</v>
      </c>
      <c r="K18" s="32">
        <f>'Balance Sheet'!K18/'Income Statement'!K$20</f>
        <v>2.17987934682221E-2</v>
      </c>
      <c r="L18" s="110">
        <f t="shared" si="0"/>
        <v>2.0517121737592771E-2</v>
      </c>
    </row>
    <row r="19" spans="1:13" ht="14" x14ac:dyDescent="0.15">
      <c r="A19" s="27" t="s">
        <v>51</v>
      </c>
      <c r="B19" s="32">
        <f>'Balance Sheet'!B19/'Income Statement'!B$20</f>
        <v>0.13319948061940945</v>
      </c>
      <c r="C19" s="32">
        <f>'Balance Sheet'!C19/'Income Statement'!C$20</f>
        <v>0.13340638732927393</v>
      </c>
      <c r="D19" s="32">
        <f>'Balance Sheet'!D19/'Income Statement'!D$20</f>
        <v>0.13266028859876314</v>
      </c>
      <c r="E19" s="32">
        <f>'Balance Sheet'!E19/'Income Statement'!E$20</f>
        <v>0.12633790533576469</v>
      </c>
      <c r="F19" s="32">
        <f>'Balance Sheet'!F19/'Income Statement'!F$20</f>
        <v>0.12869328946517195</v>
      </c>
      <c r="G19" s="32">
        <f>'Balance Sheet'!G19/'Income Statement'!G$20</f>
        <v>0.13183034701746427</v>
      </c>
      <c r="H19" s="32">
        <f>'Balance Sheet'!H19/'Income Statement'!H$20</f>
        <v>0.125857240178639</v>
      </c>
      <c r="I19" s="32">
        <f>'Balance Sheet'!I19/'Income Statement'!I$20</f>
        <v>0.1459939003817223</v>
      </c>
      <c r="J19" s="32">
        <f>'Balance Sheet'!J19/'Income Statement'!J$20</f>
        <v>0.15810372102183567</v>
      </c>
      <c r="K19" s="32">
        <f>'Balance Sheet'!K19/'Income Statement'!K$20</f>
        <v>0.13739527998480372</v>
      </c>
      <c r="L19" s="110">
        <f t="shared" si="0"/>
        <v>0.13534778399328479</v>
      </c>
    </row>
    <row r="20" spans="1:13" ht="14" x14ac:dyDescent="0.15">
      <c r="A20" s="27" t="s">
        <v>52</v>
      </c>
      <c r="B20" s="32">
        <f>'Balance Sheet'!B20/'Income Statement'!B$20</f>
        <v>1.2215062037126094E-2</v>
      </c>
      <c r="C20" s="32">
        <f>'Balance Sheet'!C20/'Income Statement'!C$20</f>
        <v>1.2178176436697207E-2</v>
      </c>
      <c r="D20" s="32">
        <f>'Balance Sheet'!D20/'Income Statement'!D$20</f>
        <v>6.4274010254241768E-3</v>
      </c>
      <c r="E20" s="32">
        <f>'Balance Sheet'!E20/'Income Statement'!E$20</f>
        <v>6.3228415127249667E-3</v>
      </c>
      <c r="F20" s="32">
        <f>'Balance Sheet'!F20/'Income Statement'!F$20</f>
        <v>8.2252802602515648E-3</v>
      </c>
      <c r="G20" s="32">
        <f>'Balance Sheet'!G20/'Income Statement'!G$20</f>
        <v>9.4352460875481974E-3</v>
      </c>
      <c r="H20" s="32">
        <f>'Balance Sheet'!H20/'Income Statement'!H$20</f>
        <v>7.2893800620694874E-3</v>
      </c>
      <c r="I20" s="32">
        <f>'Balance Sheet'!I20/'Income Statement'!I$20</f>
        <v>8.057847139067327E-3</v>
      </c>
      <c r="J20" s="32">
        <f>'Balance Sheet'!J20/'Income Statement'!J$20</f>
        <v>9.5995629054084104E-3</v>
      </c>
      <c r="K20" s="32">
        <f>'Balance Sheet'!K20/'Income Statement'!K$20</f>
        <v>1.1207252290903851E-2</v>
      </c>
      <c r="L20" s="110">
        <f t="shared" si="0"/>
        <v>9.0958049757221271E-3</v>
      </c>
    </row>
    <row r="21" spans="1:13" s="29" customFormat="1" ht="14" x14ac:dyDescent="0.15">
      <c r="A21" s="28" t="s">
        <v>53</v>
      </c>
      <c r="B21" s="33">
        <f>'Balance Sheet'!B21/'Income Statement'!B$20</f>
        <v>0.18397133788592862</v>
      </c>
      <c r="C21" s="33">
        <f>'Balance Sheet'!C21/'Income Statement'!C$20</f>
        <v>0.19197008551836328</v>
      </c>
      <c r="D21" s="33">
        <f>'Balance Sheet'!D21/'Income Statement'!D$20</f>
        <v>0.18736719699772716</v>
      </c>
      <c r="E21" s="33">
        <f>'Balance Sheet'!E21/'Income Statement'!E$20</f>
        <v>0.18763379053357646</v>
      </c>
      <c r="F21" s="33">
        <f>'Balance Sheet'!F21/'Income Statement'!F$20</f>
        <v>0.17124294150809127</v>
      </c>
      <c r="G21" s="33">
        <f>'Balance Sheet'!G21/'Income Statement'!G$20</f>
        <v>0.17972329326377864</v>
      </c>
      <c r="H21" s="33">
        <f>'Balance Sheet'!H21/'Income Statement'!H$20</f>
        <v>0.21555521913556885</v>
      </c>
      <c r="I21" s="33">
        <f>'Balance Sheet'!I21/'Income Statement'!I$20</f>
        <v>0.19221736340361345</v>
      </c>
      <c r="J21" s="33">
        <f>'Balance Sheet'!J21/'Income Statement'!J$20</f>
        <v>0.20629212912079184</v>
      </c>
      <c r="K21" s="33">
        <f>'Balance Sheet'!K21/'Income Statement'!K$20</f>
        <v>0.19502977028735369</v>
      </c>
      <c r="L21" s="110">
        <f t="shared" si="0"/>
        <v>0.19110031276547929</v>
      </c>
    </row>
    <row r="22" spans="1:13" ht="14" x14ac:dyDescent="0.15">
      <c r="A22" s="27" t="s">
        <v>54</v>
      </c>
      <c r="B22" s="32">
        <f>'Balance Sheet'!B22/'Income Statement'!B$20</f>
        <v>0.46303020101952486</v>
      </c>
      <c r="C22" s="32">
        <f>'Balance Sheet'!C22/'Income Statement'!C$20</f>
        <v>0.44358838215524349</v>
      </c>
      <c r="D22" s="32">
        <f>'Balance Sheet'!D22/'Income Statement'!D$20</f>
        <v>0.42735873989111473</v>
      </c>
      <c r="E22" s="32">
        <f>'Balance Sheet'!E22/'Income Statement'!E$20</f>
        <v>0.4104297153730278</v>
      </c>
      <c r="F22" s="32">
        <f>'Balance Sheet'!F22/'Income Statement'!F$20</f>
        <v>0.39683742594937294</v>
      </c>
      <c r="G22" s="32">
        <f>'Balance Sheet'!G22/'Income Statement'!G$20</f>
        <v>0.40698571104558856</v>
      </c>
      <c r="H22" s="32">
        <f>'Balance Sheet'!H22/'Income Statement'!H$20</f>
        <v>0.36939671485882974</v>
      </c>
      <c r="I22" s="32">
        <f>'Balance Sheet'!I22/'Income Statement'!I$20</f>
        <v>0.33957408522264931</v>
      </c>
      <c r="J22" s="32">
        <f>'Balance Sheet'!J22/'Income Statement'!J$20</f>
        <v>0.33210929906037367</v>
      </c>
      <c r="K22" s="32">
        <f>'Balance Sheet'!K22/'Income Statement'!K$20</f>
        <v>0.34883964655562033</v>
      </c>
      <c r="L22" s="110">
        <f t="shared" si="0"/>
        <v>0.39381499211313453</v>
      </c>
    </row>
    <row r="23" spans="1:13" ht="14" x14ac:dyDescent="0.15">
      <c r="A23" s="27" t="s">
        <v>55</v>
      </c>
      <c r="B23" s="32">
        <f>'Balance Sheet'!B23/'Income Statement'!B$20</f>
        <v>0.18987448302394921</v>
      </c>
      <c r="C23" s="32">
        <f>'Balance Sheet'!C23/'Income Statement'!C$20</f>
        <v>0.19289644031224934</v>
      </c>
      <c r="D23" s="32">
        <f>'Balance Sheet'!D23/'Income Statement'!D$20</f>
        <v>0.19569744701094138</v>
      </c>
      <c r="E23" s="32">
        <f>'Balance Sheet'!E23/'Income Statement'!E$20</f>
        <v>0.19165741695076507</v>
      </c>
      <c r="F23" s="32">
        <f>'Balance Sheet'!F23/'Income Statement'!F$20</f>
        <v>0.19005018345147548</v>
      </c>
      <c r="G23" s="32">
        <f>'Balance Sheet'!G23/'Income Statement'!G$20</f>
        <v>0.20040825584032659</v>
      </c>
      <c r="H23" s="32">
        <f>'Balance Sheet'!H23/'Income Statement'!H$20</f>
        <v>0.18239345999545833</v>
      </c>
      <c r="I23" s="32">
        <f>'Balance Sheet'!I23/'Income Statement'!I$20</f>
        <v>0.17286662212137049</v>
      </c>
      <c r="J23" s="32">
        <f>'Balance Sheet'!J23/'Income Statement'!J$20</f>
        <v>0.16927250433600377</v>
      </c>
      <c r="K23" s="32">
        <f>'Balance Sheet'!K23/'Income Statement'!K$20</f>
        <v>0.17752785437777152</v>
      </c>
      <c r="L23" s="110">
        <f t="shared" si="0"/>
        <v>0.18626446674203109</v>
      </c>
      <c r="M23" s="111"/>
    </row>
    <row r="24" spans="1:13" ht="14" x14ac:dyDescent="0.15">
      <c r="A24" s="27" t="s">
        <v>56</v>
      </c>
      <c r="B24" s="32">
        <f>'Balance Sheet'!B24/'Income Statement'!B$20</f>
        <v>0.27315571799557564</v>
      </c>
      <c r="C24" s="32">
        <f>'Balance Sheet'!C24/'Income Statement'!C$20</f>
        <v>0.25069194184299415</v>
      </c>
      <c r="D24" s="32">
        <f>'Balance Sheet'!D24/'Income Statement'!D$20</f>
        <v>0.23166129288017337</v>
      </c>
      <c r="E24" s="32">
        <f>'Balance Sheet'!E24/'Income Statement'!E$20</f>
        <v>0.21877229842226276</v>
      </c>
      <c r="F24" s="32">
        <f>'Balance Sheet'!F24/'Income Statement'!F$20</f>
        <v>0.20678724249789748</v>
      </c>
      <c r="G24" s="32">
        <f>'Balance Sheet'!G24/'Income Statement'!G$20</f>
        <v>0.20657745520526197</v>
      </c>
      <c r="H24" s="32">
        <f>'Balance Sheet'!H24/'Income Statement'!H$20</f>
        <v>0.18700325486337144</v>
      </c>
      <c r="I24" s="32">
        <f>'Balance Sheet'!I24/'Income Statement'!I$20</f>
        <v>0.16670746310127879</v>
      </c>
      <c r="J24" s="32">
        <f>'Balance Sheet'!J24/'Income Statement'!J$20</f>
        <v>0.16283679472436993</v>
      </c>
      <c r="K24" s="32">
        <f>'Balance Sheet'!K24/'Income Statement'!K$20</f>
        <v>0.17131179217784881</v>
      </c>
      <c r="L24" s="110">
        <f t="shared" si="0"/>
        <v>0.20755052537110341</v>
      </c>
    </row>
    <row r="25" spans="1:13" ht="14" x14ac:dyDescent="0.15">
      <c r="A25" s="27" t="s">
        <v>57</v>
      </c>
      <c r="B25" s="32">
        <f>'Balance Sheet'!B25/'Income Statement'!B$20</f>
        <v>1.626671155140906E-2</v>
      </c>
      <c r="C25" s="32">
        <f>'Balance Sheet'!C25/'Income Statement'!C$20</f>
        <v>2.3746314350591397E-2</v>
      </c>
      <c r="D25" s="32">
        <f>'Balance Sheet'!D25/'Income Statement'!D$20</f>
        <v>2.2125905174692109E-2</v>
      </c>
      <c r="E25" s="32">
        <f>'Balance Sheet'!E25/'Income Statement'!E$20</f>
        <v>2.2546182510108616E-2</v>
      </c>
      <c r="F25" s="32">
        <f>'Balance Sheet'!F25/'Income Statement'!F$20</f>
        <v>2.0812731624816318E-2</v>
      </c>
      <c r="G25" s="32">
        <f>'Balance Sheet'!G25/'Income Statement'!G$20</f>
        <v>2.0449081424359264E-2</v>
      </c>
      <c r="H25" s="32">
        <f>'Balance Sheet'!H25/'Income Statement'!H$20</f>
        <v>5.3939898569374006E-2</v>
      </c>
      <c r="I25" s="32">
        <f>'Balance Sheet'!I25/'Income Statement'!I$20</f>
        <v>4.9279887798778753E-2</v>
      </c>
      <c r="J25" s="32">
        <f>'Balance Sheet'!J25/'Income Statement'!J$20</f>
        <v>4.7292618310959766E-2</v>
      </c>
      <c r="K25" s="32">
        <f>'Balance Sheet'!K25/'Income Statement'!K$20</f>
        <v>5.538124963155585E-2</v>
      </c>
      <c r="L25" s="110">
        <f t="shared" si="0"/>
        <v>3.3184058094664515E-2</v>
      </c>
    </row>
    <row r="26" spans="1:13" ht="14" x14ac:dyDescent="0.15">
      <c r="A26" s="27" t="s">
        <v>58</v>
      </c>
      <c r="B26" s="32">
        <f>'Balance Sheet'!B26/'Income Statement'!B$20</f>
        <v>6.8649610464557084E-3</v>
      </c>
      <c r="C26" s="32">
        <f>'Balance Sheet'!C26/'Income Statement'!C$20</f>
        <v>1.4268123227781607E-2</v>
      </c>
      <c r="D26" s="32">
        <f>'Balance Sheet'!D26/'Income Statement'!D$20</f>
        <v>1.3055658332892859E-2</v>
      </c>
      <c r="E26" s="32">
        <f>'Balance Sheet'!E26/'Income Statement'!E$20</f>
        <v>1.2348370728613335E-2</v>
      </c>
      <c r="F26" s="32">
        <f>'Balance Sheet'!F26/'Income Statement'!F$20</f>
        <v>7.8278790791382856E-3</v>
      </c>
      <c r="G26" s="32">
        <f>'Balance Sheet'!G26/'Income Statement'!G$20</f>
        <v>5.8081197550464959E-2</v>
      </c>
      <c r="H26" s="32">
        <f>'Balance Sheet'!H26/'Income Statement'!H$20</f>
        <v>7.7760956778442206E-2</v>
      </c>
      <c r="I26" s="32">
        <f>'Balance Sheet'!I26/'Income Statement'!I$20</f>
        <v>6.730088583393426E-2</v>
      </c>
      <c r="J26" s="32">
        <f>'Balance Sheet'!J26/'Income Statement'!J$20</f>
        <v>6.9242644676403883E-2</v>
      </c>
      <c r="K26" s="32">
        <f>'Balance Sheet'!K26/'Income Statement'!K$20</f>
        <v>7.9557736017135103E-2</v>
      </c>
      <c r="L26" s="110">
        <f t="shared" si="0"/>
        <v>4.063084132712623E-2</v>
      </c>
    </row>
    <row r="27" spans="1:13" s="29" customFormat="1" ht="14" x14ac:dyDescent="0.15">
      <c r="A27" s="28" t="s">
        <v>59</v>
      </c>
      <c r="B27" s="33">
        <f>'Balance Sheet'!B27/'Income Statement'!B$20</f>
        <v>0.48025872847936907</v>
      </c>
      <c r="C27" s="33">
        <f>'Balance Sheet'!C27/'Income Statement'!C$20</f>
        <v>0.48067646493973043</v>
      </c>
      <c r="D27" s="33">
        <f>'Balance Sheet'!D27/'Income Statement'!D$20</f>
        <v>0.45421005338548548</v>
      </c>
      <c r="E27" s="33">
        <f>'Balance Sheet'!E27/'Income Statement'!E$20</f>
        <v>0.44130064219456117</v>
      </c>
      <c r="F27" s="33">
        <f>'Balance Sheet'!F27/'Income Statement'!F$20</f>
        <v>0.40667079470994333</v>
      </c>
      <c r="G27" s="33">
        <f>'Balance Sheet'!G27/'Income Statement'!G$20</f>
        <v>0.46483102744386484</v>
      </c>
      <c r="H27" s="33">
        <f>'Balance Sheet'!H27/'Income Statement'!H$20</f>
        <v>0.53425932934675646</v>
      </c>
      <c r="I27" s="33">
        <f>'Balance Sheet'!I27/'Income Statement'!I$20</f>
        <v>0.47550560013760529</v>
      </c>
      <c r="J27" s="33">
        <f>'Balance Sheet'!J27/'Income Statement'!J$20</f>
        <v>0.48566418683252544</v>
      </c>
      <c r="K27" s="33">
        <f>'Balance Sheet'!K27/'Income Statement'!K$20</f>
        <v>0.50128054811389344</v>
      </c>
      <c r="L27" s="110">
        <f t="shared" si="0"/>
        <v>0.47246573755837351</v>
      </c>
    </row>
    <row r="28" spans="1:13" ht="14" x14ac:dyDescent="0.15">
      <c r="A28" s="27" t="s">
        <v>60</v>
      </c>
      <c r="B28" s="32">
        <f>'Balance Sheet'!B28/'Income Statement'!B$20</f>
        <v>0.10825238049437337</v>
      </c>
      <c r="C28" s="32">
        <f>'Balance Sheet'!C28/'Income Statement'!C$20</f>
        <v>0.11322992803804832</v>
      </c>
      <c r="D28" s="32">
        <f>'Balance Sheet'!D28/'Income Statement'!D$20</f>
        <v>0.1128918018922776</v>
      </c>
      <c r="E28" s="32">
        <f>'Balance Sheet'!E28/'Income Statement'!E$20</f>
        <v>0.1095496709743915</v>
      </c>
      <c r="F28" s="32">
        <f>'Balance Sheet'!F28/'Income Statement'!F$20</f>
        <v>0.10971969353899615</v>
      </c>
      <c r="G28" s="32">
        <f>'Balance Sheet'!G28/'Income Statement'!G$20</f>
        <v>0.10848718530278975</v>
      </c>
      <c r="H28" s="32">
        <f>'Balance Sheet'!H28/'Income Statement'!H$20</f>
        <v>0.12967981227764741</v>
      </c>
      <c r="I28" s="32">
        <f>'Balance Sheet'!I28/'Income Statement'!I$20</f>
        <v>0.13085070489623371</v>
      </c>
      <c r="J28" s="32">
        <f>'Balance Sheet'!J28/'Income Statement'!J$20</f>
        <v>0.10985813485130524</v>
      </c>
      <c r="K28" s="32">
        <f>'Balance Sheet'!K28/'Income Statement'!K$20</f>
        <v>0.1071468340003537</v>
      </c>
      <c r="L28" s="110">
        <f t="shared" si="0"/>
        <v>0.11396661462664168</v>
      </c>
    </row>
    <row r="29" spans="1:13" ht="14" x14ac:dyDescent="0.15">
      <c r="A29" s="27" t="s">
        <v>61</v>
      </c>
      <c r="B29" s="32">
        <f>'Balance Sheet'!B29/'Income Statement'!B$20</f>
        <v>6.981581225353467E-2</v>
      </c>
      <c r="C29" s="32">
        <f>'Balance Sheet'!C29/'Income Statement'!C$20</f>
        <v>7.4164868559292357E-2</v>
      </c>
      <c r="D29" s="32">
        <f>'Balance Sheet'!D29/'Income Statement'!D$20</f>
        <v>7.3999682858502031E-2</v>
      </c>
      <c r="E29" s="32">
        <f>'Balance Sheet'!E29/'Income Statement'!E$20</f>
        <v>7.1791009276143666E-2</v>
      </c>
      <c r="F29" s="32">
        <f>'Balance Sheet'!F29/'Income Statement'!F$20</f>
        <v>7.1670840919383014E-2</v>
      </c>
      <c r="G29" s="32">
        <f>'Balance Sheet'!G29/'Income Statement'!G$20</f>
        <v>7.064640508051713E-2</v>
      </c>
      <c r="H29" s="32">
        <f>'Balance Sheet'!H29/'Income Statement'!H$20</f>
        <v>8.785103322988419E-2</v>
      </c>
      <c r="I29" s="32">
        <f>'Balance Sheet'!I29/'Income Statement'!I$20</f>
        <v>8.9059719364634124E-2</v>
      </c>
      <c r="J29" s="32">
        <f>'Balance Sheet'!J29/'Income Statement'!J$20</f>
        <v>7.2698741447113455E-2</v>
      </c>
      <c r="K29" s="32">
        <f>'Balance Sheet'!K29/'Income Statement'!K$20</f>
        <v>6.5743536670836905E-2</v>
      </c>
      <c r="L29" s="110">
        <f t="shared" si="0"/>
        <v>7.4744164965984142E-2</v>
      </c>
    </row>
    <row r="30" spans="1:13" ht="14" x14ac:dyDescent="0.15">
      <c r="A30" s="27" t="s">
        <v>62</v>
      </c>
      <c r="B30" s="32">
        <f>'Balance Sheet'!B30/'Income Statement'!B$20</f>
        <v>3.84365682408387E-2</v>
      </c>
      <c r="C30" s="32">
        <f>'Balance Sheet'!C30/'Income Statement'!C$20</f>
        <v>3.9065059478755972E-2</v>
      </c>
      <c r="D30" s="32">
        <f>'Balance Sheet'!D30/'Income Statement'!D$20</f>
        <v>3.8892119033775568E-2</v>
      </c>
      <c r="E30" s="32">
        <f>'Balance Sheet'!E30/'Income Statement'!E$20</f>
        <v>3.775866169824784E-2</v>
      </c>
      <c r="F30" s="32">
        <f>'Balance Sheet'!F30/'Income Statement'!F$20</f>
        <v>3.8048852619613133E-2</v>
      </c>
      <c r="G30" s="32">
        <f>'Balance Sheet'!G30/'Income Statement'!G$20</f>
        <v>3.7840780222272621E-2</v>
      </c>
      <c r="H30" s="32">
        <f>'Balance Sheet'!H30/'Income Statement'!H$20</f>
        <v>4.1828779047763227E-2</v>
      </c>
      <c r="I30" s="32">
        <f>'Balance Sheet'!I30/'Income Statement'!I$20</f>
        <v>4.1790985531599593E-2</v>
      </c>
      <c r="J30" s="32">
        <f>'Balance Sheet'!J30/'Income Statement'!J$20</f>
        <v>3.715939340419179E-2</v>
      </c>
      <c r="K30" s="32">
        <f>'Balance Sheet'!K30/'Income Statement'!K$20</f>
        <v>4.1403297329516794E-2</v>
      </c>
      <c r="L30" s="110">
        <f t="shared" si="0"/>
        <v>3.9222449660657528E-2</v>
      </c>
    </row>
    <row r="31" spans="1:13" ht="14" x14ac:dyDescent="0.15">
      <c r="A31" s="27" t="s">
        <v>63</v>
      </c>
      <c r="B31" s="32">
        <f>'Balance Sheet'!B31/'Income Statement'!B$20</f>
        <v>3.9434452245840149E-3</v>
      </c>
      <c r="C31" s="32">
        <f>'Balance Sheet'!C31/'Income Statement'!C$20</f>
        <v>4.8238231340164261E-3</v>
      </c>
      <c r="D31" s="32">
        <f>'Balance Sheet'!D31/'Income Statement'!D$20</f>
        <v>1.3235371848406364E-2</v>
      </c>
      <c r="E31" s="32">
        <f>'Balance Sheet'!E31/'Income Statement'!E$20</f>
        <v>2.7362641718861491E-2</v>
      </c>
      <c r="F31" s="32">
        <f>'Balance Sheet'!F31/'Income Statement'!F$20</f>
        <v>2.2134321599216286E-2</v>
      </c>
      <c r="G31" s="32">
        <f>'Balance Sheet'!G31/'Income Statement'!G$20</f>
        <v>2.552052619641642E-2</v>
      </c>
      <c r="H31" s="32">
        <f>'Balance Sheet'!H31/'Income Statement'!H$20</f>
        <v>1.071834077662554E-2</v>
      </c>
      <c r="I31" s="32">
        <f>'Balance Sheet'!I31/'Income Statement'!I$20</f>
        <v>2.3035651673425642E-2</v>
      </c>
      <c r="J31" s="32">
        <f>'Balance Sheet'!J31/'Income Statement'!J$20</f>
        <v>7.8206895675431848E-3</v>
      </c>
      <c r="K31" s="32">
        <f>'Balance Sheet'!K31/'Income Statement'!K$20</f>
        <v>7.2051300525974495E-3</v>
      </c>
      <c r="L31" s="110">
        <f t="shared" si="0"/>
        <v>1.4579994179169284E-2</v>
      </c>
    </row>
    <row r="32" spans="1:13" ht="14" x14ac:dyDescent="0.15">
      <c r="A32" s="27" t="s">
        <v>64</v>
      </c>
      <c r="B32" s="32">
        <f>'Balance Sheet'!B32/'Income Statement'!B$20</f>
        <v>2.3287967682985477E-2</v>
      </c>
      <c r="C32" s="32">
        <f>'Balance Sheet'!C32/'Income Statement'!C$20</f>
        <v>2.345259209887143E-2</v>
      </c>
      <c r="D32" s="32">
        <f>'Balance Sheet'!D32/'Income Statement'!D$20</f>
        <v>2.3278185950631639E-2</v>
      </c>
      <c r="E32" s="32">
        <f>'Balance Sheet'!E32/'Income Statement'!E$20</f>
        <v>2.3576865139142155E-2</v>
      </c>
      <c r="F32" s="32">
        <f>'Balance Sheet'!F32/'Income Statement'!F$20</f>
        <v>2.2633383547591101E-2</v>
      </c>
      <c r="G32" s="32">
        <f>'Balance Sheet'!G32/'Income Statement'!G$20</f>
        <v>3.2696756634157408E-2</v>
      </c>
      <c r="H32" s="32">
        <f>'Balance Sheet'!H32/'Income Statement'!H$20</f>
        <v>3.4955718719249108E-2</v>
      </c>
      <c r="I32" s="32">
        <f>'Balance Sheet'!I32/'Income Statement'!I$20</f>
        <v>3.5936145861587623E-2</v>
      </c>
      <c r="J32" s="32">
        <f>'Balance Sheet'!J32/'Income Statement'!J$20</f>
        <v>2.9141757145670667E-2</v>
      </c>
      <c r="K32" s="32">
        <f>'Balance Sheet'!K32/'Income Statement'!K$20</f>
        <v>2.809345708690042E-2</v>
      </c>
      <c r="L32" s="110">
        <f t="shared" si="0"/>
        <v>2.7705282986678702E-2</v>
      </c>
    </row>
    <row r="33" spans="1:12" s="29" customFormat="1" ht="14" x14ac:dyDescent="0.15">
      <c r="A33" s="28" t="s">
        <v>65</v>
      </c>
      <c r="B33" s="33">
        <f>'Balance Sheet'!B33/'Income Statement'!B$20</f>
        <v>0.13548379340194286</v>
      </c>
      <c r="C33" s="33">
        <f>'Balance Sheet'!C33/'Income Statement'!C$20</f>
        <v>0.1415063432709362</v>
      </c>
      <c r="D33" s="33">
        <f>'Balance Sheet'!D33/'Income Statement'!D$20</f>
        <v>0.1494053596913156</v>
      </c>
      <c r="E33" s="33">
        <f>'Balance Sheet'!E33/'Income Statement'!E$20</f>
        <v>0.16048917783239514</v>
      </c>
      <c r="F33" s="33">
        <f>'Balance Sheet'!F33/'Income Statement'!F$20</f>
        <v>0.15448739868580352</v>
      </c>
      <c r="G33" s="33">
        <f>'Balance Sheet'!G33/'Income Statement'!G$20</f>
        <v>0.16670446813336356</v>
      </c>
      <c r="H33" s="33">
        <f>'Balance Sheet'!H33/'Income Statement'!H$20</f>
        <v>0.17535387177352207</v>
      </c>
      <c r="I33" s="33">
        <f>'Balance Sheet'!I33/'Income Statement'!I$20</f>
        <v>0.18982250243124699</v>
      </c>
      <c r="J33" s="33">
        <f>'Balance Sheet'!J33/'Income Statement'!J$20</f>
        <v>0.1468205815645191</v>
      </c>
      <c r="K33" s="33">
        <f>'Balance Sheet'!K33/'Income Statement'!K$20</f>
        <v>0.14420085282539349</v>
      </c>
      <c r="L33" s="110">
        <f t="shared" si="0"/>
        <v>0.15642743496104389</v>
      </c>
    </row>
    <row r="34" spans="1:12" ht="14" x14ac:dyDescent="0.15">
      <c r="A34" s="27" t="s">
        <v>66</v>
      </c>
      <c r="B34" s="32">
        <f>'Balance Sheet'!B34/'Income Statement'!B$20</f>
        <v>0.20281090699240165</v>
      </c>
      <c r="C34" s="32">
        <f>'Balance Sheet'!C34/'Income Statement'!C$20</f>
        <v>0.23597193822795107</v>
      </c>
      <c r="D34" s="32">
        <f>'Balance Sheet'!D34/'Income Statement'!D$20</f>
        <v>0.23625984460066599</v>
      </c>
      <c r="E34" s="32">
        <f>'Balance Sheet'!E34/'Income Statement'!E$20</f>
        <v>0.24049591691112343</v>
      </c>
      <c r="F34" s="32">
        <f>'Balance Sheet'!F34/'Income Statement'!F$20</f>
        <v>0.24774728981636368</v>
      </c>
      <c r="G34" s="32">
        <f>'Balance Sheet'!G34/'Income Statement'!G$20</f>
        <v>0.26010433204808348</v>
      </c>
      <c r="H34" s="32">
        <f>'Balance Sheet'!H34/'Income Statement'!H$20</f>
        <v>0.27115282718946332</v>
      </c>
      <c r="I34" s="32">
        <f>'Balance Sheet'!I34/'Income Statement'!I$20</f>
        <v>0.24215881500691333</v>
      </c>
      <c r="J34" s="32">
        <f>'Balance Sheet'!J34/'Income Statement'!J$20</f>
        <v>0.26658958215535916</v>
      </c>
      <c r="K34" s="32">
        <f>'Balance Sheet'!K34/'Income Statement'!K$20</f>
        <v>0.27997170348924799</v>
      </c>
      <c r="L34" s="110">
        <f t="shared" si="0"/>
        <v>0.24832631564375732</v>
      </c>
    </row>
    <row r="35" spans="1:12" ht="14" x14ac:dyDescent="0.15">
      <c r="A35" s="27" t="s">
        <v>67</v>
      </c>
      <c r="B35" s="32">
        <f>'Balance Sheet'!B35/'Income Statement'!B$20</f>
        <v>7.7185726651918824E-3</v>
      </c>
      <c r="C35" s="32">
        <f>'Balance Sheet'!C35/'Income Statement'!C$20</f>
        <v>9.6476462680328522E-3</v>
      </c>
      <c r="D35" s="32">
        <f>'Balance Sheet'!D35/'Income Statement'!D$20</f>
        <v>3.129129446588086E-3</v>
      </c>
      <c r="E35" s="32">
        <f>'Balance Sheet'!E35/'Income Statement'!E$20</f>
        <v>4.3605803536034254E-3</v>
      </c>
      <c r="F35" s="32">
        <f>'Balance Sheet'!F35/'Income Statement'!F$20</f>
        <v>4.5377669750376604E-3</v>
      </c>
      <c r="G35" s="32">
        <f>'Balance Sheet'!G35/'Income Statement'!G$20</f>
        <v>6.4050805171240646E-3</v>
      </c>
      <c r="H35" s="32">
        <f>'Balance Sheet'!H35/'Income Statement'!H$20</f>
        <v>8.5610476118386201E-3</v>
      </c>
      <c r="I35" s="32">
        <f>'Balance Sheet'!I35/'Income Statement'!I$20</f>
        <v>6.0136149830970452E-3</v>
      </c>
      <c r="J35" s="32">
        <f>'Balance Sheet'!J35/'Income Statement'!J$20</f>
        <v>6.4738283260166582E-3</v>
      </c>
      <c r="K35" s="32">
        <f>'Balance Sheet'!K35/'Income Statement'!K$20</f>
        <v>5.6527520321741805E-3</v>
      </c>
      <c r="L35" s="110">
        <f t="shared" si="0"/>
        <v>6.2500019178704487E-3</v>
      </c>
    </row>
    <row r="36" spans="1:12" ht="14" x14ac:dyDescent="0.15">
      <c r="A36" s="27" t="s">
        <v>68</v>
      </c>
      <c r="B36" s="32">
        <f>'Balance Sheet'!B36/'Income Statement'!B$20</f>
        <v>2.2169856689429644E-2</v>
      </c>
      <c r="C36" s="32">
        <f>'Balance Sheet'!C36/'Income Statement'!C$20</f>
        <v>2.2198624024220789E-2</v>
      </c>
      <c r="D36" s="32">
        <f>'Balance Sheet'!D36/'Income Statement'!D$20</f>
        <v>1.9609915957503041E-2</v>
      </c>
      <c r="E36" s="32">
        <f>'Balance Sheet'!E36/'Income Statement'!E$20</f>
        <v>2.154523111075874E-2</v>
      </c>
      <c r="F36" s="32">
        <f>'Balance Sheet'!F36/'Income Statement'!F$20</f>
        <v>1.7254604770662551E-2</v>
      </c>
      <c r="G36" s="32">
        <f>'Balance Sheet'!G36/'Income Statement'!G$20</f>
        <v>5.9886595599909276E-2</v>
      </c>
      <c r="H36" s="32">
        <f>'Balance Sheet'!H36/'Income Statement'!H$20</f>
        <v>5.4219968208311257E-2</v>
      </c>
      <c r="I36" s="32">
        <f>'Balance Sheet'!I36/'Income Statement'!I$20</f>
        <v>4.8730789841026217E-2</v>
      </c>
      <c r="J36" s="32">
        <f>'Balance Sheet'!J36/'Income Statement'!J$20</f>
        <v>5.5856622808968061E-2</v>
      </c>
      <c r="K36" s="32">
        <f>'Balance Sheet'!K36/'Income Statement'!K$20</f>
        <v>6.461691633533985E-2</v>
      </c>
      <c r="L36" s="110">
        <f t="shared" si="0"/>
        <v>3.8608912534612946E-2</v>
      </c>
    </row>
    <row r="37" spans="1:12" s="29" customFormat="1" ht="14" x14ac:dyDescent="0.15">
      <c r="A37" s="28" t="s">
        <v>69</v>
      </c>
      <c r="B37" s="33">
        <f>'Balance Sheet'!B37/'Income Statement'!B$20</f>
        <v>0.36818312974896605</v>
      </c>
      <c r="C37" s="33">
        <f>'Balance Sheet'!C37/'Income Statement'!C$20</f>
        <v>0.40932455179114091</v>
      </c>
      <c r="D37" s="33">
        <f>'Balance Sheet'!D37/'Income Statement'!D$20</f>
        <v>0.40840424969607275</v>
      </c>
      <c r="E37" s="33">
        <f>'Balance Sheet'!E37/'Income Statement'!E$20</f>
        <v>0.42689090620788078</v>
      </c>
      <c r="F37" s="33">
        <f>'Balance Sheet'!F37/'Income Statement'!F$20</f>
        <v>0.42402706024786746</v>
      </c>
      <c r="G37" s="33">
        <f>'Balance Sheet'!G37/'Income Statement'!G$20</f>
        <v>0.49310047629848036</v>
      </c>
      <c r="H37" s="33">
        <f>'Balance Sheet'!H37/'Income Statement'!H$20</f>
        <v>0.50928771478313528</v>
      </c>
      <c r="I37" s="33">
        <f>'Balance Sheet'!I37/'Income Statement'!I$20</f>
        <v>0.48672572226228361</v>
      </c>
      <c r="J37" s="33">
        <f>'Balance Sheet'!J37/'Income Statement'!J$20</f>
        <v>0.47574061485486302</v>
      </c>
      <c r="K37" s="33">
        <f>'Balance Sheet'!K37/'Income Statement'!K$20</f>
        <v>0.49444222468215554</v>
      </c>
      <c r="L37" s="110">
        <f t="shared" si="0"/>
        <v>0.44961266505728459</v>
      </c>
    </row>
    <row r="38" spans="1:12" ht="14" x14ac:dyDescent="0.15">
      <c r="A38" s="27" t="s">
        <v>70</v>
      </c>
      <c r="B38" s="32">
        <f>'Balance Sheet'!B38/'Income Statement'!B$20</f>
        <v>1.0579974992786382E-3</v>
      </c>
      <c r="C38" s="32">
        <f>'Balance Sheet'!C38/'Income Statement'!C$20</f>
        <v>9.9413685197528205E-4</v>
      </c>
      <c r="D38" s="32">
        <f>'Balance Sheet'!D38/'Income Statement'!D$20</f>
        <v>9.302817273640256E-4</v>
      </c>
      <c r="E38" s="32">
        <f>'Balance Sheet'!E38/'Income Statement'!E$20</f>
        <v>8.820264806152382E-4</v>
      </c>
      <c r="F38" s="32">
        <f>'Balance Sheet'!F38/'Income Statement'!F$20</f>
        <v>8.2252802602515642E-4</v>
      </c>
      <c r="G38" s="32">
        <f>'Balance Sheet'!G38/'Income Statement'!G$20</f>
        <v>8.0743932864595146E-4</v>
      </c>
      <c r="H38" s="32">
        <f>'Balance Sheet'!H38/'Income Statement'!H$20</f>
        <v>6.7368102338959959E-4</v>
      </c>
      <c r="I38" s="32">
        <f>'Balance Sheet'!I38/'Income Statement'!I$20</f>
        <v>5.9540742406901433E-4</v>
      </c>
      <c r="J38" s="32">
        <f>'Balance Sheet'!J38/'Income Statement'!J$20</f>
        <v>5.7178071574239377E-4</v>
      </c>
      <c r="K38" s="32">
        <f>'Balance Sheet'!K38/'Income Statement'!K$20</f>
        <v>5.8951064066706401E-4</v>
      </c>
      <c r="L38" s="110">
        <f t="shared" si="0"/>
        <v>7.9247897177723637E-4</v>
      </c>
    </row>
    <row r="39" spans="1:12" ht="14" x14ac:dyDescent="0.15">
      <c r="A39" s="27" t="s">
        <v>71</v>
      </c>
      <c r="B39" s="32">
        <f>'Balance Sheet'!B39/'Income Statement'!B$20</f>
        <v>0.10682167933057612</v>
      </c>
      <c r="C39" s="32">
        <f>'Balance Sheet'!C39/'Income Statement'!C$20</f>
        <v>0.10559314949332911</v>
      </c>
      <c r="D39" s="32">
        <f>'Balance Sheet'!D39/'Income Statement'!D$20</f>
        <v>0.10346212801945134</v>
      </c>
      <c r="E39" s="32">
        <f>'Balance Sheet'!E39/'Income Statement'!E$20</f>
        <v>0.10100689764528661</v>
      </c>
      <c r="F39" s="32">
        <f>'Balance Sheet'!F39/'Income Statement'!F$20</f>
        <v>9.7760690553866339E-2</v>
      </c>
      <c r="G39" s="32">
        <f>'Balance Sheet'!G39/'Income Statement'!G$20</f>
        <v>9.9804944431843956E-2</v>
      </c>
      <c r="H39" s="32">
        <f>'Balance Sheet'!H39/'Income Statement'!H$20</f>
        <v>8.7351449549617738E-2</v>
      </c>
      <c r="I39" s="32">
        <f>'Balance Sheet'!I39/'Income Statement'!I$20</f>
        <v>8.0260920764503127E-2</v>
      </c>
      <c r="J39" s="32">
        <f>'Balance Sheet'!J39/'Income Statement'!J$20</f>
        <v>7.9998475251424686E-2</v>
      </c>
      <c r="K39" s="32">
        <f>'Balance Sheet'!K39/'Income Statement'!K$20</f>
        <v>8.6114404364998787E-2</v>
      </c>
      <c r="L39" s="110">
        <f t="shared" si="0"/>
        <v>9.4817473940489783E-2</v>
      </c>
    </row>
    <row r="40" spans="1:12" ht="14" x14ac:dyDescent="0.15">
      <c r="A40" s="27" t="s">
        <v>72</v>
      </c>
      <c r="B40" s="32">
        <f>'Balance Sheet'!B40/'Income Statement'!B$20</f>
        <v>0.32455275560257768</v>
      </c>
      <c r="C40" s="32">
        <f>'Balance Sheet'!C40/'Income Statement'!C$20</f>
        <v>0.34990228086625469</v>
      </c>
      <c r="D40" s="32">
        <f>'Balance Sheet'!D40/'Income Statement'!D$20</f>
        <v>0.37548496220730482</v>
      </c>
      <c r="E40" s="32">
        <f>'Balance Sheet'!E40/'Income Statement'!E$20</f>
        <v>0.39577221913898358</v>
      </c>
      <c r="F40" s="32">
        <f>'Balance Sheet'!F40/'Income Statement'!F$20</f>
        <v>0.42903616350748131</v>
      </c>
      <c r="G40" s="32">
        <f>'Balance Sheet'!G40/'Income Statement'!G$20</f>
        <v>0.46930369698344293</v>
      </c>
      <c r="H40" s="32">
        <f>'Balance Sheet'!H40/'Income Statement'!H$20</f>
        <v>0.44004238891832564</v>
      </c>
      <c r="I40" s="32">
        <f>'Balance Sheet'!I40/'Income Statement'!I$20</f>
        <v>0.44708481909537767</v>
      </c>
      <c r="J40" s="32">
        <f>'Balance Sheet'!J40/'Income Statement'!J$20</f>
        <v>0.4885294435303012</v>
      </c>
      <c r="K40" s="32">
        <f>'Balance Sheet'!K40/'Income Statement'!K$20</f>
        <v>0.54795669061826568</v>
      </c>
      <c r="L40" s="110">
        <f t="shared" si="0"/>
        <v>0.42676654204683151</v>
      </c>
    </row>
    <row r="41" spans="1:12" ht="14" x14ac:dyDescent="0.15">
      <c r="A41" s="27" t="s">
        <v>73</v>
      </c>
      <c r="B41" s="32">
        <f>'Balance Sheet'!B41/'Income Statement'!B$20</f>
        <v>-5.4342598826584588E-3</v>
      </c>
      <c r="C41" s="32">
        <f>'Balance Sheet'!C41/'Income Statement'!C$20</f>
        <v>-1.0144714694020493E-2</v>
      </c>
      <c r="D41" s="32">
        <f>'Balance Sheet'!D41/'Income Statement'!D$20</f>
        <v>-9.1653892911887514E-3</v>
      </c>
      <c r="E41" s="32">
        <f>'Balance Sheet'!E41/'Income Statement'!E$20</f>
        <v>-5.6092920003171327E-3</v>
      </c>
      <c r="F41" s="32">
        <f>'Balance Sheet'!F41/'Income Statement'!F$20</f>
        <v>-7.134737484173267E-3</v>
      </c>
      <c r="G41" s="32">
        <f>'Balance Sheet'!G41/'Income Statement'!G$20</f>
        <v>-6.7044681333635744E-3</v>
      </c>
      <c r="H41" s="32">
        <f>'Balance Sheet'!H41/'Income Statement'!H$20</f>
        <v>-5.0791007493755204E-3</v>
      </c>
      <c r="I41" s="32">
        <f>'Balance Sheet'!I41/'Income Statement'!I$20</f>
        <v>-4.6574091838287347E-3</v>
      </c>
      <c r="J41" s="32">
        <f>'Balance Sheet'!J41/'Income Statement'!J$20</f>
        <v>-4.561539487811541E-3</v>
      </c>
      <c r="K41" s="32">
        <f>'Balance Sheet'!K41/'Income Statement'!K$20</f>
        <v>-3.1244063955354396E-3</v>
      </c>
      <c r="L41" s="110">
        <f t="shared" si="0"/>
        <v>-6.1615317302272923E-3</v>
      </c>
    </row>
    <row r="42" spans="1:12" ht="14" x14ac:dyDescent="0.15">
      <c r="A42" s="27" t="s">
        <v>74</v>
      </c>
      <c r="B42" s="32">
        <f>'Balance Sheet'!B42/'Income Statement'!B$20</f>
        <v>0.314922573819371</v>
      </c>
      <c r="C42" s="32">
        <f>'Balance Sheet'!C42/'Income Statement'!C$20</f>
        <v>0.37499293936894906</v>
      </c>
      <c r="D42" s="32">
        <f>'Balance Sheet'!D42/'Income Statement'!D$20</f>
        <v>0.42490617897351868</v>
      </c>
      <c r="E42" s="32">
        <f>'Balance Sheet'!E42/'Income Statement'!E$20</f>
        <v>0.47764211527788791</v>
      </c>
      <c r="F42" s="32">
        <f>'Balance Sheet'!F42/'Income Statement'!F$20</f>
        <v>0.53784091014112367</v>
      </c>
      <c r="G42" s="32">
        <f>'Balance Sheet'!G42/'Income Statement'!G$20</f>
        <v>0.59148106146518487</v>
      </c>
      <c r="H42" s="32">
        <f>'Balance Sheet'!H42/'Income Statement'!H$20</f>
        <v>0.49801680417833621</v>
      </c>
      <c r="I42" s="32">
        <f>'Balance Sheet'!I42/'Income Statement'!I$20</f>
        <v>0.53450386022479934</v>
      </c>
      <c r="J42" s="32">
        <f>'Balance Sheet'!J42/'Income Statement'!J$20</f>
        <v>0.55461458803199426</v>
      </c>
      <c r="K42" s="32">
        <f>'Balance Sheet'!K42/'Income Statement'!K$20</f>
        <v>0.62469787579665814</v>
      </c>
      <c r="L42" s="110">
        <f t="shared" si="0"/>
        <v>0.49336189072778236</v>
      </c>
    </row>
    <row r="43" spans="1:12" ht="14" x14ac:dyDescent="0.15">
      <c r="A43" s="27" t="s">
        <v>75</v>
      </c>
      <c r="B43" s="32">
        <f>'Balance Sheet'!B43/'Income Statement'!B$20</f>
        <v>0.112075598730403</v>
      </c>
      <c r="C43" s="32">
        <f>'Balance Sheet'!C43/'Income Statement'!C$20</f>
        <v>7.1351913148589574E-2</v>
      </c>
      <c r="D43" s="32">
        <f>'Balance Sheet'!D43/'Income Statement'!D$20</f>
        <v>4.5805803689412762E-2</v>
      </c>
      <c r="E43" s="32">
        <f>'Balance Sheet'!E43/'Income Statement'!E$20</f>
        <v>1.4409735986680409E-2</v>
      </c>
      <c r="F43" s="32">
        <f>'Balance Sheet'!F43/'Income Statement'!F$20</f>
        <v>-1.7356265537924086E-2</v>
      </c>
      <c r="G43" s="32">
        <f>'Balance Sheet'!G43/'Income Statement'!G$20</f>
        <v>-2.8269448854615558E-2</v>
      </c>
      <c r="H43" s="32">
        <f>'Balance Sheet'!H43/'Income Statement'!H$20</f>
        <v>2.4971614563621226E-2</v>
      </c>
      <c r="I43" s="32">
        <f>'Balance Sheet'!I43/'Income Statement'!I$20</f>
        <v>-1.1220122124678315E-2</v>
      </c>
      <c r="J43" s="32">
        <f>'Balance Sheet'!J43/'Income Statement'!J$20</f>
        <v>9.9235719776624327E-3</v>
      </c>
      <c r="K43" s="32">
        <f>'Balance Sheet'!K43/'Income Statement'!K$20</f>
        <v>6.8383234317379426E-3</v>
      </c>
      <c r="L43" s="110">
        <f t="shared" si="0"/>
        <v>2.2853072501088943E-2</v>
      </c>
    </row>
    <row r="44" spans="1:12" s="29" customFormat="1" ht="14" x14ac:dyDescent="0.15">
      <c r="A44" s="28" t="s">
        <v>76</v>
      </c>
      <c r="B44" s="33">
        <f>'Balance Sheet'!B44/'Income Statement'!B$20</f>
        <v>0.48025872847936907</v>
      </c>
      <c r="C44" s="33">
        <f>'Balance Sheet'!C44/'Income Statement'!C$20</f>
        <v>0.48067646493973043</v>
      </c>
      <c r="D44" s="33">
        <f>'Balance Sheet'!D44/'Income Statement'!D$20</f>
        <v>0.45421005338548548</v>
      </c>
      <c r="E44" s="33">
        <f>'Balance Sheet'!E44/'Income Statement'!E$20</f>
        <v>0.44130064219456117</v>
      </c>
      <c r="F44" s="33">
        <f>'Balance Sheet'!F44/'Income Statement'!F$20</f>
        <v>0.40667079470994333</v>
      </c>
      <c r="G44" s="33">
        <f>'Balance Sheet'!G44/'Income Statement'!G$20</f>
        <v>0.46483102744386484</v>
      </c>
      <c r="H44" s="33">
        <f>'Balance Sheet'!H44/'Income Statement'!H$20</f>
        <v>0.53425932934675646</v>
      </c>
      <c r="I44" s="33">
        <f>'Balance Sheet'!I44/'Income Statement'!I$20</f>
        <v>0.47550560013760529</v>
      </c>
      <c r="J44" s="33">
        <f>'Balance Sheet'!J44/'Income Statement'!J$20</f>
        <v>0.48566418683252544</v>
      </c>
      <c r="K44" s="33">
        <f>'Balance Sheet'!K44/'Income Statement'!K$20</f>
        <v>0.50128054811389344</v>
      </c>
      <c r="L44" s="110">
        <f t="shared" si="0"/>
        <v>0.47246573755837351</v>
      </c>
    </row>
    <row r="47" spans="1:12" x14ac:dyDescent="0.15">
      <c r="A47" s="35" t="s">
        <v>79</v>
      </c>
    </row>
    <row r="48" spans="1:12" x14ac:dyDescent="0.15">
      <c r="A48" s="20" t="s">
        <v>77</v>
      </c>
      <c r="B48" s="34">
        <f>B21/B33</f>
        <v>1.3578844617978525</v>
      </c>
      <c r="C48" s="34">
        <f t="shared" ref="C48:K48" si="1">C21/C33</f>
        <v>1.3566182340731276</v>
      </c>
      <c r="D48" s="34">
        <f t="shared" si="1"/>
        <v>1.2540861812778605</v>
      </c>
      <c r="E48" s="34">
        <f t="shared" si="1"/>
        <v>1.1691367173027047</v>
      </c>
      <c r="F48" s="34">
        <f t="shared" si="1"/>
        <v>1.108458961474037</v>
      </c>
      <c r="G48" s="34">
        <f t="shared" si="1"/>
        <v>1.0780952380952382</v>
      </c>
      <c r="H48" s="34">
        <f t="shared" si="1"/>
        <v>1.2292583959250625</v>
      </c>
      <c r="I48" s="34">
        <f t="shared" si="1"/>
        <v>1.0126163175687448</v>
      </c>
      <c r="J48" s="34">
        <f t="shared" si="1"/>
        <v>1.4050627434011249</v>
      </c>
      <c r="K48" s="34">
        <f t="shared" si="1"/>
        <v>1.3524869407222349</v>
      </c>
    </row>
    <row r="49" spans="1:11" x14ac:dyDescent="0.15">
      <c r="A49" s="20" t="s">
        <v>78</v>
      </c>
      <c r="B49" s="34">
        <f>(B21-B19)/B33</f>
        <v>0.37474487532167883</v>
      </c>
      <c r="C49" s="34">
        <f t="shared" ref="C49:K49" si="2">(C21-C19)/C33</f>
        <v>0.4138591729203257</v>
      </c>
      <c r="D49" s="34">
        <f t="shared" si="2"/>
        <v>0.36616429632774372</v>
      </c>
      <c r="E49" s="34">
        <f t="shared" si="2"/>
        <v>0.38193157959738167</v>
      </c>
      <c r="F49" s="34">
        <f t="shared" si="2"/>
        <v>0.2754247427614262</v>
      </c>
      <c r="G49" s="34">
        <f t="shared" si="2"/>
        <v>0.28729251700680286</v>
      </c>
      <c r="H49" s="34">
        <f t="shared" si="2"/>
        <v>0.51152551152551162</v>
      </c>
      <c r="I49" s="34">
        <f t="shared" si="2"/>
        <v>0.24350886975917471</v>
      </c>
      <c r="J49" s="34">
        <f t="shared" si="2"/>
        <v>0.32821289485071387</v>
      </c>
      <c r="K49" s="34">
        <f t="shared" si="2"/>
        <v>0.39968203497615268</v>
      </c>
    </row>
    <row r="50" spans="1:11" x14ac:dyDescent="0.15">
      <c r="A50" s="20" t="s">
        <v>80</v>
      </c>
      <c r="B50" s="34">
        <f>B17/B33</f>
        <v>0.15289732895554176</v>
      </c>
      <c r="C50" s="34">
        <f t="shared" ref="C50:K50" si="3">C17/C33</f>
        <v>0.17691202299217626</v>
      </c>
      <c r="D50" s="34">
        <f t="shared" si="3"/>
        <v>0.17957970706856294</v>
      </c>
      <c r="E50" s="34">
        <f t="shared" si="3"/>
        <v>0.22199580091391877</v>
      </c>
      <c r="F50" s="34">
        <f t="shared" si="3"/>
        <v>0.10636515912897823</v>
      </c>
      <c r="G50" s="34">
        <f t="shared" si="3"/>
        <v>0.11608163265306125</v>
      </c>
      <c r="H50" s="34">
        <f t="shared" si="3"/>
        <v>0.34080117413450745</v>
      </c>
      <c r="I50" s="34">
        <f t="shared" si="3"/>
        <v>8.1657547136932351E-2</v>
      </c>
      <c r="J50" s="34">
        <f t="shared" si="3"/>
        <v>0.11929900475984422</v>
      </c>
      <c r="K50" s="34">
        <f t="shared" si="3"/>
        <v>0.17079264138087669</v>
      </c>
    </row>
    <row r="52" spans="1:11" x14ac:dyDescent="0.15">
      <c r="A52" s="35" t="s">
        <v>81</v>
      </c>
    </row>
    <row r="53" spans="1:11" x14ac:dyDescent="0.15">
      <c r="A53" s="20" t="s">
        <v>82</v>
      </c>
      <c r="B53" s="34">
        <f>B37/B27</f>
        <v>0.76663495719220942</v>
      </c>
      <c r="C53" s="34">
        <f t="shared" ref="C53:K53" si="4">C37/C27</f>
        <v>0.85155937859879205</v>
      </c>
      <c r="D53" s="34">
        <f t="shared" si="4"/>
        <v>0.89915281850765727</v>
      </c>
      <c r="E53" s="34">
        <f t="shared" si="4"/>
        <v>0.96734712210020446</v>
      </c>
      <c r="F53" s="34">
        <f t="shared" si="4"/>
        <v>1.0426789082562553</v>
      </c>
      <c r="G53" s="34">
        <f t="shared" si="4"/>
        <v>1.0608166133187602</v>
      </c>
      <c r="H53" s="34">
        <f t="shared" si="4"/>
        <v>0.95325937575268138</v>
      </c>
      <c r="I53" s="34">
        <f t="shared" si="4"/>
        <v>1.0235961934442652</v>
      </c>
      <c r="J53" s="34">
        <f t="shared" si="4"/>
        <v>0.97956700896069071</v>
      </c>
      <c r="K53" s="34">
        <f t="shared" si="4"/>
        <v>0.98635829086632698</v>
      </c>
    </row>
    <row r="54" spans="1:11" x14ac:dyDescent="0.15">
      <c r="A54" s="20" t="s">
        <v>83</v>
      </c>
      <c r="B54" s="34">
        <f>B37/B43</f>
        <v>3.2851319459343489</v>
      </c>
      <c r="C54" s="34">
        <f t="shared" ref="C54:K54" si="5">C37/C43</f>
        <v>5.736700443318556</v>
      </c>
      <c r="D54" s="34">
        <f t="shared" si="5"/>
        <v>8.915993537964459</v>
      </c>
      <c r="E54" s="34">
        <f t="shared" si="5"/>
        <v>29.625171939477305</v>
      </c>
      <c r="F54" s="34">
        <f t="shared" si="5"/>
        <v>-24.430777422790204</v>
      </c>
      <c r="G54" s="34">
        <f t="shared" si="5"/>
        <v>-17.442875481386391</v>
      </c>
      <c r="H54" s="34">
        <f t="shared" si="5"/>
        <v>20.394665050015156</v>
      </c>
      <c r="I54" s="34">
        <f t="shared" si="5"/>
        <v>-43.379716981132077</v>
      </c>
      <c r="J54" s="34">
        <f t="shared" si="5"/>
        <v>47.940460947503205</v>
      </c>
      <c r="K54" s="34">
        <f t="shared" si="5"/>
        <v>72.304597701149433</v>
      </c>
    </row>
    <row r="55" spans="1:11" x14ac:dyDescent="0.15">
      <c r="B55" s="34"/>
      <c r="C55" s="34"/>
      <c r="D55" s="34"/>
      <c r="E55" s="34"/>
      <c r="F55" s="34"/>
      <c r="G55" s="34"/>
      <c r="H55" s="34"/>
      <c r="I55" s="34"/>
      <c r="J55" s="34"/>
      <c r="K55" s="34"/>
    </row>
    <row r="56" spans="1:11" x14ac:dyDescent="0.15">
      <c r="A56" s="35" t="s">
        <v>85</v>
      </c>
      <c r="B56" s="34"/>
      <c r="C56" s="34"/>
      <c r="D56" s="34"/>
      <c r="E56" s="34"/>
      <c r="F56" s="34"/>
      <c r="G56" s="34"/>
      <c r="H56" s="34"/>
      <c r="I56" s="34"/>
      <c r="J56" s="34"/>
      <c r="K56" s="34"/>
    </row>
    <row r="57" spans="1:11" x14ac:dyDescent="0.15">
      <c r="A57" s="20" t="s">
        <v>86</v>
      </c>
      <c r="B57" s="34">
        <f>'Common Size Income Statement'!B21/'CS Balance Sheet Sales'!B19</f>
        <v>4.8941240184132138</v>
      </c>
      <c r="C57" s="34">
        <f>'Common Size Income Statement'!C21/'CS Balance Sheet Sales'!C19</f>
        <v>4.9330171902786013</v>
      </c>
      <c r="D57" s="34">
        <f>'Common Size Income Statement'!D21/'CS Balance Sheet Sales'!D19</f>
        <v>4.9631046298509842</v>
      </c>
      <c r="E57" s="34">
        <f>'Common Size Income Statement'!E21/'CS Balance Sheet Sales'!E19</f>
        <v>5.2202698462503916</v>
      </c>
      <c r="F57" s="34">
        <f>'Common Size Income Statement'!F21/'CS Balance Sheet Sales'!F19</f>
        <v>5.101831238779174</v>
      </c>
      <c r="G57" s="34">
        <f>'Common Size Income Statement'!G21/'CS Balance Sheet Sales'!G19</f>
        <v>4.9998623632234533</v>
      </c>
      <c r="H57" s="34">
        <f>'Common Size Income Statement'!H21/'CS Balance Sheet Sales'!H19</f>
        <v>5.2479100258615503</v>
      </c>
      <c r="I57" s="34">
        <f>'Common Size Income Statement'!I21/'CS Balance Sheet Sales'!I19</f>
        <v>4.5461754576762736</v>
      </c>
      <c r="J57" s="34">
        <f>'Common Size Income Statement'!J21/'CS Balance Sheet Sales'!J19</f>
        <v>4.2041710198505182</v>
      </c>
      <c r="K57" s="34">
        <f>'Common Size Income Statement'!K21/'CS Balance Sheet Sales'!K19</f>
        <v>4.8488272311212812</v>
      </c>
    </row>
    <row r="58" spans="1:11" x14ac:dyDescent="0.15">
      <c r="A58" s="20" t="s">
        <v>87</v>
      </c>
      <c r="B58" s="34">
        <f>365/B57</f>
        <v>74.579229832909164</v>
      </c>
      <c r="C58" s="34">
        <f t="shared" ref="C58:K58" si="6">365/C57</f>
        <v>73.991228070175438</v>
      </c>
      <c r="D58" s="34">
        <f t="shared" si="6"/>
        <v>73.542676856876781</v>
      </c>
      <c r="E58" s="34">
        <f t="shared" si="6"/>
        <v>69.919757167758618</v>
      </c>
      <c r="F58" s="34">
        <f t="shared" si="6"/>
        <v>71.542938783553623</v>
      </c>
      <c r="G58" s="34">
        <f t="shared" si="6"/>
        <v>73.002009552255245</v>
      </c>
      <c r="H58" s="34">
        <f t="shared" si="6"/>
        <v>69.551497301076139</v>
      </c>
      <c r="I58" s="34">
        <f t="shared" si="6"/>
        <v>80.287266384251183</v>
      </c>
      <c r="J58" s="34">
        <f t="shared" si="6"/>
        <v>86.818542413381124</v>
      </c>
      <c r="K58" s="34">
        <f t="shared" si="6"/>
        <v>75.27593428310179</v>
      </c>
    </row>
    <row r="59" spans="1:11" x14ac:dyDescent="0.15">
      <c r="A59" s="20" t="s">
        <v>88</v>
      </c>
      <c r="B59" s="34">
        <f>'Common Size Income Statement'!B20/'CS Balance Sheet Sales'!B27</f>
        <v>2.0822109848295196</v>
      </c>
      <c r="C59" s="34">
        <f>'Common Size Income Statement'!C20/'CS Balance Sheet Sales'!C27</f>
        <v>2.0804014195398248</v>
      </c>
      <c r="D59" s="34">
        <f>'Common Size Income Statement'!D20/'CS Balance Sheet Sales'!D27</f>
        <v>2.2016245403342176</v>
      </c>
      <c r="E59" s="34">
        <f>'Common Size Income Statement'!E20/'CS Balance Sheet Sales'!E27</f>
        <v>2.266028880055694</v>
      </c>
      <c r="F59" s="34">
        <f>'Common Size Income Statement'!F20/'CS Balance Sheet Sales'!F27</f>
        <v>2.4589914324023363</v>
      </c>
      <c r="G59" s="34">
        <f>'Common Size Income Statement'!G20/'CS Balance Sheet Sales'!G27</f>
        <v>2.1513193848075569</v>
      </c>
      <c r="H59" s="34">
        <f>'Common Size Income Statement'!H20/'CS Balance Sheet Sales'!H27</f>
        <v>1.8717501877275755</v>
      </c>
      <c r="I59" s="34">
        <f>'Common Size Income Statement'!I20/'CS Balance Sheet Sales'!I27</f>
        <v>2.1030246535700372</v>
      </c>
      <c r="J59" s="34">
        <f>'Common Size Income Statement'!J20/'CS Balance Sheet Sales'!J27</f>
        <v>2.059035908169272</v>
      </c>
      <c r="K59" s="34">
        <f>'Common Size Income Statement'!K20/'CS Balance Sheet Sales'!K27</f>
        <v>1.9948908924604731</v>
      </c>
    </row>
    <row r="60" spans="1:11" x14ac:dyDescent="0.15">
      <c r="B60" s="34"/>
      <c r="C60" s="34"/>
      <c r="D60" s="34"/>
      <c r="E60" s="34"/>
      <c r="F60" s="34"/>
      <c r="G60" s="34"/>
      <c r="H60" s="34"/>
      <c r="I60" s="34"/>
      <c r="J60" s="34"/>
      <c r="K60" s="34"/>
    </row>
    <row r="61" spans="1:11" x14ac:dyDescent="0.15">
      <c r="B61" s="34"/>
      <c r="C61" s="34"/>
      <c r="D61" s="34"/>
      <c r="E61" s="34"/>
      <c r="F61" s="34"/>
      <c r="G61" s="34"/>
      <c r="H61" s="34"/>
      <c r="I61" s="34"/>
      <c r="J61" s="34"/>
      <c r="K61" s="34"/>
    </row>
    <row r="62" spans="1:11" x14ac:dyDescent="0.15">
      <c r="A62" s="35" t="s">
        <v>89</v>
      </c>
      <c r="B62" s="34"/>
      <c r="C62" s="34"/>
      <c r="D62" s="34"/>
      <c r="E62" s="34"/>
      <c r="F62" s="34"/>
      <c r="G62" s="34"/>
      <c r="H62" s="34"/>
      <c r="I62" s="34"/>
      <c r="J62" s="34"/>
      <c r="K62" s="34"/>
    </row>
    <row r="63" spans="1:11" x14ac:dyDescent="0.15">
      <c r="A63" s="20" t="s">
        <v>90</v>
      </c>
      <c r="B63" s="34">
        <f>'Common Size Income Statement'!B31/'Common Size Income Statement'!B20</f>
        <v>7.6284024237760886E-2</v>
      </c>
      <c r="C63" s="34">
        <f>'Common Size Income Statement'!C31/'Common Size Income Statement'!C20</f>
        <v>7.9180740857894921E-2</v>
      </c>
      <c r="D63" s="34">
        <f>'Common Size Income Statement'!D31/'Common Size Income Statement'!D20</f>
        <v>8.4116496643585809E-2</v>
      </c>
      <c r="E63" s="34">
        <f>'Common Size Income Statement'!E31/'Common Size Income Statement'!E20</f>
        <v>8.5526837389994448E-2</v>
      </c>
      <c r="F63" s="34">
        <f>'Common Size Income Statement'!F31/'Common Size Income Statement'!F20</f>
        <v>0.10277903570141309</v>
      </c>
      <c r="G63" s="34">
        <f>'Common Size Income Statement'!G31/'Common Size Income Statement'!G20</f>
        <v>0.10199138126559311</v>
      </c>
      <c r="H63" s="34">
        <f>'Common Size Income Statement'!H31/'Common Size Income Statement'!H20</f>
        <v>9.738853985315267E-2</v>
      </c>
      <c r="I63" s="34">
        <f>'Common Size Income Statement'!I31/'Common Size Income Statement'!I20</f>
        <v>0.10871477999695681</v>
      </c>
      <c r="J63" s="34">
        <f>'Common Size Income Statement'!J31/'Common Size Income Statement'!J20</f>
        <v>0.10867010158637383</v>
      </c>
      <c r="K63" s="34">
        <f>'Common Size Income Statement'!K31/'Common Size Income Statement'!K20</f>
        <v>9.9188440351348342E-2</v>
      </c>
    </row>
    <row r="64" spans="1:11" x14ac:dyDescent="0.15">
      <c r="B64" s="34"/>
      <c r="C64" s="34"/>
      <c r="D64" s="34"/>
      <c r="E64" s="34"/>
      <c r="F64" s="34"/>
      <c r="G64" s="34"/>
      <c r="H64" s="34"/>
      <c r="I64" s="34"/>
      <c r="J64" s="34"/>
      <c r="K64" s="34"/>
    </row>
    <row r="65" spans="2:11" x14ac:dyDescent="0.15">
      <c r="B65" s="34"/>
      <c r="C65" s="34"/>
      <c r="D65" s="34"/>
      <c r="E65" s="34"/>
      <c r="F65" s="34"/>
      <c r="G65" s="34"/>
      <c r="H65" s="34"/>
      <c r="I65" s="34"/>
      <c r="J65" s="34"/>
      <c r="K65" s="34"/>
    </row>
    <row r="66" spans="2:11" x14ac:dyDescent="0.15">
      <c r="B66" s="34"/>
      <c r="C66" s="34"/>
      <c r="D66" s="34"/>
      <c r="E66" s="34"/>
      <c r="F66" s="34"/>
      <c r="G66" s="34"/>
      <c r="H66" s="34"/>
      <c r="I66" s="34"/>
      <c r="J66" s="34"/>
      <c r="K66" s="34"/>
    </row>
    <row r="67" spans="2:11" x14ac:dyDescent="0.15">
      <c r="B67" s="34"/>
      <c r="C67" s="34"/>
      <c r="D67" s="34"/>
      <c r="E67" s="34"/>
      <c r="F67" s="34"/>
      <c r="G67" s="34"/>
      <c r="H67" s="34"/>
      <c r="I67" s="34"/>
      <c r="J67" s="34"/>
      <c r="K67" s="34"/>
    </row>
    <row r="68" spans="2:11" x14ac:dyDescent="0.15">
      <c r="B68" s="34"/>
    </row>
    <row r="121" spans="1:7" ht="13" customHeight="1" x14ac:dyDescent="0.15">
      <c r="A121" s="179" t="s">
        <v>84</v>
      </c>
      <c r="B121" s="179"/>
      <c r="C121" s="179"/>
      <c r="D121" s="179"/>
      <c r="E121" s="179"/>
      <c r="F121" s="179"/>
      <c r="G121" s="179"/>
    </row>
    <row r="122" spans="1:7" x14ac:dyDescent="0.15">
      <c r="A122" s="179"/>
      <c r="B122" s="179"/>
      <c r="C122" s="179"/>
      <c r="D122" s="179"/>
      <c r="E122" s="179"/>
      <c r="F122" s="179"/>
      <c r="G122" s="179"/>
    </row>
    <row r="123" spans="1:7" x14ac:dyDescent="0.15">
      <c r="A123" s="179"/>
      <c r="B123" s="179"/>
      <c r="C123" s="179"/>
      <c r="D123" s="179"/>
      <c r="E123" s="179"/>
      <c r="F123" s="179"/>
      <c r="G123" s="179"/>
    </row>
    <row r="124" spans="1:7" x14ac:dyDescent="0.15">
      <c r="A124" s="179"/>
      <c r="B124" s="179"/>
      <c r="C124" s="179"/>
      <c r="D124" s="179"/>
      <c r="E124" s="179"/>
      <c r="F124" s="179"/>
      <c r="G124" s="179"/>
    </row>
    <row r="125" spans="1:7" x14ac:dyDescent="0.15">
      <c r="A125" s="179"/>
      <c r="B125" s="179"/>
      <c r="C125" s="179"/>
      <c r="D125" s="179"/>
      <c r="E125" s="179"/>
      <c r="F125" s="179"/>
      <c r="G125" s="179"/>
    </row>
    <row r="126" spans="1:7" x14ac:dyDescent="0.15">
      <c r="A126" s="179"/>
      <c r="B126" s="179"/>
      <c r="C126" s="179"/>
      <c r="D126" s="179"/>
      <c r="E126" s="179"/>
      <c r="F126" s="179"/>
      <c r="G126" s="179"/>
    </row>
    <row r="127" spans="1:7" x14ac:dyDescent="0.15">
      <c r="A127" s="179"/>
      <c r="B127" s="179"/>
      <c r="C127" s="179"/>
      <c r="D127" s="179"/>
      <c r="E127" s="179"/>
      <c r="F127" s="179"/>
      <c r="G127" s="179"/>
    </row>
    <row r="128" spans="1:7" x14ac:dyDescent="0.15">
      <c r="A128" s="179"/>
      <c r="B128" s="179"/>
      <c r="C128" s="179"/>
      <c r="D128" s="179"/>
      <c r="E128" s="179"/>
      <c r="F128" s="179"/>
      <c r="G128" s="179"/>
    </row>
    <row r="129" spans="1:7" x14ac:dyDescent="0.15">
      <c r="A129" s="179"/>
      <c r="B129" s="179"/>
      <c r="C129" s="179"/>
      <c r="D129" s="179"/>
      <c r="E129" s="179"/>
      <c r="F129" s="179"/>
      <c r="G129" s="179"/>
    </row>
    <row r="130" spans="1:7" x14ac:dyDescent="0.15">
      <c r="A130" s="179"/>
      <c r="B130" s="179"/>
      <c r="C130" s="179"/>
      <c r="D130" s="179"/>
      <c r="E130" s="179"/>
      <c r="F130" s="179"/>
      <c r="G130" s="179"/>
    </row>
    <row r="131" spans="1:7" x14ac:dyDescent="0.15">
      <c r="A131" s="179"/>
      <c r="B131" s="179"/>
      <c r="C131" s="179"/>
      <c r="D131" s="179"/>
      <c r="E131" s="179"/>
      <c r="F131" s="179"/>
      <c r="G131" s="179"/>
    </row>
    <row r="132" spans="1:7" x14ac:dyDescent="0.15">
      <c r="A132" s="179"/>
      <c r="B132" s="179"/>
      <c r="C132" s="179"/>
      <c r="D132" s="179"/>
      <c r="E132" s="179"/>
      <c r="F132" s="179"/>
      <c r="G132" s="179"/>
    </row>
    <row r="133" spans="1:7" x14ac:dyDescent="0.15">
      <c r="A133" s="179"/>
      <c r="B133" s="179"/>
      <c r="C133" s="179"/>
      <c r="D133" s="179"/>
      <c r="E133" s="179"/>
      <c r="F133" s="179"/>
      <c r="G133" s="179"/>
    </row>
    <row r="134" spans="1:7" x14ac:dyDescent="0.15">
      <c r="A134" s="179"/>
      <c r="B134" s="179"/>
      <c r="C134" s="179"/>
      <c r="D134" s="179"/>
      <c r="E134" s="179"/>
      <c r="F134" s="179"/>
      <c r="G134" s="179"/>
    </row>
    <row r="135" spans="1:7" x14ac:dyDescent="0.15">
      <c r="A135" s="179"/>
      <c r="B135" s="179"/>
      <c r="C135" s="179"/>
      <c r="D135" s="179"/>
      <c r="E135" s="179"/>
      <c r="F135" s="179"/>
      <c r="G135" s="179"/>
    </row>
    <row r="136" spans="1:7" x14ac:dyDescent="0.15">
      <c r="A136" s="179"/>
      <c r="B136" s="179"/>
      <c r="C136" s="179"/>
      <c r="D136" s="179"/>
      <c r="E136" s="179"/>
      <c r="F136" s="179"/>
      <c r="G136" s="179"/>
    </row>
    <row r="137" spans="1:7" x14ac:dyDescent="0.15">
      <c r="A137" s="179"/>
      <c r="B137" s="179"/>
      <c r="C137" s="179"/>
      <c r="D137" s="179"/>
      <c r="E137" s="179"/>
      <c r="F137" s="179"/>
      <c r="G137" s="179"/>
    </row>
    <row r="138" spans="1:7" x14ac:dyDescent="0.15">
      <c r="A138" s="179"/>
      <c r="B138" s="179"/>
      <c r="C138" s="179"/>
      <c r="D138" s="179"/>
      <c r="E138" s="179"/>
      <c r="F138" s="179"/>
      <c r="G138" s="179"/>
    </row>
  </sheetData>
  <sheetProtection formatCells="0" formatColumns="0" formatRows="0" insertColumns="0" insertRows="0" insertHyperlinks="0" deleteColumns="0" deleteRows="0" sort="0" autoFilter="0" pivotTables="0"/>
  <mergeCells count="1">
    <mergeCell ref="A121:G138"/>
  </mergeCells>
  <pageMargins left="0.7" right="0.7" top="0.75" bottom="0.75" header="0.3" footer="0.3"/>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DCF Model</vt:lpstr>
      <vt:lpstr>Relative Val</vt:lpstr>
      <vt:lpstr>Projected Tables</vt:lpstr>
      <vt:lpstr>Competitors BS &amp; IS</vt:lpstr>
      <vt:lpstr>Income Statement</vt:lpstr>
      <vt:lpstr>Balance Sheet</vt:lpstr>
      <vt:lpstr>Common Size Income Statement</vt:lpstr>
      <vt:lpstr>CS Balance Sheet Assets</vt:lpstr>
      <vt:lpstr>CS Balance Sheet Sales</vt:lpstr>
      <vt:lpstr>Stock Prices</vt:lpstr>
      <vt:lpstr>HD &amp; S&amp;P500</vt:lpstr>
      <vt:lpstr>FND Income Statement</vt:lpstr>
      <vt:lpstr>FND CS Income Statement</vt:lpstr>
      <vt:lpstr>FND Balance Sheet</vt:lpstr>
      <vt:lpstr>FND CS Balance Sheet</vt:lpstr>
      <vt:lpstr>LOW Income Statement</vt:lpstr>
      <vt:lpstr>LOW CS Income Statement</vt:lpstr>
      <vt:lpstr>LOW Balance Sheet</vt:lpstr>
      <vt:lpstr>LOW CS Balance Sheet </vt:lpstr>
      <vt:lpstr>WMT Income Statement</vt:lpstr>
      <vt:lpstr>WMT CS Income Statement</vt:lpstr>
      <vt:lpstr>WMT Balance Sheet</vt:lpstr>
      <vt:lpstr>WMT CS Balance Sheet</vt:lpstr>
      <vt:lpstr>Consolidated Ratios</vt:lpstr>
      <vt:lpstr>PPT Graphs</vt:lpstr>
      <vt:lpstr>Paper Graphs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Jairo Andres Onate</cp:lastModifiedBy>
  <dcterms:created xsi:type="dcterms:W3CDTF">2025-01-14T19:20:53Z</dcterms:created>
  <dcterms:modified xsi:type="dcterms:W3CDTF">2025-03-02T00:17:49Z</dcterms:modified>
  <cp:category/>
</cp:coreProperties>
</file>