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8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9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trlProps/ctrlProp1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+xml"/>
  <Override PartName="/xl/ctrlProps/ctrlProp14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1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2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1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5.xml" ContentType="application/vnd.openxmlformats-officedocument.drawing+xml"/>
  <Override PartName="/xl/ctrlProps/ctrlProp22.xml" ContentType="application/vnd.ms-excel.controlproperties+xml"/>
  <Override PartName="/xl/drawings/drawing16.xml" ContentType="application/vnd.openxmlformats-officedocument.drawing+xml"/>
  <Override PartName="/xl/ctrlProps/ctrlProp23.xml" ContentType="application/vnd.ms-excel.controlpropertie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8.xml" ContentType="application/vnd.openxmlformats-officedocument.drawing+xml"/>
  <Override PartName="/xl/ctrlProps/ctrlProp26.xml" ContentType="application/vnd.ms-excel.controlpropertie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9.xml" ContentType="application/vnd.openxmlformats-officedocument.drawing+xml"/>
  <Override PartName="/xl/ctrlProps/ctrlProp27.xml" ContentType="application/vnd.ms-excel.controlproperties+xml"/>
  <Override PartName="/xl/drawings/drawing20.xml" ContentType="application/vnd.openxmlformats-officedocument.drawing+xml"/>
  <Override PartName="/xl/ctrlProps/ctrlProp28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wnloads\reikinew\"/>
    </mc:Choice>
  </mc:AlternateContent>
  <xr:revisionPtr revIDLastSave="0" documentId="13_ncr:1_{47A2C224-A80A-4405-9CC3-2093D3352B22}" xr6:coauthVersionLast="47" xr6:coauthVersionMax="47" xr10:uidLastSave="{00000000-0000-0000-0000-000000000000}"/>
  <bookViews>
    <workbookView xWindow="-120" yWindow="-120" windowWidth="20730" windowHeight="11160" tabRatio="598" firstSheet="1" activeTab="3" xr2:uid="{15526A0F-C22F-49AF-8119-9348034E4591}"/>
  </bookViews>
  <sheets>
    <sheet name="Datos de Entrada (On Grid)" sheetId="1" r:id="rId1"/>
    <sheet name="Datos de entrada (Off grid)" sheetId="11" r:id="rId2"/>
    <sheet name="Referencias" sheetId="18" r:id="rId3"/>
    <sheet name="Precios Meico" sheetId="15" r:id="rId4"/>
    <sheet name="Calculos (On Grid)" sheetId="8" r:id="rId5"/>
    <sheet name="Calculos (Off Grid)" sheetId="12" r:id="rId6"/>
    <sheet name="Precios E&amp;M" sheetId="14" r:id="rId7"/>
    <sheet name="Historico costos proyectos" sheetId="34" r:id="rId8"/>
    <sheet name="Hoja1" sheetId="33" r:id="rId9"/>
    <sheet name="Mejoras Simón" sheetId="20" r:id="rId10"/>
    <sheet name="Datos Equipos" sheetId="3" r:id="rId11"/>
    <sheet name="PPA Calculos" sheetId="22" r:id="rId12"/>
    <sheet name="PPA inversionista" sheetId="37" r:id="rId13"/>
    <sheet name="Datos de Salida (On grid)" sheetId="4" r:id="rId14"/>
    <sheet name="PPA Datos Salida" sheetId="23" r:id="rId15"/>
    <sheet name="Precios" sheetId="36" r:id="rId16"/>
    <sheet name="PPA Flujo de Caja Cliente" sheetId="24" r:id="rId17"/>
    <sheet name="PPA Formulario INELCO" sheetId="25" r:id="rId18"/>
    <sheet name="PPA Modalidades" sheetId="27" r:id="rId19"/>
    <sheet name="Datos de salida (Off Grid)" sheetId="6" r:id="rId20"/>
    <sheet name="Historico de Cotizaciones" sheetId="10" r:id="rId21"/>
    <sheet name="Graficas" sheetId="2" r:id="rId22"/>
    <sheet name="Contrato" sheetId="31" r:id="rId23"/>
    <sheet name="Flujo de caja" sheetId="9" r:id="rId24"/>
    <sheet name="Var. Financieras" sheetId="28" r:id="rId25"/>
    <sheet name="Salida UPME" sheetId="30" r:id="rId26"/>
    <sheet name="Datos de Salida (Híbrido)" sheetId="21" r:id="rId27"/>
  </sheets>
  <definedNames>
    <definedName name="_xlnm._FilterDatabase" localSheetId="1" hidden="1">'Datos de entrada (Off grid)'!$C$16:$O$41</definedName>
    <definedName name="_xlnm._FilterDatabase" localSheetId="10" hidden="1">'Datos Equipos'!$B$86:$M$137</definedName>
    <definedName name="_xlnm._FilterDatabase" localSheetId="7" hidden="1">'Historico costos proyectos'!$A$2:$AC$2</definedName>
    <definedName name="_xlnm._FilterDatabase" localSheetId="20" hidden="1">'Historico de Cotizaciones'!$A$2:$R$2</definedName>
    <definedName name="_xlnm._FilterDatabase" localSheetId="6" hidden="1">'Precios E&amp;M'!$B$56:$I$72</definedName>
    <definedName name="_xlnm.Print_Area" localSheetId="17">'PPA Formulario INELCO'!$A$1:$J$35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73" i="14" l="1"/>
  <c r="D74" i="14"/>
  <c r="D75" i="14"/>
  <c r="D76" i="14"/>
  <c r="D77" i="14"/>
  <c r="D78" i="14"/>
  <c r="D79" i="14"/>
  <c r="D80" i="14"/>
  <c r="D81" i="14"/>
  <c r="D82" i="14"/>
  <c r="I142" i="14"/>
  <c r="I143" i="14"/>
  <c r="D7" i="14"/>
  <c r="I146" i="14"/>
  <c r="I24" i="11"/>
  <c r="I19" i="11"/>
  <c r="J98" i="8" l="1"/>
  <c r="E10" i="37"/>
  <c r="F10" i="37"/>
  <c r="G10" i="37"/>
  <c r="H10" i="37"/>
  <c r="I10" i="37"/>
  <c r="J10" i="37"/>
  <c r="K10" i="37"/>
  <c r="L10" i="37"/>
  <c r="M10" i="37"/>
  <c r="D10" i="37"/>
  <c r="M9" i="37"/>
  <c r="C21" i="37"/>
  <c r="C16" i="37"/>
  <c r="C17" i="37" s="1"/>
  <c r="F11" i="37"/>
  <c r="G11" i="37"/>
  <c r="H11" i="37"/>
  <c r="I11" i="37"/>
  <c r="J11" i="37"/>
  <c r="K11" i="37"/>
  <c r="L11" i="37"/>
  <c r="M11" i="37"/>
  <c r="N11" i="37"/>
  <c r="E11" i="37"/>
  <c r="E9" i="37"/>
  <c r="F9" i="37"/>
  <c r="G9" i="37"/>
  <c r="H9" i="37"/>
  <c r="I9" i="37"/>
  <c r="J9" i="37"/>
  <c r="K9" i="37"/>
  <c r="L9" i="37"/>
  <c r="N9" i="37"/>
  <c r="O9" i="37"/>
  <c r="O16" i="37" s="1"/>
  <c r="P9" i="37"/>
  <c r="P16" i="37" s="1"/>
  <c r="Q9" i="37"/>
  <c r="Q16" i="37" s="1"/>
  <c r="R9" i="37"/>
  <c r="R16" i="37" s="1"/>
  <c r="S9" i="37"/>
  <c r="S16" i="37" s="1"/>
  <c r="T9" i="37"/>
  <c r="T16" i="37" s="1"/>
  <c r="U9" i="37"/>
  <c r="U16" i="37" s="1"/>
  <c r="V9" i="37"/>
  <c r="V16" i="37" s="1"/>
  <c r="W9" i="37"/>
  <c r="W16" i="37" s="1"/>
  <c r="D9" i="37"/>
  <c r="D84" i="22"/>
  <c r="D104" i="22"/>
  <c r="M79" i="8"/>
  <c r="M76" i="8"/>
  <c r="M34" i="3"/>
  <c r="S34" i="3" s="1"/>
  <c r="J16" i="37" l="1"/>
  <c r="I16" i="37"/>
  <c r="N16" i="37"/>
  <c r="G16" i="37"/>
  <c r="K16" i="37"/>
  <c r="L16" i="37"/>
  <c r="F16" i="37"/>
  <c r="E16" i="37"/>
  <c r="H16" i="37"/>
  <c r="M16" i="37"/>
  <c r="D16" i="37"/>
  <c r="N34" i="3"/>
  <c r="T34" i="3" s="1"/>
  <c r="C23" i="37" l="1"/>
  <c r="C22" i="37"/>
  <c r="D17" i="37"/>
  <c r="E17" i="37" s="1"/>
  <c r="F17" i="37" s="1"/>
  <c r="G17" i="37" s="1"/>
  <c r="H17" i="37" s="1"/>
  <c r="I17" i="37" s="1"/>
  <c r="J17" i="37" s="1"/>
  <c r="K17" i="37" s="1"/>
  <c r="L17" i="37" s="1"/>
  <c r="M17" i="37" s="1"/>
  <c r="N17" i="37" s="1"/>
  <c r="O17" i="37" s="1"/>
  <c r="P17" i="37" s="1"/>
  <c r="Q17" i="37" s="1"/>
  <c r="R17" i="37" s="1"/>
  <c r="S17" i="37" s="1"/>
  <c r="T17" i="37" s="1"/>
  <c r="U17" i="37" s="1"/>
  <c r="V17" i="37" s="1"/>
  <c r="W17" i="37" s="1"/>
  <c r="C91" i="9"/>
  <c r="G8" i="21" l="1"/>
  <c r="D6" i="21"/>
  <c r="I16" i="30"/>
  <c r="M10" i="30"/>
  <c r="N10" i="30" s="1"/>
  <c r="G7" i="30"/>
  <c r="I7" i="30" s="1"/>
  <c r="G6" i="30"/>
  <c r="I6" i="30" s="1"/>
  <c r="B8" i="28"/>
  <c r="D4" i="28"/>
  <c r="C94" i="9" s="1"/>
  <c r="M47" i="20" s="1"/>
  <c r="E3" i="28"/>
  <c r="C93" i="9"/>
  <c r="C92" i="9"/>
  <c r="C69" i="9"/>
  <c r="C83" i="9" s="1"/>
  <c r="M33" i="20" s="1"/>
  <c r="C65" i="9"/>
  <c r="C64" i="9"/>
  <c r="D32" i="9"/>
  <c r="D25" i="9"/>
  <c r="D24" i="9"/>
  <c r="D23" i="9"/>
  <c r="D21" i="9"/>
  <c r="D20" i="9"/>
  <c r="D12" i="9"/>
  <c r="Q9" i="9"/>
  <c r="D4" i="9"/>
  <c r="C29" i="31"/>
  <c r="C28" i="31"/>
  <c r="C27" i="31"/>
  <c r="C26" i="31"/>
  <c r="C25" i="31"/>
  <c r="C24" i="31"/>
  <c r="C23" i="31"/>
  <c r="C22" i="31"/>
  <c r="C21" i="31"/>
  <c r="C20" i="31"/>
  <c r="C19" i="31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4" i="31"/>
  <c r="C3" i="31"/>
  <c r="P47" i="2"/>
  <c r="L47" i="2"/>
  <c r="O46" i="2"/>
  <c r="N46" i="2"/>
  <c r="M46" i="2"/>
  <c r="K46" i="2"/>
  <c r="O45" i="2"/>
  <c r="N45" i="2"/>
  <c r="M45" i="2"/>
  <c r="K45" i="2"/>
  <c r="O44" i="2"/>
  <c r="N44" i="2"/>
  <c r="M44" i="2"/>
  <c r="K44" i="2"/>
  <c r="O43" i="2"/>
  <c r="N43" i="2"/>
  <c r="M43" i="2"/>
  <c r="K43" i="2"/>
  <c r="O42" i="2"/>
  <c r="N42" i="2"/>
  <c r="M42" i="2"/>
  <c r="K42" i="2"/>
  <c r="O41" i="2"/>
  <c r="N41" i="2"/>
  <c r="M41" i="2"/>
  <c r="K41" i="2"/>
  <c r="O40" i="2"/>
  <c r="N40" i="2"/>
  <c r="M40" i="2"/>
  <c r="K40" i="2"/>
  <c r="O39" i="2"/>
  <c r="N39" i="2"/>
  <c r="M39" i="2"/>
  <c r="K39" i="2"/>
  <c r="O38" i="2"/>
  <c r="N38" i="2"/>
  <c r="M38" i="2"/>
  <c r="K38" i="2"/>
  <c r="O37" i="2"/>
  <c r="N37" i="2"/>
  <c r="M37" i="2"/>
  <c r="K37" i="2"/>
  <c r="O36" i="2"/>
  <c r="N36" i="2"/>
  <c r="M36" i="2"/>
  <c r="K36" i="2"/>
  <c r="O35" i="2"/>
  <c r="N35" i="2"/>
  <c r="M35" i="2"/>
  <c r="K35" i="2"/>
  <c r="O34" i="2"/>
  <c r="N34" i="2"/>
  <c r="M34" i="2"/>
  <c r="K34" i="2"/>
  <c r="O33" i="2"/>
  <c r="N33" i="2"/>
  <c r="M33" i="2"/>
  <c r="K33" i="2"/>
  <c r="O32" i="2"/>
  <c r="N32" i="2"/>
  <c r="M32" i="2"/>
  <c r="K32" i="2"/>
  <c r="O31" i="2"/>
  <c r="N31" i="2"/>
  <c r="M31" i="2"/>
  <c r="K31" i="2"/>
  <c r="O30" i="2"/>
  <c r="N30" i="2"/>
  <c r="M30" i="2"/>
  <c r="K30" i="2"/>
  <c r="O29" i="2"/>
  <c r="N29" i="2"/>
  <c r="M29" i="2"/>
  <c r="K29" i="2"/>
  <c r="O28" i="2"/>
  <c r="N28" i="2"/>
  <c r="M28" i="2"/>
  <c r="K28" i="2"/>
  <c r="O27" i="2"/>
  <c r="N27" i="2"/>
  <c r="M27" i="2"/>
  <c r="K27" i="2"/>
  <c r="O26" i="2"/>
  <c r="N26" i="2"/>
  <c r="M26" i="2"/>
  <c r="K26" i="2"/>
  <c r="O25" i="2"/>
  <c r="N25" i="2"/>
  <c r="M25" i="2"/>
  <c r="K25" i="2"/>
  <c r="O24" i="2"/>
  <c r="N24" i="2"/>
  <c r="M24" i="2"/>
  <c r="K24" i="2"/>
  <c r="O23" i="2"/>
  <c r="N23" i="2"/>
  <c r="M23" i="2"/>
  <c r="K23" i="2"/>
  <c r="O22" i="2"/>
  <c r="M22" i="2"/>
  <c r="K22" i="2"/>
  <c r="M14" i="2"/>
  <c r="N14" i="2" s="1"/>
  <c r="J14" i="2"/>
  <c r="M13" i="2"/>
  <c r="N13" i="2" s="1"/>
  <c r="J13" i="2"/>
  <c r="M12" i="2"/>
  <c r="N12" i="2" s="1"/>
  <c r="J12" i="2"/>
  <c r="M11" i="2"/>
  <c r="N11" i="2" s="1"/>
  <c r="J11" i="2"/>
  <c r="M10" i="2"/>
  <c r="N10" i="2" s="1"/>
  <c r="J10" i="2"/>
  <c r="M9" i="2"/>
  <c r="N9" i="2" s="1"/>
  <c r="J9" i="2"/>
  <c r="M8" i="2"/>
  <c r="N8" i="2" s="1"/>
  <c r="J8" i="2"/>
  <c r="M7" i="2"/>
  <c r="N7" i="2" s="1"/>
  <c r="J7" i="2"/>
  <c r="M6" i="2"/>
  <c r="N6" i="2" s="1"/>
  <c r="J6" i="2"/>
  <c r="M5" i="2"/>
  <c r="N5" i="2" s="1"/>
  <c r="J5" i="2"/>
  <c r="M4" i="2"/>
  <c r="N4" i="2" s="1"/>
  <c r="J4" i="2"/>
  <c r="M3" i="2"/>
  <c r="J3" i="2"/>
  <c r="N1" i="10" a="1"/>
  <c r="N1" i="10" s="1"/>
  <c r="O1" i="10" s="1"/>
  <c r="M24" i="20" s="1"/>
  <c r="E7" i="6"/>
  <c r="Q20" i="20" s="1"/>
  <c r="F26" i="25"/>
  <c r="J25" i="25"/>
  <c r="F25" i="25"/>
  <c r="F24" i="25"/>
  <c r="J22" i="25"/>
  <c r="F17" i="25"/>
  <c r="F16" i="25"/>
  <c r="A12" i="25"/>
  <c r="C10" i="25"/>
  <c r="C9" i="25"/>
  <c r="D44" i="24"/>
  <c r="AB30" i="24"/>
  <c r="AB46" i="24" s="1"/>
  <c r="AA30" i="24"/>
  <c r="AA46" i="24" s="1"/>
  <c r="Z30" i="24"/>
  <c r="Z46" i="24" s="1"/>
  <c r="Y30" i="24"/>
  <c r="Y46" i="24" s="1"/>
  <c r="X30" i="24"/>
  <c r="X46" i="24" s="1"/>
  <c r="W30" i="24"/>
  <c r="W46" i="24" s="1"/>
  <c r="V30" i="24"/>
  <c r="V46" i="24" s="1"/>
  <c r="U30" i="24"/>
  <c r="U46" i="24" s="1"/>
  <c r="T30" i="24"/>
  <c r="T46" i="24" s="1"/>
  <c r="S30" i="24"/>
  <c r="S46" i="24" s="1"/>
  <c r="R30" i="24"/>
  <c r="R46" i="24" s="1"/>
  <c r="Q30" i="24"/>
  <c r="Q46" i="24" s="1"/>
  <c r="P30" i="24"/>
  <c r="P46" i="24" s="1"/>
  <c r="O30" i="24"/>
  <c r="O46" i="24" s="1"/>
  <c r="N30" i="24"/>
  <c r="N46" i="24" s="1"/>
  <c r="M30" i="24"/>
  <c r="M46" i="24" s="1"/>
  <c r="L30" i="24"/>
  <c r="L46" i="24" s="1"/>
  <c r="K30" i="24"/>
  <c r="K46" i="24" s="1"/>
  <c r="J30" i="24"/>
  <c r="J46" i="24" s="1"/>
  <c r="I30" i="24"/>
  <c r="I46" i="24" s="1"/>
  <c r="H30" i="24"/>
  <c r="H46" i="24" s="1"/>
  <c r="G30" i="24"/>
  <c r="G46" i="24" s="1"/>
  <c r="F30" i="24"/>
  <c r="F46" i="24" s="1"/>
  <c r="E30" i="24"/>
  <c r="E46" i="24" s="1"/>
  <c r="D30" i="24"/>
  <c r="D46" i="24" s="1"/>
  <c r="AB28" i="24"/>
  <c r="AB44" i="24" s="1"/>
  <c r="AA28" i="24"/>
  <c r="AA44" i="24" s="1"/>
  <c r="Z28" i="24"/>
  <c r="Z44" i="24" s="1"/>
  <c r="Y28" i="24"/>
  <c r="Y44" i="24" s="1"/>
  <c r="X28" i="24"/>
  <c r="X44" i="24" s="1"/>
  <c r="W28" i="24"/>
  <c r="W44" i="24" s="1"/>
  <c r="V28" i="24"/>
  <c r="V44" i="24" s="1"/>
  <c r="U28" i="24"/>
  <c r="U44" i="24" s="1"/>
  <c r="T28" i="24"/>
  <c r="T44" i="24" s="1"/>
  <c r="S28" i="24"/>
  <c r="S44" i="24" s="1"/>
  <c r="R28" i="24"/>
  <c r="R44" i="24" s="1"/>
  <c r="Q28" i="24"/>
  <c r="Q44" i="24" s="1"/>
  <c r="P28" i="24"/>
  <c r="P44" i="24" s="1"/>
  <c r="O28" i="24"/>
  <c r="O44" i="24" s="1"/>
  <c r="N28" i="24"/>
  <c r="N44" i="24" s="1"/>
  <c r="M28" i="24"/>
  <c r="M44" i="24" s="1"/>
  <c r="L28" i="24"/>
  <c r="L44" i="24" s="1"/>
  <c r="K28" i="24"/>
  <c r="K44" i="24" s="1"/>
  <c r="J28" i="24"/>
  <c r="J44" i="24" s="1"/>
  <c r="I28" i="24"/>
  <c r="I44" i="24" s="1"/>
  <c r="H28" i="24"/>
  <c r="H44" i="24" s="1"/>
  <c r="G28" i="24"/>
  <c r="G44" i="24" s="1"/>
  <c r="F28" i="24"/>
  <c r="F44" i="24" s="1"/>
  <c r="E28" i="24"/>
  <c r="E44" i="24" s="1"/>
  <c r="AB21" i="24"/>
  <c r="AB37" i="24" s="1"/>
  <c r="AA21" i="24"/>
  <c r="AA37" i="24" s="1"/>
  <c r="Z21" i="24"/>
  <c r="Z37" i="24" s="1"/>
  <c r="Y21" i="24"/>
  <c r="Y37" i="24" s="1"/>
  <c r="X21" i="24"/>
  <c r="X37" i="24" s="1"/>
  <c r="W21" i="24"/>
  <c r="W37" i="24" s="1"/>
  <c r="V21" i="24"/>
  <c r="V37" i="24" s="1"/>
  <c r="U21" i="24"/>
  <c r="U37" i="24" s="1"/>
  <c r="T21" i="24"/>
  <c r="T37" i="24" s="1"/>
  <c r="S21" i="24"/>
  <c r="S37" i="24" s="1"/>
  <c r="R21" i="24"/>
  <c r="R37" i="24" s="1"/>
  <c r="Q21" i="24"/>
  <c r="Q37" i="24" s="1"/>
  <c r="P21" i="24"/>
  <c r="P37" i="24" s="1"/>
  <c r="O21" i="24"/>
  <c r="O37" i="24" s="1"/>
  <c r="N21" i="24"/>
  <c r="N37" i="24" s="1"/>
  <c r="M21" i="24"/>
  <c r="M37" i="24" s="1"/>
  <c r="L21" i="24"/>
  <c r="L37" i="24" s="1"/>
  <c r="K21" i="24"/>
  <c r="K37" i="24" s="1"/>
  <c r="J21" i="24"/>
  <c r="J37" i="24" s="1"/>
  <c r="I21" i="24"/>
  <c r="I37" i="24" s="1"/>
  <c r="H21" i="24"/>
  <c r="H37" i="24" s="1"/>
  <c r="G21" i="24"/>
  <c r="G37" i="24" s="1"/>
  <c r="F21" i="24"/>
  <c r="F37" i="24" s="1"/>
  <c r="E21" i="24"/>
  <c r="E37" i="24" s="1"/>
  <c r="D21" i="24"/>
  <c r="D37" i="24" s="1"/>
  <c r="F12" i="23"/>
  <c r="M41" i="20" s="1"/>
  <c r="E12" i="23"/>
  <c r="M40" i="20" s="1"/>
  <c r="D12" i="23"/>
  <c r="M39" i="20" s="1"/>
  <c r="E7" i="23"/>
  <c r="D6" i="4"/>
  <c r="C136" i="22"/>
  <c r="C130" i="22"/>
  <c r="C125" i="22"/>
  <c r="AB75" i="22"/>
  <c r="AB95" i="22" s="1"/>
  <c r="AB115" i="22" s="1"/>
  <c r="AA75" i="22"/>
  <c r="AA95" i="22" s="1"/>
  <c r="AA115" i="22" s="1"/>
  <c r="Z75" i="22"/>
  <c r="Z95" i="22" s="1"/>
  <c r="Z115" i="22" s="1"/>
  <c r="Y75" i="22"/>
  <c r="Y95" i="22" s="1"/>
  <c r="Y115" i="22" s="1"/>
  <c r="X75" i="22"/>
  <c r="X95" i="22" s="1"/>
  <c r="X115" i="22" s="1"/>
  <c r="W75" i="22"/>
  <c r="W95" i="22" s="1"/>
  <c r="W115" i="22" s="1"/>
  <c r="V75" i="22"/>
  <c r="V95" i="22" s="1"/>
  <c r="V115" i="22" s="1"/>
  <c r="U75" i="22"/>
  <c r="U95" i="22" s="1"/>
  <c r="U115" i="22" s="1"/>
  <c r="T75" i="22"/>
  <c r="T95" i="22" s="1"/>
  <c r="T115" i="22" s="1"/>
  <c r="S75" i="22"/>
  <c r="S95" i="22" s="1"/>
  <c r="S115" i="22" s="1"/>
  <c r="R75" i="22"/>
  <c r="R95" i="22" s="1"/>
  <c r="R115" i="22" s="1"/>
  <c r="Q75" i="22"/>
  <c r="Q95" i="22" s="1"/>
  <c r="Q115" i="22" s="1"/>
  <c r="P75" i="22"/>
  <c r="P95" i="22" s="1"/>
  <c r="P115" i="22" s="1"/>
  <c r="O75" i="22"/>
  <c r="O95" i="22" s="1"/>
  <c r="O115" i="22" s="1"/>
  <c r="N75" i="22"/>
  <c r="N95" i="22" s="1"/>
  <c r="N115" i="22" s="1"/>
  <c r="M75" i="22"/>
  <c r="M95" i="22" s="1"/>
  <c r="M115" i="22" s="1"/>
  <c r="L75" i="22"/>
  <c r="L95" i="22" s="1"/>
  <c r="L115" i="22" s="1"/>
  <c r="K75" i="22"/>
  <c r="K95" i="22" s="1"/>
  <c r="K115" i="22" s="1"/>
  <c r="J75" i="22"/>
  <c r="J95" i="22" s="1"/>
  <c r="J115" i="22" s="1"/>
  <c r="I75" i="22"/>
  <c r="I95" i="22" s="1"/>
  <c r="I115" i="22" s="1"/>
  <c r="H75" i="22"/>
  <c r="H95" i="22" s="1"/>
  <c r="H115" i="22" s="1"/>
  <c r="G75" i="22"/>
  <c r="G95" i="22" s="1"/>
  <c r="G115" i="22" s="1"/>
  <c r="F75" i="22"/>
  <c r="F95" i="22" s="1"/>
  <c r="F115" i="22" s="1"/>
  <c r="E75" i="22"/>
  <c r="E95" i="22" s="1"/>
  <c r="E115" i="22" s="1"/>
  <c r="D75" i="22"/>
  <c r="D95" i="22" s="1"/>
  <c r="D115" i="22" s="1"/>
  <c r="C75" i="22"/>
  <c r="C95" i="22" s="1"/>
  <c r="AB73" i="22"/>
  <c r="AB93" i="22" s="1"/>
  <c r="AB113" i="22" s="1"/>
  <c r="AA73" i="22"/>
  <c r="AA93" i="22" s="1"/>
  <c r="AA113" i="22" s="1"/>
  <c r="Z73" i="22"/>
  <c r="Z93" i="22" s="1"/>
  <c r="Z113" i="22" s="1"/>
  <c r="Y73" i="22"/>
  <c r="Y93" i="22" s="1"/>
  <c r="Y113" i="22" s="1"/>
  <c r="X73" i="22"/>
  <c r="X93" i="22" s="1"/>
  <c r="X113" i="22" s="1"/>
  <c r="W73" i="22"/>
  <c r="W93" i="22" s="1"/>
  <c r="W113" i="22" s="1"/>
  <c r="V73" i="22"/>
  <c r="V93" i="22" s="1"/>
  <c r="V113" i="22" s="1"/>
  <c r="U73" i="22"/>
  <c r="U93" i="22" s="1"/>
  <c r="U113" i="22" s="1"/>
  <c r="T73" i="22"/>
  <c r="T93" i="22" s="1"/>
  <c r="T113" i="22" s="1"/>
  <c r="S73" i="22"/>
  <c r="S93" i="22" s="1"/>
  <c r="S113" i="22" s="1"/>
  <c r="R73" i="22"/>
  <c r="R93" i="22" s="1"/>
  <c r="R113" i="22" s="1"/>
  <c r="Q73" i="22"/>
  <c r="Q93" i="22" s="1"/>
  <c r="Q113" i="22" s="1"/>
  <c r="P73" i="22"/>
  <c r="P93" i="22" s="1"/>
  <c r="P113" i="22" s="1"/>
  <c r="O73" i="22"/>
  <c r="O93" i="22" s="1"/>
  <c r="O113" i="22" s="1"/>
  <c r="N73" i="22"/>
  <c r="N93" i="22" s="1"/>
  <c r="N113" i="22" s="1"/>
  <c r="M73" i="22"/>
  <c r="M93" i="22" s="1"/>
  <c r="M113" i="22" s="1"/>
  <c r="L73" i="22"/>
  <c r="L93" i="22" s="1"/>
  <c r="L113" i="22" s="1"/>
  <c r="K73" i="22"/>
  <c r="K93" i="22" s="1"/>
  <c r="K113" i="22" s="1"/>
  <c r="J73" i="22"/>
  <c r="J93" i="22" s="1"/>
  <c r="J113" i="22" s="1"/>
  <c r="I73" i="22"/>
  <c r="I93" i="22" s="1"/>
  <c r="I113" i="22" s="1"/>
  <c r="H73" i="22"/>
  <c r="H93" i="22" s="1"/>
  <c r="H113" i="22" s="1"/>
  <c r="G73" i="22"/>
  <c r="G93" i="22" s="1"/>
  <c r="G113" i="22" s="1"/>
  <c r="F73" i="22"/>
  <c r="F93" i="22" s="1"/>
  <c r="F113" i="22" s="1"/>
  <c r="E73" i="22"/>
  <c r="E93" i="22" s="1"/>
  <c r="E113" i="22" s="1"/>
  <c r="D73" i="22"/>
  <c r="D93" i="22" s="1"/>
  <c r="D113" i="22" s="1"/>
  <c r="C73" i="22"/>
  <c r="C93" i="22" s="1"/>
  <c r="C113" i="22" s="1"/>
  <c r="AB72" i="22"/>
  <c r="AB92" i="22" s="1"/>
  <c r="AB112" i="22" s="1"/>
  <c r="AA72" i="22"/>
  <c r="AA92" i="22" s="1"/>
  <c r="AA112" i="22" s="1"/>
  <c r="Z72" i="22"/>
  <c r="Z92" i="22" s="1"/>
  <c r="Z112" i="22" s="1"/>
  <c r="Y72" i="22"/>
  <c r="Y92" i="22" s="1"/>
  <c r="Y112" i="22" s="1"/>
  <c r="X72" i="22"/>
  <c r="X92" i="22" s="1"/>
  <c r="X112" i="22" s="1"/>
  <c r="W72" i="22"/>
  <c r="W92" i="22" s="1"/>
  <c r="W112" i="22" s="1"/>
  <c r="V72" i="22"/>
  <c r="V92" i="22" s="1"/>
  <c r="V112" i="22" s="1"/>
  <c r="U72" i="22"/>
  <c r="U92" i="22" s="1"/>
  <c r="U112" i="22" s="1"/>
  <c r="T72" i="22"/>
  <c r="T92" i="22" s="1"/>
  <c r="T112" i="22" s="1"/>
  <c r="S72" i="22"/>
  <c r="S92" i="22" s="1"/>
  <c r="S112" i="22" s="1"/>
  <c r="R72" i="22"/>
  <c r="R92" i="22" s="1"/>
  <c r="R112" i="22" s="1"/>
  <c r="Q72" i="22"/>
  <c r="Q92" i="22" s="1"/>
  <c r="Q112" i="22" s="1"/>
  <c r="P72" i="22"/>
  <c r="P92" i="22" s="1"/>
  <c r="P112" i="22" s="1"/>
  <c r="O72" i="22"/>
  <c r="O92" i="22" s="1"/>
  <c r="O112" i="22" s="1"/>
  <c r="N72" i="22"/>
  <c r="N92" i="22" s="1"/>
  <c r="N112" i="22" s="1"/>
  <c r="M72" i="22"/>
  <c r="M92" i="22" s="1"/>
  <c r="M112" i="22" s="1"/>
  <c r="L72" i="22"/>
  <c r="L92" i="22" s="1"/>
  <c r="L112" i="22" s="1"/>
  <c r="K72" i="22"/>
  <c r="K92" i="22" s="1"/>
  <c r="K112" i="22" s="1"/>
  <c r="J72" i="22"/>
  <c r="J92" i="22" s="1"/>
  <c r="J112" i="22" s="1"/>
  <c r="I72" i="22"/>
  <c r="I92" i="22" s="1"/>
  <c r="I112" i="22" s="1"/>
  <c r="C72" i="22"/>
  <c r="C92" i="22" s="1"/>
  <c r="C112" i="22" s="1"/>
  <c r="AB71" i="22"/>
  <c r="AB91" i="22" s="1"/>
  <c r="AB111" i="22" s="1"/>
  <c r="AA71" i="22"/>
  <c r="AA91" i="22" s="1"/>
  <c r="AA111" i="22" s="1"/>
  <c r="Z71" i="22"/>
  <c r="Z91" i="22" s="1"/>
  <c r="Z111" i="22" s="1"/>
  <c r="Y71" i="22"/>
  <c r="Y91" i="22" s="1"/>
  <c r="Y111" i="22" s="1"/>
  <c r="X71" i="22"/>
  <c r="X91" i="22" s="1"/>
  <c r="X111" i="22" s="1"/>
  <c r="W71" i="22"/>
  <c r="W91" i="22" s="1"/>
  <c r="W111" i="22" s="1"/>
  <c r="V71" i="22"/>
  <c r="V91" i="22" s="1"/>
  <c r="V111" i="22" s="1"/>
  <c r="U71" i="22"/>
  <c r="U91" i="22" s="1"/>
  <c r="U111" i="22" s="1"/>
  <c r="T71" i="22"/>
  <c r="T91" i="22" s="1"/>
  <c r="T111" i="22" s="1"/>
  <c r="S71" i="22"/>
  <c r="S91" i="22" s="1"/>
  <c r="S111" i="22" s="1"/>
  <c r="R71" i="22"/>
  <c r="R91" i="22" s="1"/>
  <c r="R111" i="22" s="1"/>
  <c r="Q71" i="22"/>
  <c r="Q91" i="22" s="1"/>
  <c r="Q111" i="22" s="1"/>
  <c r="P71" i="22"/>
  <c r="P91" i="22" s="1"/>
  <c r="P111" i="22" s="1"/>
  <c r="O71" i="22"/>
  <c r="O91" i="22" s="1"/>
  <c r="O111" i="22" s="1"/>
  <c r="N71" i="22"/>
  <c r="N91" i="22" s="1"/>
  <c r="N111" i="22" s="1"/>
  <c r="M71" i="22"/>
  <c r="M91" i="22" s="1"/>
  <c r="M111" i="22" s="1"/>
  <c r="L71" i="22"/>
  <c r="L91" i="22" s="1"/>
  <c r="L111" i="22" s="1"/>
  <c r="K71" i="22"/>
  <c r="K91" i="22" s="1"/>
  <c r="K111" i="22" s="1"/>
  <c r="J71" i="22"/>
  <c r="J91" i="22" s="1"/>
  <c r="J111" i="22" s="1"/>
  <c r="D71" i="22"/>
  <c r="D91" i="22" s="1"/>
  <c r="D111" i="22" s="1"/>
  <c r="C71" i="22"/>
  <c r="C91" i="22" s="1"/>
  <c r="C111" i="22" s="1"/>
  <c r="AB70" i="22"/>
  <c r="AB90" i="22" s="1"/>
  <c r="AB110" i="22" s="1"/>
  <c r="AA70" i="22"/>
  <c r="AA90" i="22" s="1"/>
  <c r="AA110" i="22" s="1"/>
  <c r="Z70" i="22"/>
  <c r="Z90" i="22" s="1"/>
  <c r="Z110" i="22" s="1"/>
  <c r="Y70" i="22"/>
  <c r="Y90" i="22" s="1"/>
  <c r="Y110" i="22" s="1"/>
  <c r="X70" i="22"/>
  <c r="X90" i="22" s="1"/>
  <c r="X110" i="22" s="1"/>
  <c r="W70" i="22"/>
  <c r="W90" i="22" s="1"/>
  <c r="W110" i="22" s="1"/>
  <c r="V70" i="22"/>
  <c r="V90" i="22" s="1"/>
  <c r="V110" i="22" s="1"/>
  <c r="U70" i="22"/>
  <c r="U90" i="22" s="1"/>
  <c r="U110" i="22" s="1"/>
  <c r="T70" i="22"/>
  <c r="T90" i="22" s="1"/>
  <c r="T110" i="22" s="1"/>
  <c r="S70" i="22"/>
  <c r="S90" i="22" s="1"/>
  <c r="S110" i="22" s="1"/>
  <c r="R70" i="22"/>
  <c r="R90" i="22" s="1"/>
  <c r="R110" i="22" s="1"/>
  <c r="Q70" i="22"/>
  <c r="Q90" i="22" s="1"/>
  <c r="Q110" i="22" s="1"/>
  <c r="P70" i="22"/>
  <c r="P90" i="22" s="1"/>
  <c r="P110" i="22" s="1"/>
  <c r="O70" i="22"/>
  <c r="O90" i="22" s="1"/>
  <c r="O110" i="22" s="1"/>
  <c r="N70" i="22"/>
  <c r="N90" i="22" s="1"/>
  <c r="N110" i="22" s="1"/>
  <c r="M70" i="22"/>
  <c r="M90" i="22" s="1"/>
  <c r="M110" i="22" s="1"/>
  <c r="L70" i="22"/>
  <c r="L90" i="22" s="1"/>
  <c r="L110" i="22" s="1"/>
  <c r="K70" i="22"/>
  <c r="K90" i="22" s="1"/>
  <c r="K110" i="22" s="1"/>
  <c r="J70" i="22"/>
  <c r="J90" i="22" s="1"/>
  <c r="J110" i="22" s="1"/>
  <c r="I70" i="22"/>
  <c r="I90" i="22" s="1"/>
  <c r="I110" i="22" s="1"/>
  <c r="H70" i="22"/>
  <c r="H90" i="22" s="1"/>
  <c r="H110" i="22" s="1"/>
  <c r="G70" i="22"/>
  <c r="G90" i="22" s="1"/>
  <c r="G110" i="22" s="1"/>
  <c r="F70" i="22"/>
  <c r="F90" i="22" s="1"/>
  <c r="F110" i="22" s="1"/>
  <c r="E70" i="22"/>
  <c r="E90" i="22" s="1"/>
  <c r="E110" i="22" s="1"/>
  <c r="D70" i="22"/>
  <c r="D90" i="22" s="1"/>
  <c r="D110" i="22" s="1"/>
  <c r="C70" i="22"/>
  <c r="C90" i="22" s="1"/>
  <c r="C110" i="22" s="1"/>
  <c r="AB69" i="22"/>
  <c r="AB89" i="22" s="1"/>
  <c r="AB109" i="22" s="1"/>
  <c r="AA69" i="22"/>
  <c r="AA89" i="22" s="1"/>
  <c r="AA109" i="22" s="1"/>
  <c r="Z69" i="22"/>
  <c r="Z89" i="22" s="1"/>
  <c r="Z109" i="22" s="1"/>
  <c r="Y69" i="22"/>
  <c r="Y89" i="22" s="1"/>
  <c r="Y109" i="22" s="1"/>
  <c r="X69" i="22"/>
  <c r="X89" i="22" s="1"/>
  <c r="X109" i="22" s="1"/>
  <c r="W69" i="22"/>
  <c r="W89" i="22" s="1"/>
  <c r="W109" i="22" s="1"/>
  <c r="V69" i="22"/>
  <c r="V89" i="22" s="1"/>
  <c r="V109" i="22" s="1"/>
  <c r="U69" i="22"/>
  <c r="U89" i="22" s="1"/>
  <c r="U109" i="22" s="1"/>
  <c r="T69" i="22"/>
  <c r="T89" i="22" s="1"/>
  <c r="T109" i="22" s="1"/>
  <c r="S69" i="22"/>
  <c r="S89" i="22" s="1"/>
  <c r="S109" i="22" s="1"/>
  <c r="R69" i="22"/>
  <c r="R89" i="22" s="1"/>
  <c r="R109" i="22" s="1"/>
  <c r="Q69" i="22"/>
  <c r="Q89" i="22" s="1"/>
  <c r="Q109" i="22" s="1"/>
  <c r="P69" i="22"/>
  <c r="P89" i="22" s="1"/>
  <c r="P109" i="22" s="1"/>
  <c r="O69" i="22"/>
  <c r="O89" i="22" s="1"/>
  <c r="O109" i="22" s="1"/>
  <c r="N69" i="22"/>
  <c r="N89" i="22" s="1"/>
  <c r="N109" i="22" s="1"/>
  <c r="M69" i="22"/>
  <c r="M89" i="22" s="1"/>
  <c r="M109" i="22" s="1"/>
  <c r="L69" i="22"/>
  <c r="L89" i="22" s="1"/>
  <c r="L109" i="22" s="1"/>
  <c r="K69" i="22"/>
  <c r="K89" i="22" s="1"/>
  <c r="K109" i="22" s="1"/>
  <c r="J69" i="22"/>
  <c r="J89" i="22" s="1"/>
  <c r="J109" i="22" s="1"/>
  <c r="I69" i="22"/>
  <c r="I89" i="22" s="1"/>
  <c r="I109" i="22" s="1"/>
  <c r="H69" i="22"/>
  <c r="H89" i="22" s="1"/>
  <c r="H109" i="22" s="1"/>
  <c r="G69" i="22"/>
  <c r="G89" i="22" s="1"/>
  <c r="G109" i="22" s="1"/>
  <c r="F69" i="22"/>
  <c r="F89" i="22" s="1"/>
  <c r="F109" i="22" s="1"/>
  <c r="E69" i="22"/>
  <c r="E89" i="22" s="1"/>
  <c r="E109" i="22" s="1"/>
  <c r="D69" i="22"/>
  <c r="D89" i="22" s="1"/>
  <c r="D109" i="22" s="1"/>
  <c r="C69" i="22"/>
  <c r="C89" i="22" s="1"/>
  <c r="C109" i="22" s="1"/>
  <c r="C68" i="22"/>
  <c r="C88" i="22" s="1"/>
  <c r="C108" i="22" s="1"/>
  <c r="D67" i="22"/>
  <c r="D87" i="22" s="1"/>
  <c r="D107" i="22" s="1"/>
  <c r="C67" i="22"/>
  <c r="C87" i="22" s="1"/>
  <c r="C107" i="22" s="1"/>
  <c r="AB66" i="22"/>
  <c r="AB86" i="22" s="1"/>
  <c r="AB106" i="22" s="1"/>
  <c r="AA66" i="22"/>
  <c r="AA86" i="22" s="1"/>
  <c r="AA106" i="22" s="1"/>
  <c r="Z66" i="22"/>
  <c r="Z86" i="22" s="1"/>
  <c r="Z106" i="22" s="1"/>
  <c r="Y66" i="22"/>
  <c r="Y86" i="22" s="1"/>
  <c r="Y106" i="22" s="1"/>
  <c r="X66" i="22"/>
  <c r="X86" i="22" s="1"/>
  <c r="X106" i="22" s="1"/>
  <c r="W66" i="22"/>
  <c r="W86" i="22" s="1"/>
  <c r="W106" i="22" s="1"/>
  <c r="V66" i="22"/>
  <c r="V86" i="22" s="1"/>
  <c r="V106" i="22" s="1"/>
  <c r="U66" i="22"/>
  <c r="U86" i="22" s="1"/>
  <c r="U106" i="22" s="1"/>
  <c r="T66" i="22"/>
  <c r="T86" i="22" s="1"/>
  <c r="T106" i="22" s="1"/>
  <c r="S66" i="22"/>
  <c r="S86" i="22" s="1"/>
  <c r="S106" i="22" s="1"/>
  <c r="R66" i="22"/>
  <c r="R86" i="22" s="1"/>
  <c r="R106" i="22" s="1"/>
  <c r="Q66" i="22"/>
  <c r="Q86" i="22" s="1"/>
  <c r="Q106" i="22" s="1"/>
  <c r="P66" i="22"/>
  <c r="P86" i="22" s="1"/>
  <c r="P106" i="22" s="1"/>
  <c r="O66" i="22"/>
  <c r="O86" i="22" s="1"/>
  <c r="O106" i="22" s="1"/>
  <c r="N66" i="22"/>
  <c r="N86" i="22" s="1"/>
  <c r="N106" i="22" s="1"/>
  <c r="M66" i="22"/>
  <c r="M86" i="22" s="1"/>
  <c r="M106" i="22" s="1"/>
  <c r="L66" i="22"/>
  <c r="L86" i="22" s="1"/>
  <c r="L106" i="22" s="1"/>
  <c r="K66" i="22"/>
  <c r="K86" i="22" s="1"/>
  <c r="K106" i="22" s="1"/>
  <c r="J66" i="22"/>
  <c r="J86" i="22" s="1"/>
  <c r="J106" i="22" s="1"/>
  <c r="I66" i="22"/>
  <c r="I86" i="22" s="1"/>
  <c r="I106" i="22" s="1"/>
  <c r="H66" i="22"/>
  <c r="H86" i="22" s="1"/>
  <c r="H106" i="22" s="1"/>
  <c r="G66" i="22"/>
  <c r="G86" i="22" s="1"/>
  <c r="G106" i="22" s="1"/>
  <c r="F66" i="22"/>
  <c r="F86" i="22" s="1"/>
  <c r="F106" i="22" s="1"/>
  <c r="E66" i="22"/>
  <c r="E86" i="22" s="1"/>
  <c r="E106" i="22" s="1"/>
  <c r="D66" i="22"/>
  <c r="D86" i="22" s="1"/>
  <c r="C66" i="22"/>
  <c r="C86" i="22" s="1"/>
  <c r="C106" i="22" s="1"/>
  <c r="C65" i="22"/>
  <c r="C85" i="22" s="1"/>
  <c r="C105" i="22" s="1"/>
  <c r="D64" i="22"/>
  <c r="C64" i="22"/>
  <c r="C84" i="22" s="1"/>
  <c r="C104" i="22" s="1"/>
  <c r="C63" i="22"/>
  <c r="C83" i="22" s="1"/>
  <c r="C103" i="22" s="1"/>
  <c r="AB62" i="22"/>
  <c r="AB82" i="22" s="1"/>
  <c r="AB102" i="22" s="1"/>
  <c r="AA62" i="22"/>
  <c r="AA82" i="22" s="1"/>
  <c r="AA102" i="22" s="1"/>
  <c r="Z62" i="22"/>
  <c r="Z82" i="22" s="1"/>
  <c r="Z102" i="22" s="1"/>
  <c r="Y62" i="22"/>
  <c r="Y82" i="22" s="1"/>
  <c r="Y102" i="22" s="1"/>
  <c r="X62" i="22"/>
  <c r="X82" i="22" s="1"/>
  <c r="X102" i="22" s="1"/>
  <c r="W62" i="22"/>
  <c r="W82" i="22" s="1"/>
  <c r="W102" i="22" s="1"/>
  <c r="V62" i="22"/>
  <c r="V82" i="22" s="1"/>
  <c r="V102" i="22" s="1"/>
  <c r="U62" i="22"/>
  <c r="U82" i="22" s="1"/>
  <c r="U102" i="22" s="1"/>
  <c r="T62" i="22"/>
  <c r="T82" i="22" s="1"/>
  <c r="T102" i="22" s="1"/>
  <c r="S62" i="22"/>
  <c r="R62" i="22"/>
  <c r="Q62" i="22"/>
  <c r="Q82" i="22" s="1"/>
  <c r="Q102" i="22" s="1"/>
  <c r="P62" i="22"/>
  <c r="P82" i="22" s="1"/>
  <c r="P102" i="22" s="1"/>
  <c r="O62" i="22"/>
  <c r="O82" i="22" s="1"/>
  <c r="O102" i="22" s="1"/>
  <c r="N62" i="22"/>
  <c r="N82" i="22" s="1"/>
  <c r="N102" i="22" s="1"/>
  <c r="M62" i="22"/>
  <c r="M82" i="22" s="1"/>
  <c r="M102" i="22" s="1"/>
  <c r="L62" i="22"/>
  <c r="L82" i="22" s="1"/>
  <c r="L102" i="22" s="1"/>
  <c r="K62" i="22"/>
  <c r="K82" i="22" s="1"/>
  <c r="K102" i="22" s="1"/>
  <c r="J62" i="22"/>
  <c r="J82" i="22" s="1"/>
  <c r="J102" i="22" s="1"/>
  <c r="I62" i="22"/>
  <c r="I82" i="22" s="1"/>
  <c r="I102" i="22" s="1"/>
  <c r="H62" i="22"/>
  <c r="H82" i="22" s="1"/>
  <c r="H102" i="22" s="1"/>
  <c r="G62" i="22"/>
  <c r="G82" i="22" s="1"/>
  <c r="G102" i="22" s="1"/>
  <c r="F62" i="22"/>
  <c r="F82" i="22" s="1"/>
  <c r="F102" i="22" s="1"/>
  <c r="E62" i="22"/>
  <c r="E82" i="22" s="1"/>
  <c r="E102" i="22" s="1"/>
  <c r="D62" i="22"/>
  <c r="D82" i="22" s="1"/>
  <c r="D102" i="22" s="1"/>
  <c r="AB46" i="22"/>
  <c r="AB74" i="22" s="1"/>
  <c r="AB94" i="22" s="1"/>
  <c r="AB114" i="22" s="1"/>
  <c r="AA46" i="22"/>
  <c r="AA74" i="22" s="1"/>
  <c r="AA94" i="22" s="1"/>
  <c r="AA114" i="22" s="1"/>
  <c r="Z46" i="22"/>
  <c r="Z74" i="22" s="1"/>
  <c r="Z94" i="22" s="1"/>
  <c r="Z114" i="22" s="1"/>
  <c r="Y46" i="22"/>
  <c r="Y74" i="22" s="1"/>
  <c r="Y94" i="22" s="1"/>
  <c r="Y114" i="22" s="1"/>
  <c r="X46" i="22"/>
  <c r="X74" i="22" s="1"/>
  <c r="X94" i="22" s="1"/>
  <c r="X114" i="22" s="1"/>
  <c r="W46" i="22"/>
  <c r="W74" i="22" s="1"/>
  <c r="W94" i="22" s="1"/>
  <c r="W114" i="22" s="1"/>
  <c r="V46" i="22"/>
  <c r="V74" i="22" s="1"/>
  <c r="V94" i="22" s="1"/>
  <c r="V114" i="22" s="1"/>
  <c r="U46" i="22"/>
  <c r="U74" i="22" s="1"/>
  <c r="U94" i="22" s="1"/>
  <c r="U114" i="22" s="1"/>
  <c r="T46" i="22"/>
  <c r="T74" i="22" s="1"/>
  <c r="T94" i="22" s="1"/>
  <c r="T114" i="22" s="1"/>
  <c r="S46" i="22"/>
  <c r="S74" i="22" s="1"/>
  <c r="S94" i="22" s="1"/>
  <c r="S114" i="22" s="1"/>
  <c r="R46" i="22"/>
  <c r="R74" i="22" s="1"/>
  <c r="R94" i="22" s="1"/>
  <c r="R114" i="22" s="1"/>
  <c r="Q46" i="22"/>
  <c r="Q74" i="22" s="1"/>
  <c r="Q94" i="22" s="1"/>
  <c r="Q114" i="22" s="1"/>
  <c r="P46" i="22"/>
  <c r="P74" i="22" s="1"/>
  <c r="P94" i="22" s="1"/>
  <c r="P114" i="22" s="1"/>
  <c r="O46" i="22"/>
  <c r="O74" i="22" s="1"/>
  <c r="O94" i="22" s="1"/>
  <c r="O114" i="22" s="1"/>
  <c r="N46" i="22"/>
  <c r="N74" i="22" s="1"/>
  <c r="N94" i="22" s="1"/>
  <c r="N114" i="22" s="1"/>
  <c r="M46" i="22"/>
  <c r="M74" i="22" s="1"/>
  <c r="M94" i="22" s="1"/>
  <c r="M114" i="22" s="1"/>
  <c r="L46" i="22"/>
  <c r="L74" i="22" s="1"/>
  <c r="L94" i="22" s="1"/>
  <c r="L114" i="22" s="1"/>
  <c r="K46" i="22"/>
  <c r="K74" i="22" s="1"/>
  <c r="K94" i="22" s="1"/>
  <c r="K114" i="22" s="1"/>
  <c r="J46" i="22"/>
  <c r="J74" i="22" s="1"/>
  <c r="J94" i="22" s="1"/>
  <c r="J114" i="22" s="1"/>
  <c r="I46" i="22"/>
  <c r="I74" i="22" s="1"/>
  <c r="I94" i="22" s="1"/>
  <c r="I114" i="22" s="1"/>
  <c r="H46" i="22"/>
  <c r="H74" i="22" s="1"/>
  <c r="H94" i="22" s="1"/>
  <c r="H114" i="22" s="1"/>
  <c r="G46" i="22"/>
  <c r="G74" i="22" s="1"/>
  <c r="G94" i="22" s="1"/>
  <c r="G114" i="22" s="1"/>
  <c r="F46" i="22"/>
  <c r="F74" i="22" s="1"/>
  <c r="F94" i="22" s="1"/>
  <c r="F114" i="22" s="1"/>
  <c r="E46" i="22"/>
  <c r="E74" i="22" s="1"/>
  <c r="E94" i="22" s="1"/>
  <c r="E114" i="22" s="1"/>
  <c r="D46" i="22"/>
  <c r="D74" i="22" s="1"/>
  <c r="D94" i="22" s="1"/>
  <c r="D114" i="22" s="1"/>
  <c r="C46" i="22"/>
  <c r="C74" i="22" s="1"/>
  <c r="C94" i="22" s="1"/>
  <c r="C114" i="22" s="1"/>
  <c r="D40" i="22"/>
  <c r="D36" i="22"/>
  <c r="D29" i="22"/>
  <c r="D22" i="22"/>
  <c r="D21" i="22"/>
  <c r="D20" i="22"/>
  <c r="E104" i="22" s="1"/>
  <c r="D18" i="22"/>
  <c r="F233" i="3"/>
  <c r="D233" i="3"/>
  <c r="G233" i="3" s="1"/>
  <c r="F232" i="3"/>
  <c r="D232" i="3"/>
  <c r="G232" i="3" s="1"/>
  <c r="D231" i="3"/>
  <c r="C231" i="3"/>
  <c r="F230" i="3"/>
  <c r="D230" i="3"/>
  <c r="G230" i="3" s="1"/>
  <c r="F229" i="3"/>
  <c r="D229" i="3"/>
  <c r="G229" i="3" s="1"/>
  <c r="C220" i="3"/>
  <c r="C207" i="3"/>
  <c r="D205" i="3"/>
  <c r="C205" i="3" s="1"/>
  <c r="D204" i="3"/>
  <c r="C204" i="3" s="1"/>
  <c r="D203" i="3"/>
  <c r="C203" i="3" s="1"/>
  <c r="D202" i="3"/>
  <c r="C202" i="3" s="1"/>
  <c r="D201" i="3"/>
  <c r="C201" i="3" s="1"/>
  <c r="D200" i="3"/>
  <c r="C200" i="3" s="1"/>
  <c r="D199" i="3"/>
  <c r="C199" i="3" s="1"/>
  <c r="D198" i="3"/>
  <c r="C198" i="3" s="1"/>
  <c r="D197" i="3"/>
  <c r="C197" i="3" s="1"/>
  <c r="D196" i="3"/>
  <c r="C196" i="3" s="1"/>
  <c r="D195" i="3"/>
  <c r="C195" i="3" s="1"/>
  <c r="D194" i="3"/>
  <c r="C194" i="3" s="1"/>
  <c r="E182" i="3"/>
  <c r="E181" i="3"/>
  <c r="C181" i="3"/>
  <c r="C183" i="3" s="1"/>
  <c r="E180" i="3"/>
  <c r="N170" i="3"/>
  <c r="N176" i="3" s="1"/>
  <c r="I170" i="3"/>
  <c r="I176" i="3" s="1"/>
  <c r="S167" i="3"/>
  <c r="D167" i="3"/>
  <c r="D166" i="3"/>
  <c r="D165" i="3"/>
  <c r="C164" i="3"/>
  <c r="D164" i="3" s="1"/>
  <c r="D163" i="3"/>
  <c r="D162" i="3"/>
  <c r="D161" i="3"/>
  <c r="D160" i="3"/>
  <c r="H159" i="3"/>
  <c r="I159" i="3" s="1"/>
  <c r="D159" i="3"/>
  <c r="N158" i="3"/>
  <c r="I158" i="3"/>
  <c r="N157" i="3"/>
  <c r="I157" i="3"/>
  <c r="L152" i="3"/>
  <c r="M152" i="3" s="1"/>
  <c r="K152" i="3"/>
  <c r="I152" i="3"/>
  <c r="G152" i="3"/>
  <c r="I151" i="3"/>
  <c r="I150" i="3"/>
  <c r="I149" i="3"/>
  <c r="H148" i="3"/>
  <c r="I148" i="3" s="1"/>
  <c r="H147" i="3"/>
  <c r="I147" i="3" s="1"/>
  <c r="H146" i="3"/>
  <c r="I146" i="3" s="1"/>
  <c r="H145" i="3"/>
  <c r="C145" i="3"/>
  <c r="J144" i="3"/>
  <c r="C144" i="3"/>
  <c r="I144" i="3" s="1"/>
  <c r="M143" i="3"/>
  <c r="J143" i="3"/>
  <c r="K143" i="3" s="1"/>
  <c r="I143" i="3"/>
  <c r="G143" i="3"/>
  <c r="M142" i="3"/>
  <c r="I142" i="3"/>
  <c r="G142" i="3"/>
  <c r="M141" i="3"/>
  <c r="K141" i="3"/>
  <c r="I141" i="3"/>
  <c r="G141" i="3"/>
  <c r="M140" i="3"/>
  <c r="K140" i="3"/>
  <c r="I140" i="3"/>
  <c r="G140" i="3"/>
  <c r="M139" i="3"/>
  <c r="K139" i="3"/>
  <c r="I139" i="3"/>
  <c r="G139" i="3"/>
  <c r="M138" i="3"/>
  <c r="K138" i="3"/>
  <c r="I138" i="3"/>
  <c r="G138" i="3"/>
  <c r="M137" i="3"/>
  <c r="K137" i="3"/>
  <c r="I137" i="3"/>
  <c r="G137" i="3"/>
  <c r="M136" i="3"/>
  <c r="K136" i="3"/>
  <c r="I136" i="3"/>
  <c r="G136" i="3"/>
  <c r="M135" i="3"/>
  <c r="K135" i="3"/>
  <c r="H135" i="3"/>
  <c r="I135" i="3" s="1"/>
  <c r="G135" i="3"/>
  <c r="K134" i="3"/>
  <c r="I134" i="3"/>
  <c r="G134" i="3"/>
  <c r="M133" i="3"/>
  <c r="K133" i="3"/>
  <c r="G133" i="3"/>
  <c r="M132" i="3"/>
  <c r="K132" i="3"/>
  <c r="I132" i="3"/>
  <c r="G132" i="3"/>
  <c r="M131" i="3"/>
  <c r="K131" i="3"/>
  <c r="G131" i="3"/>
  <c r="M130" i="3"/>
  <c r="K130" i="3"/>
  <c r="I130" i="3"/>
  <c r="G130" i="3"/>
  <c r="M129" i="3"/>
  <c r="K129" i="3"/>
  <c r="I129" i="3"/>
  <c r="G129" i="3"/>
  <c r="M128" i="3"/>
  <c r="K128" i="3"/>
  <c r="I128" i="3"/>
  <c r="G128" i="3"/>
  <c r="M127" i="3"/>
  <c r="K127" i="3"/>
  <c r="I127" i="3"/>
  <c r="G127" i="3"/>
  <c r="M126" i="3"/>
  <c r="K126" i="3"/>
  <c r="I126" i="3"/>
  <c r="G126" i="3"/>
  <c r="M125" i="3"/>
  <c r="K125" i="3"/>
  <c r="I125" i="3"/>
  <c r="G125" i="3"/>
  <c r="M124" i="3"/>
  <c r="K124" i="3"/>
  <c r="I124" i="3"/>
  <c r="G124" i="3"/>
  <c r="M123" i="3"/>
  <c r="K123" i="3"/>
  <c r="G123" i="3"/>
  <c r="M122" i="3"/>
  <c r="K122" i="3"/>
  <c r="I122" i="3"/>
  <c r="G122" i="3"/>
  <c r="M121" i="3"/>
  <c r="K121" i="3"/>
  <c r="I121" i="3"/>
  <c r="G121" i="3"/>
  <c r="M120" i="3"/>
  <c r="K120" i="3"/>
  <c r="H120" i="3"/>
  <c r="I120" i="3" s="1"/>
  <c r="G120" i="3"/>
  <c r="M119" i="3"/>
  <c r="K119" i="3"/>
  <c r="I119" i="3"/>
  <c r="G119" i="3"/>
  <c r="M118" i="3"/>
  <c r="K118" i="3"/>
  <c r="I118" i="3"/>
  <c r="G118" i="3"/>
  <c r="M117" i="3"/>
  <c r="K117" i="3"/>
  <c r="I117" i="3"/>
  <c r="G117" i="3"/>
  <c r="M116" i="3"/>
  <c r="K116" i="3"/>
  <c r="I116" i="3"/>
  <c r="G116" i="3"/>
  <c r="M115" i="3"/>
  <c r="K115" i="3"/>
  <c r="I115" i="3"/>
  <c r="G115" i="3"/>
  <c r="M114" i="3"/>
  <c r="K114" i="3"/>
  <c r="I114" i="3"/>
  <c r="G114" i="3"/>
  <c r="M113" i="3"/>
  <c r="K113" i="3"/>
  <c r="I113" i="3"/>
  <c r="G113" i="3"/>
  <c r="M112" i="3"/>
  <c r="K112" i="3"/>
  <c r="I112" i="3"/>
  <c r="G112" i="3"/>
  <c r="M111" i="3"/>
  <c r="K111" i="3"/>
  <c r="H111" i="3"/>
  <c r="H123" i="3" s="1"/>
  <c r="H133" i="3" s="1"/>
  <c r="I133" i="3" s="1"/>
  <c r="G111" i="3"/>
  <c r="M110" i="3"/>
  <c r="J110" i="3"/>
  <c r="K110" i="3" s="1"/>
  <c r="I110" i="3"/>
  <c r="G110" i="3"/>
  <c r="M109" i="3"/>
  <c r="K109" i="3"/>
  <c r="I109" i="3"/>
  <c r="G109" i="3"/>
  <c r="M108" i="3"/>
  <c r="K108" i="3"/>
  <c r="I108" i="3"/>
  <c r="G108" i="3"/>
  <c r="M107" i="3"/>
  <c r="K107" i="3"/>
  <c r="I107" i="3"/>
  <c r="G107" i="3"/>
  <c r="M106" i="3"/>
  <c r="K106" i="3"/>
  <c r="I106" i="3"/>
  <c r="G106" i="3"/>
  <c r="C105" i="3"/>
  <c r="M105" i="3" s="1"/>
  <c r="C103" i="3"/>
  <c r="T97" i="3"/>
  <c r="S97" i="3"/>
  <c r="M97" i="3"/>
  <c r="N97" i="3" s="1"/>
  <c r="T94" i="3"/>
  <c r="S94" i="3"/>
  <c r="N94" i="3"/>
  <c r="M94" i="3"/>
  <c r="T93" i="3"/>
  <c r="S93" i="3"/>
  <c r="M93" i="3"/>
  <c r="N93" i="3" s="1"/>
  <c r="T90" i="3"/>
  <c r="S90" i="3"/>
  <c r="M90" i="3"/>
  <c r="N90" i="3" s="1"/>
  <c r="T89" i="3"/>
  <c r="S89" i="3"/>
  <c r="M89" i="3"/>
  <c r="N89" i="3" s="1"/>
  <c r="T74" i="3"/>
  <c r="S74" i="3"/>
  <c r="N74" i="3"/>
  <c r="M74" i="3"/>
  <c r="C74" i="3"/>
  <c r="T73" i="3"/>
  <c r="S73" i="3"/>
  <c r="N73" i="3"/>
  <c r="M73" i="3"/>
  <c r="C73" i="3"/>
  <c r="T72" i="3"/>
  <c r="S72" i="3"/>
  <c r="N72" i="3"/>
  <c r="M72" i="3"/>
  <c r="C72" i="3"/>
  <c r="T71" i="3"/>
  <c r="S71" i="3"/>
  <c r="N71" i="3"/>
  <c r="M71" i="3"/>
  <c r="C71" i="3"/>
  <c r="T70" i="3"/>
  <c r="S70" i="3"/>
  <c r="M70" i="3"/>
  <c r="N70" i="3" s="1"/>
  <c r="T69" i="3"/>
  <c r="S69" i="3"/>
  <c r="N69" i="3"/>
  <c r="M63" i="3"/>
  <c r="N63" i="3" s="1"/>
  <c r="T63" i="3" s="1"/>
  <c r="M62" i="3"/>
  <c r="S62" i="3" s="1"/>
  <c r="M61" i="3"/>
  <c r="S61" i="3" s="1"/>
  <c r="M60" i="3"/>
  <c r="S60" i="3" s="1"/>
  <c r="M59" i="3"/>
  <c r="N59" i="3" s="1"/>
  <c r="T59" i="3" s="1"/>
  <c r="T58" i="3"/>
  <c r="M58" i="3"/>
  <c r="N58" i="3" s="1"/>
  <c r="M57" i="3"/>
  <c r="S57" i="3" s="1"/>
  <c r="T56" i="3"/>
  <c r="M56" i="3"/>
  <c r="S56" i="3" s="1"/>
  <c r="M55" i="3"/>
  <c r="S55" i="3" s="1"/>
  <c r="M54" i="3"/>
  <c r="N54" i="3" s="1"/>
  <c r="T54" i="3" s="1"/>
  <c r="T53" i="3"/>
  <c r="M53" i="3"/>
  <c r="S53" i="3" s="1"/>
  <c r="T52" i="3"/>
  <c r="M52" i="3"/>
  <c r="S52" i="3" s="1"/>
  <c r="M51" i="3"/>
  <c r="S51" i="3" s="1"/>
  <c r="M50" i="3"/>
  <c r="M49" i="3"/>
  <c r="S49" i="3" s="1"/>
  <c r="M48" i="3"/>
  <c r="S48" i="3" s="1"/>
  <c r="M47" i="3"/>
  <c r="S47" i="3" s="1"/>
  <c r="K46" i="3"/>
  <c r="M46" i="3" s="1"/>
  <c r="S46" i="3" s="1"/>
  <c r="S45" i="3"/>
  <c r="M44" i="3"/>
  <c r="S44" i="3" s="1"/>
  <c r="T43" i="3"/>
  <c r="M43" i="3"/>
  <c r="M42" i="3"/>
  <c r="S42" i="3" s="1"/>
  <c r="M41" i="3"/>
  <c r="S41" i="3" s="1"/>
  <c r="M40" i="3"/>
  <c r="S40" i="3" s="1"/>
  <c r="N39" i="3"/>
  <c r="T39" i="3" s="1"/>
  <c r="M38" i="3"/>
  <c r="N38" i="3" s="1"/>
  <c r="T38" i="3" s="1"/>
  <c r="M37" i="3"/>
  <c r="S37" i="3" s="1"/>
  <c r="M36" i="3"/>
  <c r="S36" i="3" s="1"/>
  <c r="M35" i="3"/>
  <c r="N35" i="3" s="1"/>
  <c r="T35" i="3" s="1"/>
  <c r="M33" i="3"/>
  <c r="S33" i="3" s="1"/>
  <c r="T32" i="3"/>
  <c r="M32" i="3"/>
  <c r="S32" i="3" s="1"/>
  <c r="M31" i="3"/>
  <c r="K30" i="3"/>
  <c r="M30" i="3" s="1"/>
  <c r="S30" i="3" s="1"/>
  <c r="K29" i="3"/>
  <c r="M29" i="3" s="1"/>
  <c r="K28" i="3"/>
  <c r="T28" i="3" s="1"/>
  <c r="N24" i="3"/>
  <c r="M24" i="3"/>
  <c r="N23" i="3"/>
  <c r="M23" i="3"/>
  <c r="C23" i="3"/>
  <c r="G6" i="21" s="1"/>
  <c r="N22" i="3"/>
  <c r="M22" i="3"/>
  <c r="C22" i="3"/>
  <c r="N21" i="3"/>
  <c r="M21" i="3"/>
  <c r="N20" i="3"/>
  <c r="M20" i="3"/>
  <c r="N19" i="3"/>
  <c r="M19" i="3"/>
  <c r="N18" i="3"/>
  <c r="M18" i="3"/>
  <c r="N17" i="3"/>
  <c r="M17" i="3"/>
  <c r="N16" i="3"/>
  <c r="M16" i="3"/>
  <c r="N15" i="3"/>
  <c r="M15" i="3"/>
  <c r="N14" i="3"/>
  <c r="M14" i="3"/>
  <c r="N13" i="3"/>
  <c r="M13" i="3"/>
  <c r="N12" i="3"/>
  <c r="M12" i="3"/>
  <c r="N11" i="3"/>
  <c r="M11" i="3"/>
  <c r="N10" i="3"/>
  <c r="M10" i="3"/>
  <c r="N9" i="3"/>
  <c r="M9" i="3"/>
  <c r="J4" i="3"/>
  <c r="J3" i="3"/>
  <c r="J2" i="3"/>
  <c r="B50" i="20"/>
  <c r="B49" i="20"/>
  <c r="B48" i="20"/>
  <c r="Q28" i="20"/>
  <c r="Q27" i="20"/>
  <c r="Q6" i="20"/>
  <c r="C5" i="20"/>
  <c r="Q4" i="20"/>
  <c r="M4" i="20"/>
  <c r="C4" i="20"/>
  <c r="Q3" i="20"/>
  <c r="M3" i="20"/>
  <c r="C3" i="20"/>
  <c r="F3" i="20" s="1"/>
  <c r="Q2" i="20"/>
  <c r="M2" i="20"/>
  <c r="Q1" i="20"/>
  <c r="M1" i="20"/>
  <c r="C92" i="8"/>
  <c r="C91" i="8"/>
  <c r="B89" i="8"/>
  <c r="C89" i="8" s="1"/>
  <c r="B88" i="8"/>
  <c r="F69" i="8"/>
  <c r="B66" i="8"/>
  <c r="F64" i="8"/>
  <c r="F63" i="8"/>
  <c r="B60" i="8"/>
  <c r="B25" i="8"/>
  <c r="J21" i="25" s="1"/>
  <c r="H23" i="8"/>
  <c r="G22" i="8"/>
  <c r="I22" i="8" s="1"/>
  <c r="J22" i="8" s="1"/>
  <c r="G21" i="8"/>
  <c r="I21" i="8" s="1"/>
  <c r="J21" i="8" s="1"/>
  <c r="G20" i="8"/>
  <c r="I20" i="8" s="1"/>
  <c r="J20" i="8" s="1"/>
  <c r="G19" i="8"/>
  <c r="B19" i="8"/>
  <c r="B18" i="8"/>
  <c r="B17" i="8"/>
  <c r="B15" i="8"/>
  <c r="B14" i="8"/>
  <c r="B12" i="8"/>
  <c r="B11" i="8"/>
  <c r="B10" i="8"/>
  <c r="B7" i="8"/>
  <c r="B3" i="8"/>
  <c r="B1" i="8"/>
  <c r="B2" i="8" s="1"/>
  <c r="N8" i="33"/>
  <c r="K8" i="33"/>
  <c r="H8" i="33"/>
  <c r="E8" i="33"/>
  <c r="B8" i="33"/>
  <c r="AB24" i="34"/>
  <c r="S24" i="34"/>
  <c r="D24" i="34"/>
  <c r="AA24" i="34" s="1"/>
  <c r="AB23" i="34"/>
  <c r="S23" i="34"/>
  <c r="D23" i="34"/>
  <c r="W23" i="34" s="1"/>
  <c r="AB22" i="34"/>
  <c r="S22" i="34"/>
  <c r="D22" i="34"/>
  <c r="AA22" i="34" s="1"/>
  <c r="AB21" i="34"/>
  <c r="S21" i="34"/>
  <c r="D21" i="34"/>
  <c r="Z21" i="34" s="1"/>
  <c r="AB20" i="34"/>
  <c r="S20" i="34"/>
  <c r="D20" i="34"/>
  <c r="U20" i="34" s="1"/>
  <c r="AB19" i="34"/>
  <c r="S19" i="34"/>
  <c r="D19" i="34"/>
  <c r="AA19" i="34" s="1"/>
  <c r="AB18" i="34"/>
  <c r="S18" i="34"/>
  <c r="D18" i="34"/>
  <c r="X18" i="34" s="1"/>
  <c r="AB17" i="34"/>
  <c r="S17" i="34"/>
  <c r="D17" i="34"/>
  <c r="AA17" i="34" s="1"/>
  <c r="AB16" i="34"/>
  <c r="S16" i="34"/>
  <c r="D16" i="34"/>
  <c r="AA16" i="34" s="1"/>
  <c r="AB15" i="34"/>
  <c r="S15" i="34"/>
  <c r="D15" i="34"/>
  <c r="W15" i="34" s="1"/>
  <c r="AB14" i="34"/>
  <c r="S14" i="34"/>
  <c r="D14" i="34"/>
  <c r="AA14" i="34" s="1"/>
  <c r="AB13" i="34"/>
  <c r="S13" i="34"/>
  <c r="D13" i="34"/>
  <c r="Z13" i="34" s="1"/>
  <c r="AB12" i="34"/>
  <c r="S12" i="34"/>
  <c r="D12" i="34"/>
  <c r="U12" i="34" s="1"/>
  <c r="AB11" i="34"/>
  <c r="S11" i="34"/>
  <c r="D11" i="34"/>
  <c r="AA11" i="34" s="1"/>
  <c r="AB10" i="34"/>
  <c r="S10" i="34"/>
  <c r="D10" i="34"/>
  <c r="X10" i="34" s="1"/>
  <c r="AB9" i="34"/>
  <c r="S9" i="34"/>
  <c r="D9" i="34"/>
  <c r="AA9" i="34" s="1"/>
  <c r="AB8" i="34"/>
  <c r="AB27" i="34" s="1"/>
  <c r="S8" i="34"/>
  <c r="D8" i="34"/>
  <c r="AA8" i="34" s="1"/>
  <c r="AA27" i="34" s="1"/>
  <c r="AB7" i="34"/>
  <c r="S7" i="34"/>
  <c r="D7" i="34"/>
  <c r="W7" i="34" s="1"/>
  <c r="AB6" i="34"/>
  <c r="S6" i="34"/>
  <c r="D6" i="34"/>
  <c r="AA6" i="34" s="1"/>
  <c r="AB5" i="34"/>
  <c r="S5" i="34"/>
  <c r="D5" i="34"/>
  <c r="Z5" i="34" s="1"/>
  <c r="AB4" i="34"/>
  <c r="S4" i="34"/>
  <c r="D4" i="34"/>
  <c r="Y4" i="34" s="1"/>
  <c r="AB3" i="34"/>
  <c r="S3" i="34"/>
  <c r="D3" i="34"/>
  <c r="AA3" i="34" s="1"/>
  <c r="G21" i="1"/>
  <c r="D21" i="1"/>
  <c r="D22" i="1" s="1"/>
  <c r="I149" i="14"/>
  <c r="I148" i="14"/>
  <c r="I147" i="14"/>
  <c r="I144" i="14"/>
  <c r="J143" i="14"/>
  <c r="I141" i="14"/>
  <c r="D137" i="14"/>
  <c r="D136" i="14"/>
  <c r="D135" i="14"/>
  <c r="D134" i="14"/>
  <c r="D133" i="14"/>
  <c r="D132" i="14"/>
  <c r="D131" i="14"/>
  <c r="D130" i="14"/>
  <c r="D129" i="14"/>
  <c r="D128" i="14"/>
  <c r="D127" i="14"/>
  <c r="D126" i="14"/>
  <c r="D125" i="14"/>
  <c r="D124" i="14"/>
  <c r="D123" i="14"/>
  <c r="D122" i="14"/>
  <c r="D121" i="14"/>
  <c r="D120" i="14"/>
  <c r="D119" i="14"/>
  <c r="D118" i="14"/>
  <c r="D117" i="14"/>
  <c r="D116" i="14"/>
  <c r="D115" i="14"/>
  <c r="D114" i="14"/>
  <c r="D113" i="14"/>
  <c r="D112" i="14"/>
  <c r="D111" i="14"/>
  <c r="D110" i="14"/>
  <c r="D109" i="14"/>
  <c r="D108" i="14"/>
  <c r="D107" i="14"/>
  <c r="D106" i="14"/>
  <c r="D105" i="14"/>
  <c r="D104" i="14"/>
  <c r="M104" i="14" s="1"/>
  <c r="M103" i="14"/>
  <c r="M102" i="14"/>
  <c r="M101" i="14"/>
  <c r="D72" i="14"/>
  <c r="M72" i="14" s="1"/>
  <c r="D71" i="14"/>
  <c r="M71" i="14" s="1"/>
  <c r="D70" i="14"/>
  <c r="M70" i="14" s="1"/>
  <c r="D69" i="14"/>
  <c r="M69" i="14" s="1"/>
  <c r="D68" i="14"/>
  <c r="M68" i="14" s="1"/>
  <c r="D67" i="14"/>
  <c r="M67" i="14" s="1"/>
  <c r="D66" i="14"/>
  <c r="M66" i="14" s="1"/>
  <c r="D65" i="14"/>
  <c r="M65" i="14" s="1"/>
  <c r="D64" i="14"/>
  <c r="M64" i="14" s="1"/>
  <c r="D63" i="14"/>
  <c r="M63" i="14" s="1"/>
  <c r="D62" i="14"/>
  <c r="M62" i="14" s="1"/>
  <c r="D61" i="14"/>
  <c r="M61" i="14" s="1"/>
  <c r="D60" i="14"/>
  <c r="M60" i="14" s="1"/>
  <c r="D59" i="14"/>
  <c r="M59" i="14" s="1"/>
  <c r="D58" i="14"/>
  <c r="M58" i="14" s="1"/>
  <c r="D57" i="14"/>
  <c r="M57" i="14" s="1"/>
  <c r="D50" i="14"/>
  <c r="D49" i="14"/>
  <c r="D48" i="14"/>
  <c r="D47" i="14"/>
  <c r="D46" i="14"/>
  <c r="D45" i="14"/>
  <c r="D44" i="14"/>
  <c r="D43" i="14"/>
  <c r="D42" i="14"/>
  <c r="D41" i="14"/>
  <c r="D40" i="14"/>
  <c r="D39" i="14"/>
  <c r="D38" i="14"/>
  <c r="D37" i="14"/>
  <c r="D36" i="14"/>
  <c r="D35" i="14"/>
  <c r="D34" i="14"/>
  <c r="D33" i="14"/>
  <c r="D32" i="14"/>
  <c r="D31" i="14"/>
  <c r="D30" i="14"/>
  <c r="D29" i="14"/>
  <c r="D28" i="14"/>
  <c r="D27" i="14"/>
  <c r="D26" i="14"/>
  <c r="D25" i="14"/>
  <c r="D24" i="14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D8" i="14"/>
  <c r="J6" i="14"/>
  <c r="J5" i="14"/>
  <c r="J4" i="14"/>
  <c r="D3" i="14"/>
  <c r="B134" i="12"/>
  <c r="B131" i="12"/>
  <c r="C131" i="12" s="1"/>
  <c r="B130" i="12"/>
  <c r="B125" i="12"/>
  <c r="B124" i="12"/>
  <c r="B123" i="12"/>
  <c r="B121" i="12"/>
  <c r="B120" i="12"/>
  <c r="B113" i="12"/>
  <c r="B112" i="12"/>
  <c r="D95" i="12"/>
  <c r="C95" i="12"/>
  <c r="D94" i="12"/>
  <c r="E94" i="12" s="1"/>
  <c r="F94" i="12" s="1"/>
  <c r="C94" i="12"/>
  <c r="D93" i="12"/>
  <c r="C93" i="12"/>
  <c r="D90" i="12"/>
  <c r="E90" i="12" s="1"/>
  <c r="C90" i="12"/>
  <c r="D89" i="12"/>
  <c r="C89" i="12"/>
  <c r="D88" i="12"/>
  <c r="E88" i="12" s="1"/>
  <c r="F88" i="12" s="1"/>
  <c r="C88" i="12"/>
  <c r="B60" i="12"/>
  <c r="B67" i="12" s="1"/>
  <c r="B52" i="12"/>
  <c r="B46" i="12"/>
  <c r="D46" i="12" s="1"/>
  <c r="G36" i="12"/>
  <c r="G35" i="12"/>
  <c r="B32" i="12"/>
  <c r="D8" i="6" s="1"/>
  <c r="Q17" i="20" s="1"/>
  <c r="B26" i="12"/>
  <c r="D7" i="6" s="1"/>
  <c r="Q16" i="20" s="1"/>
  <c r="B18" i="12"/>
  <c r="D6" i="6" s="1"/>
  <c r="Q15" i="20" s="1"/>
  <c r="B12" i="12"/>
  <c r="D9" i="6" s="1"/>
  <c r="Q18" i="20" s="1"/>
  <c r="B9" i="12"/>
  <c r="AT4" i="12"/>
  <c r="AO4" i="12"/>
  <c r="AI4" i="12"/>
  <c r="AD4" i="12"/>
  <c r="W4" i="12"/>
  <c r="F4" i="12"/>
  <c r="D4" i="12"/>
  <c r="O19" i="12" s="1"/>
  <c r="B4" i="12"/>
  <c r="I4" i="15"/>
  <c r="A4" i="15"/>
  <c r="I3" i="15"/>
  <c r="A3" i="15"/>
  <c r="I2" i="15"/>
  <c r="A2" i="15"/>
  <c r="J39" i="11"/>
  <c r="AC35" i="11" s="1"/>
  <c r="G39" i="11"/>
  <c r="H39" i="11" s="1"/>
  <c r="AA35" i="11" s="1"/>
  <c r="AH35" i="11"/>
  <c r="AF35" i="11"/>
  <c r="AE35" i="11"/>
  <c r="AD35" i="11"/>
  <c r="Y35" i="11"/>
  <c r="X35" i="11"/>
  <c r="W35" i="11"/>
  <c r="J38" i="11"/>
  <c r="AC34" i="11" s="1"/>
  <c r="I38" i="11"/>
  <c r="H38" i="11"/>
  <c r="AA34" i="11" s="1"/>
  <c r="AH34" i="11"/>
  <c r="AF34" i="11"/>
  <c r="AE34" i="11"/>
  <c r="AD34" i="11"/>
  <c r="Z34" i="11"/>
  <c r="Y34" i="11"/>
  <c r="X34" i="11"/>
  <c r="W34" i="11"/>
  <c r="J37" i="11"/>
  <c r="I37" i="11"/>
  <c r="N37" i="11" s="1"/>
  <c r="H37" i="11"/>
  <c r="J36" i="11"/>
  <c r="G36" i="11"/>
  <c r="I36" i="11" s="1"/>
  <c r="N36" i="11" s="1"/>
  <c r="J35" i="11"/>
  <c r="I35" i="11"/>
  <c r="N35" i="11" s="1"/>
  <c r="H35" i="11"/>
  <c r="J34" i="11"/>
  <c r="I34" i="11"/>
  <c r="N34" i="11" s="1"/>
  <c r="H34" i="11"/>
  <c r="Q33" i="11"/>
  <c r="J33" i="11"/>
  <c r="I33" i="11"/>
  <c r="N33" i="11" s="1"/>
  <c r="H33" i="11"/>
  <c r="J32" i="11"/>
  <c r="I32" i="11"/>
  <c r="N32" i="11" s="1"/>
  <c r="H32" i="11"/>
  <c r="Q31" i="11"/>
  <c r="J31" i="11"/>
  <c r="I31" i="11"/>
  <c r="N31" i="11" s="1"/>
  <c r="H31" i="11"/>
  <c r="J30" i="11"/>
  <c r="I30" i="11"/>
  <c r="N30" i="11" s="1"/>
  <c r="H30" i="11"/>
  <c r="J29" i="11"/>
  <c r="I29" i="11"/>
  <c r="N29" i="11" s="1"/>
  <c r="H29" i="11"/>
  <c r="Q28" i="11"/>
  <c r="J28" i="11"/>
  <c r="I28" i="11"/>
  <c r="N28" i="11" s="1"/>
  <c r="H28" i="11"/>
  <c r="J27" i="11"/>
  <c r="I27" i="11"/>
  <c r="N27" i="11" s="1"/>
  <c r="H27" i="11"/>
  <c r="J26" i="11"/>
  <c r="I26" i="11"/>
  <c r="N26" i="11" s="1"/>
  <c r="H26" i="11"/>
  <c r="I25" i="11"/>
  <c r="N25" i="11" s="1"/>
  <c r="H25" i="11"/>
  <c r="N24" i="11"/>
  <c r="H24" i="11"/>
  <c r="I23" i="11"/>
  <c r="N23" i="11" s="1"/>
  <c r="H23" i="11"/>
  <c r="I22" i="11"/>
  <c r="N22" i="11" s="1"/>
  <c r="H22" i="11"/>
  <c r="I21" i="11"/>
  <c r="N21" i="11" s="1"/>
  <c r="H21" i="11"/>
  <c r="I20" i="11"/>
  <c r="H20" i="11"/>
  <c r="N19" i="11"/>
  <c r="H19" i="11"/>
  <c r="H18" i="11"/>
  <c r="O12" i="11"/>
  <c r="C4" i="12" s="1"/>
  <c r="O11" i="11"/>
  <c r="G4" i="12" s="1"/>
  <c r="G7" i="21" l="1"/>
  <c r="C115" i="22"/>
  <c r="F104" i="22"/>
  <c r="G6" i="4"/>
  <c r="M25" i="20" s="1"/>
  <c r="D32" i="31" s="1"/>
  <c r="R10" i="24"/>
  <c r="C6" i="30"/>
  <c r="H48" i="9"/>
  <c r="B92" i="12"/>
  <c r="D92" i="12" s="1"/>
  <c r="H26" i="24"/>
  <c r="L55" i="9"/>
  <c r="T49" i="9"/>
  <c r="T46" i="9" s="1"/>
  <c r="E49" i="9"/>
  <c r="F49" i="9"/>
  <c r="G49" i="9"/>
  <c r="H49" i="9"/>
  <c r="I49" i="9"/>
  <c r="J49" i="9"/>
  <c r="J46" i="9" s="1"/>
  <c r="K49" i="9"/>
  <c r="K46" i="9" s="1"/>
  <c r="L49" i="9"/>
  <c r="L46" i="9" s="1"/>
  <c r="M49" i="9"/>
  <c r="M46" i="9" s="1"/>
  <c r="N49" i="9"/>
  <c r="N46" i="9" s="1"/>
  <c r="O49" i="9"/>
  <c r="O46" i="9" s="1"/>
  <c r="P49" i="9"/>
  <c r="P46" i="9" s="1"/>
  <c r="Q49" i="9"/>
  <c r="Q46" i="9" s="1"/>
  <c r="R49" i="9"/>
  <c r="R46" i="9" s="1"/>
  <c r="U49" i="9"/>
  <c r="U46" i="9" s="1"/>
  <c r="W49" i="9"/>
  <c r="W46" i="9" s="1"/>
  <c r="X49" i="9"/>
  <c r="X46" i="9" s="1"/>
  <c r="Y49" i="9"/>
  <c r="Y46" i="9" s="1"/>
  <c r="Z49" i="9"/>
  <c r="Z46" i="9" s="1"/>
  <c r="AB49" i="9"/>
  <c r="AB46" i="9" s="1"/>
  <c r="S49" i="9"/>
  <c r="S46" i="9" s="1"/>
  <c r="V49" i="9"/>
  <c r="V46" i="9" s="1"/>
  <c r="AA49" i="9"/>
  <c r="AA46" i="9" s="1"/>
  <c r="D49" i="9"/>
  <c r="N38" i="11"/>
  <c r="AG34" i="11" s="1"/>
  <c r="B13" i="8"/>
  <c r="B87" i="8" s="1"/>
  <c r="N20" i="11"/>
  <c r="I167" i="3"/>
  <c r="AB26" i="34"/>
  <c r="AB34" i="11"/>
  <c r="U18" i="34"/>
  <c r="E40" i="22"/>
  <c r="F40" i="22" s="1"/>
  <c r="Y18" i="34"/>
  <c r="AA18" i="34"/>
  <c r="W42" i="24"/>
  <c r="L10" i="24"/>
  <c r="Y10" i="34"/>
  <c r="Z10" i="34"/>
  <c r="AA10" i="34"/>
  <c r="D47" i="1"/>
  <c r="M6" i="20" s="1"/>
  <c r="Y24" i="34"/>
  <c r="U17" i="34"/>
  <c r="W21" i="34"/>
  <c r="N53" i="3"/>
  <c r="V21" i="34"/>
  <c r="Z4" i="34"/>
  <c r="V13" i="34"/>
  <c r="B5" i="8"/>
  <c r="D4" i="22" s="1"/>
  <c r="E4" i="23" s="1"/>
  <c r="B114" i="12"/>
  <c r="AA4" i="34"/>
  <c r="Z18" i="34"/>
  <c r="M40" i="24"/>
  <c r="B20" i="8"/>
  <c r="X5" i="34"/>
  <c r="W9" i="34"/>
  <c r="S58" i="3"/>
  <c r="I145" i="3"/>
  <c r="X9" i="34"/>
  <c r="S63" i="3"/>
  <c r="Y8" i="34"/>
  <c r="Y27" i="34" s="1"/>
  <c r="M45" i="20"/>
  <c r="B28" i="12"/>
  <c r="U19" i="12" s="1"/>
  <c r="V5" i="34"/>
  <c r="K144" i="3"/>
  <c r="B30" i="12"/>
  <c r="B45" i="12" s="1"/>
  <c r="D45" i="12" s="1"/>
  <c r="W5" i="34"/>
  <c r="U9" i="34"/>
  <c r="Y16" i="34"/>
  <c r="X23" i="34"/>
  <c r="B36" i="12"/>
  <c r="B44" i="12" s="1"/>
  <c r="D44" i="12" s="1"/>
  <c r="Y9" i="34"/>
  <c r="V42" i="24"/>
  <c r="B27" i="12"/>
  <c r="AG4" i="12" s="1"/>
  <c r="I123" i="3"/>
  <c r="H131" i="3"/>
  <c r="I131" i="3" s="1"/>
  <c r="U4" i="34"/>
  <c r="W13" i="34"/>
  <c r="W17" i="34"/>
  <c r="Q14" i="20"/>
  <c r="N45" i="3"/>
  <c r="T45" i="3" s="1"/>
  <c r="X15" i="34"/>
  <c r="U5" i="34"/>
  <c r="V4" i="34"/>
  <c r="X17" i="34"/>
  <c r="W4" i="34"/>
  <c r="U10" i="34"/>
  <c r="Y17" i="34"/>
  <c r="X4" i="34"/>
  <c r="X7" i="34"/>
  <c r="R40" i="24"/>
  <c r="B4" i="8"/>
  <c r="I39" i="11"/>
  <c r="AB35" i="11" s="1"/>
  <c r="I18" i="11"/>
  <c r="N18" i="11" s="1"/>
  <c r="B126" i="12"/>
  <c r="H36" i="11"/>
  <c r="B19" i="12"/>
  <c r="S9" i="12" s="1"/>
  <c r="B22" i="12"/>
  <c r="Z35" i="11"/>
  <c r="B135" i="12"/>
  <c r="B136" i="12"/>
  <c r="B122" i="12" s="1"/>
  <c r="B127" i="12" s="1"/>
  <c r="W10" i="24"/>
  <c r="I26" i="24"/>
  <c r="M28" i="3"/>
  <c r="S28" i="3" s="1"/>
  <c r="N26" i="24"/>
  <c r="B106" i="12"/>
  <c r="W12" i="34"/>
  <c r="N167" i="3"/>
  <c r="N42" i="3"/>
  <c r="T42" i="3" s="1"/>
  <c r="O40" i="24"/>
  <c r="AB25" i="34"/>
  <c r="W20" i="34"/>
  <c r="N36" i="3"/>
  <c r="T36" i="3" s="1"/>
  <c r="AB10" i="24"/>
  <c r="S26" i="24"/>
  <c r="B110" i="12"/>
  <c r="B129" i="12" s="1"/>
  <c r="C129" i="12" s="1"/>
  <c r="X12" i="34"/>
  <c r="X20" i="34"/>
  <c r="N61" i="3"/>
  <c r="T61" i="3" s="1"/>
  <c r="U26" i="24"/>
  <c r="D42" i="24"/>
  <c r="V12" i="34"/>
  <c r="V20" i="34"/>
  <c r="B69" i="12"/>
  <c r="D113" i="12"/>
  <c r="Y7" i="34"/>
  <c r="Z12" i="34"/>
  <c r="Y15" i="34"/>
  <c r="Z20" i="34"/>
  <c r="Y23" i="34"/>
  <c r="G23" i="8"/>
  <c r="I23" i="8" s="1"/>
  <c r="J23" i="8" s="1"/>
  <c r="G105" i="3"/>
  <c r="G153" i="3" s="1"/>
  <c r="X26" i="24"/>
  <c r="G42" i="24"/>
  <c r="C51" i="9"/>
  <c r="Y12" i="34"/>
  <c r="Y20" i="34"/>
  <c r="AA7" i="34"/>
  <c r="V10" i="34"/>
  <c r="AA12" i="34"/>
  <c r="AA15" i="34"/>
  <c r="V18" i="34"/>
  <c r="AA20" i="34"/>
  <c r="AA23" i="34"/>
  <c r="I19" i="8"/>
  <c r="J19" i="8" s="1"/>
  <c r="S38" i="3"/>
  <c r="N57" i="3"/>
  <c r="T57" i="3" s="1"/>
  <c r="I105" i="3"/>
  <c r="D68" i="22"/>
  <c r="D88" i="22" s="1"/>
  <c r="D108" i="22" s="1"/>
  <c r="Y26" i="24"/>
  <c r="J42" i="24"/>
  <c r="E48" i="9"/>
  <c r="F51" i="9"/>
  <c r="F62" i="9" s="1"/>
  <c r="S35" i="3"/>
  <c r="N60" i="3"/>
  <c r="T60" i="3" s="1"/>
  <c r="B39" i="12"/>
  <c r="K26" i="24"/>
  <c r="M46" i="20"/>
  <c r="V26" i="24"/>
  <c r="E42" i="24"/>
  <c r="G10" i="24"/>
  <c r="AA26" i="24"/>
  <c r="O42" i="24"/>
  <c r="S51" i="9"/>
  <c r="B7" i="12"/>
  <c r="AH4" i="12" s="1"/>
  <c r="AJ4" i="12" s="1"/>
  <c r="F237" i="3"/>
  <c r="I10" i="24"/>
  <c r="T42" i="24"/>
  <c r="V51" i="9"/>
  <c r="P4" i="12"/>
  <c r="S39" i="3"/>
  <c r="J10" i="24"/>
  <c r="U42" i="24"/>
  <c r="M55" i="9"/>
  <c r="M10" i="24"/>
  <c r="Z42" i="24"/>
  <c r="B34" i="12"/>
  <c r="X13" i="34"/>
  <c r="X21" i="34"/>
  <c r="N33" i="3"/>
  <c r="T33" i="3" s="1"/>
  <c r="N48" i="3"/>
  <c r="T48" i="3" s="1"/>
  <c r="N10" i="24"/>
  <c r="E26" i="24"/>
  <c r="AA5" i="34"/>
  <c r="AA13" i="34"/>
  <c r="AA21" i="34"/>
  <c r="S59" i="3"/>
  <c r="O10" i="24"/>
  <c r="F26" i="24"/>
  <c r="E36" i="22"/>
  <c r="F36" i="22" s="1"/>
  <c r="G36" i="22" s="1"/>
  <c r="H36" i="22" s="1"/>
  <c r="I36" i="22" s="1"/>
  <c r="J36" i="22" s="1"/>
  <c r="K36" i="22" s="1"/>
  <c r="L36" i="22" s="1"/>
  <c r="M36" i="22" s="1"/>
  <c r="N36" i="22" s="1"/>
  <c r="O36" i="22" s="1"/>
  <c r="P36" i="22" s="1"/>
  <c r="Q36" i="22" s="1"/>
  <c r="R36" i="22" s="1"/>
  <c r="S36" i="22" s="1"/>
  <c r="T36" i="22" s="1"/>
  <c r="U36" i="22" s="1"/>
  <c r="V36" i="22" s="1"/>
  <c r="W36" i="22" s="1"/>
  <c r="X36" i="22" s="1"/>
  <c r="Y36" i="22" s="1"/>
  <c r="Z36" i="22" s="1"/>
  <c r="AA36" i="22" s="1"/>
  <c r="AB36" i="22" s="1"/>
  <c r="N49" i="3"/>
  <c r="T49" i="3" s="1"/>
  <c r="S54" i="3"/>
  <c r="Y10" i="24"/>
  <c r="Z10" i="24"/>
  <c r="D17" i="9"/>
  <c r="D10" i="21"/>
  <c r="D12" i="4"/>
  <c r="D10" i="4"/>
  <c r="M5" i="20"/>
  <c r="M20" i="20" s="1"/>
  <c r="M16" i="20"/>
  <c r="B29" i="12"/>
  <c r="W9" i="12" s="1"/>
  <c r="X9" i="12" s="1"/>
  <c r="AC9" i="12" s="1"/>
  <c r="F90" i="12"/>
  <c r="E93" i="12"/>
  <c r="F93" i="12" s="1"/>
  <c r="Z7" i="34"/>
  <c r="V9" i="34"/>
  <c r="Z15" i="34"/>
  <c r="V17" i="34"/>
  <c r="Z23" i="34"/>
  <c r="U6" i="34"/>
  <c r="U14" i="34"/>
  <c r="U22" i="34"/>
  <c r="V6" i="34"/>
  <c r="V14" i="34"/>
  <c r="V22" i="34"/>
  <c r="N46" i="3"/>
  <c r="T46" i="3" s="1"/>
  <c r="U3" i="34"/>
  <c r="W6" i="34"/>
  <c r="U11" i="34"/>
  <c r="W14" i="34"/>
  <c r="U19" i="34"/>
  <c r="W22" i="34"/>
  <c r="C88" i="8"/>
  <c r="V3" i="34"/>
  <c r="X6" i="34"/>
  <c r="Z9" i="34"/>
  <c r="V11" i="34"/>
  <c r="X14" i="34"/>
  <c r="Z17" i="34"/>
  <c r="V19" i="34"/>
  <c r="X22" i="34"/>
  <c r="B33" i="12"/>
  <c r="AQ4" i="12" s="1"/>
  <c r="W3" i="34"/>
  <c r="Y6" i="34"/>
  <c r="U8" i="34"/>
  <c r="U27" i="34" s="1"/>
  <c r="W11" i="34"/>
  <c r="Y14" i="34"/>
  <c r="U16" i="34"/>
  <c r="W19" i="34"/>
  <c r="Y22" i="34"/>
  <c r="U24" i="34"/>
  <c r="G231" i="3"/>
  <c r="G234" i="3" s="1"/>
  <c r="F231" i="3"/>
  <c r="F234" i="3" s="1"/>
  <c r="X3" i="34"/>
  <c r="Z6" i="34"/>
  <c r="V8" i="34"/>
  <c r="V27" i="34" s="1"/>
  <c r="X11" i="34"/>
  <c r="Z14" i="34"/>
  <c r="V16" i="34"/>
  <c r="X19" i="34"/>
  <c r="Z22" i="34"/>
  <c r="V24" i="34"/>
  <c r="B20" i="12"/>
  <c r="S4" i="12" s="1"/>
  <c r="B21" i="12"/>
  <c r="Y3" i="34"/>
  <c r="W8" i="34"/>
  <c r="W27" i="34" s="1"/>
  <c r="Y11" i="34"/>
  <c r="U13" i="34"/>
  <c r="W16" i="34"/>
  <c r="Y19" i="34"/>
  <c r="U21" i="34"/>
  <c r="W24" i="34"/>
  <c r="I15" i="30"/>
  <c r="J142" i="3"/>
  <c r="K142" i="3" s="1"/>
  <c r="Z3" i="34"/>
  <c r="X8" i="34"/>
  <c r="X27" i="34" s="1"/>
  <c r="Z11" i="34"/>
  <c r="X16" i="34"/>
  <c r="Z19" i="34"/>
  <c r="X24" i="34"/>
  <c r="S29" i="3"/>
  <c r="N29" i="3"/>
  <c r="T29" i="3" s="1"/>
  <c r="B23" i="12"/>
  <c r="B14" i="12"/>
  <c r="K4" i="12" s="1"/>
  <c r="E89" i="12"/>
  <c r="F89" i="12" s="1"/>
  <c r="E95" i="12"/>
  <c r="F95" i="12" s="1"/>
  <c r="B118" i="12"/>
  <c r="B132" i="12"/>
  <c r="Z8" i="34"/>
  <c r="Z27" i="34" s="1"/>
  <c r="Z16" i="34"/>
  <c r="Z24" i="34"/>
  <c r="S43" i="3"/>
  <c r="N43" i="3"/>
  <c r="M15" i="2"/>
  <c r="M16" i="2" s="1"/>
  <c r="O17" i="2" s="1"/>
  <c r="O3" i="2"/>
  <c r="N3" i="2"/>
  <c r="N15" i="2" s="1"/>
  <c r="B15" i="12"/>
  <c r="B24" i="12"/>
  <c r="B43" i="12" s="1"/>
  <c r="Y5" i="34"/>
  <c r="U7" i="34"/>
  <c r="W10" i="34"/>
  <c r="Y13" i="34"/>
  <c r="U15" i="34"/>
  <c r="W18" i="34"/>
  <c r="Y21" i="34"/>
  <c r="U23" i="34"/>
  <c r="B13" i="12"/>
  <c r="H4" i="12" s="1"/>
  <c r="B16" i="12"/>
  <c r="B50" i="12" s="1"/>
  <c r="V7" i="34"/>
  <c r="V15" i="34"/>
  <c r="V23" i="34"/>
  <c r="F21" i="25"/>
  <c r="S31" i="3"/>
  <c r="N31" i="3"/>
  <c r="T31" i="3" s="1"/>
  <c r="S50" i="3"/>
  <c r="N50" i="3"/>
  <c r="T50" i="3" s="1"/>
  <c r="R82" i="22"/>
  <c r="R102" i="22" s="1"/>
  <c r="O47" i="2"/>
  <c r="M47" i="2"/>
  <c r="K47" i="2"/>
  <c r="N32" i="3"/>
  <c r="S82" i="22"/>
  <c r="S102" i="22" s="1"/>
  <c r="O24" i="24"/>
  <c r="N40" i="3"/>
  <c r="T40" i="3" s="1"/>
  <c r="N47" i="3"/>
  <c r="T47" i="3" s="1"/>
  <c r="N40" i="24"/>
  <c r="N37" i="3"/>
  <c r="T37" i="3" s="1"/>
  <c r="K105" i="3"/>
  <c r="G7" i="4"/>
  <c r="M26" i="20" s="1"/>
  <c r="D33" i="31" s="1"/>
  <c r="E8" i="24"/>
  <c r="N44" i="3"/>
  <c r="T44" i="3" s="1"/>
  <c r="N51" i="3"/>
  <c r="T51" i="3" s="1"/>
  <c r="J8" i="24"/>
  <c r="F18" i="25"/>
  <c r="C7" i="30"/>
  <c r="L8" i="24"/>
  <c r="N47" i="2"/>
  <c r="N41" i="3"/>
  <c r="T41" i="3" s="1"/>
  <c r="M8" i="24"/>
  <c r="H24" i="24"/>
  <c r="N30" i="3"/>
  <c r="T30" i="3" s="1"/>
  <c r="N55" i="3"/>
  <c r="T55" i="3" s="1"/>
  <c r="E64" i="22"/>
  <c r="F64" i="22" s="1"/>
  <c r="G64" i="22" s="1"/>
  <c r="H64" i="22" s="1"/>
  <c r="I64" i="22" s="1"/>
  <c r="J64" i="22" s="1"/>
  <c r="K64" i="22" s="1"/>
  <c r="L64" i="22" s="1"/>
  <c r="M64" i="22" s="1"/>
  <c r="N64" i="22" s="1"/>
  <c r="O64" i="22" s="1"/>
  <c r="P64" i="22" s="1"/>
  <c r="Q64" i="22" s="1"/>
  <c r="R64" i="22" s="1"/>
  <c r="S64" i="22" s="1"/>
  <c r="T64" i="22" s="1"/>
  <c r="U64" i="22" s="1"/>
  <c r="V64" i="22" s="1"/>
  <c r="W64" i="22" s="1"/>
  <c r="X64" i="22" s="1"/>
  <c r="Y64" i="22" s="1"/>
  <c r="Z64" i="22" s="1"/>
  <c r="AA64" i="22" s="1"/>
  <c r="AB64" i="22" s="1"/>
  <c r="E84" i="22"/>
  <c r="J24" i="24"/>
  <c r="N62" i="3"/>
  <c r="T62" i="3" s="1"/>
  <c r="K24" i="24"/>
  <c r="N52" i="3"/>
  <c r="M24" i="24"/>
  <c r="N24" i="24"/>
  <c r="G40" i="24"/>
  <c r="N56" i="3"/>
  <c r="I111" i="3"/>
  <c r="L40" i="24"/>
  <c r="P10" i="24"/>
  <c r="L26" i="24"/>
  <c r="AB26" i="24"/>
  <c r="P40" i="24"/>
  <c r="H42" i="24"/>
  <c r="X42" i="24"/>
  <c r="D51" i="9"/>
  <c r="D62" i="9" s="1"/>
  <c r="T51" i="9"/>
  <c r="D8" i="24"/>
  <c r="Q10" i="24"/>
  <c r="M26" i="24"/>
  <c r="Q40" i="24"/>
  <c r="I42" i="24"/>
  <c r="Y42" i="24"/>
  <c r="D48" i="9"/>
  <c r="E51" i="9"/>
  <c r="U51" i="9"/>
  <c r="F8" i="24"/>
  <c r="S10" i="24"/>
  <c r="D24" i="24"/>
  <c r="O26" i="24"/>
  <c r="K42" i="24"/>
  <c r="AA42" i="24"/>
  <c r="F48" i="9"/>
  <c r="G51" i="9"/>
  <c r="G62" i="9" s="1"/>
  <c r="W51" i="9"/>
  <c r="G8" i="24"/>
  <c r="D10" i="24"/>
  <c r="T10" i="24"/>
  <c r="E24" i="24"/>
  <c r="P26" i="24"/>
  <c r="D40" i="24"/>
  <c r="L42" i="24"/>
  <c r="AB42" i="24"/>
  <c r="G48" i="9"/>
  <c r="H51" i="9"/>
  <c r="H62" i="9" s="1"/>
  <c r="X51" i="9"/>
  <c r="H8" i="24"/>
  <c r="E10" i="24"/>
  <c r="U10" i="24"/>
  <c r="F24" i="24"/>
  <c r="Q26" i="24"/>
  <c r="E40" i="24"/>
  <c r="M42" i="24"/>
  <c r="I51" i="9"/>
  <c r="I62" i="9" s="1"/>
  <c r="Y51" i="9"/>
  <c r="I8" i="24"/>
  <c r="F10" i="24"/>
  <c r="V10" i="24"/>
  <c r="G24" i="24"/>
  <c r="R26" i="24"/>
  <c r="F40" i="24"/>
  <c r="N42" i="24"/>
  <c r="J51" i="9"/>
  <c r="J62" i="9" s="1"/>
  <c r="Z51" i="9"/>
  <c r="D55" i="9"/>
  <c r="K51" i="9"/>
  <c r="K62" i="9" s="1"/>
  <c r="AA51" i="9"/>
  <c r="E55" i="9"/>
  <c r="K8" i="24"/>
  <c r="H10" i="24"/>
  <c r="X10" i="24"/>
  <c r="I24" i="24"/>
  <c r="D26" i="24"/>
  <c r="T26" i="24"/>
  <c r="H40" i="24"/>
  <c r="P42" i="24"/>
  <c r="L51" i="9"/>
  <c r="L62" i="9" s="1"/>
  <c r="AB51" i="9"/>
  <c r="F55" i="9"/>
  <c r="I40" i="24"/>
  <c r="Q42" i="24"/>
  <c r="M51" i="9"/>
  <c r="M62" i="9" s="1"/>
  <c r="G55" i="9"/>
  <c r="J40" i="24"/>
  <c r="R42" i="24"/>
  <c r="N51" i="9"/>
  <c r="H55" i="9"/>
  <c r="K10" i="24"/>
  <c r="AA10" i="24"/>
  <c r="L24" i="24"/>
  <c r="G26" i="24"/>
  <c r="W26" i="24"/>
  <c r="K40" i="24"/>
  <c r="S42" i="24"/>
  <c r="O51" i="9"/>
  <c r="I55" i="9"/>
  <c r="P51" i="9"/>
  <c r="J55" i="9"/>
  <c r="C76" i="9"/>
  <c r="Q51" i="9"/>
  <c r="K55" i="9"/>
  <c r="J26" i="24"/>
  <c r="Z26" i="24"/>
  <c r="F42" i="24"/>
  <c r="R51" i="9"/>
  <c r="H8" i="21" l="1"/>
  <c r="G104" i="22"/>
  <c r="B27" i="8"/>
  <c r="D92" i="8" s="1"/>
  <c r="C92" i="12"/>
  <c r="AB36" i="11"/>
  <c r="E68" i="22"/>
  <c r="E88" i="22" s="1"/>
  <c r="E108" i="22" s="1"/>
  <c r="Y25" i="34"/>
  <c r="D46" i="9"/>
  <c r="W26" i="34"/>
  <c r="D54" i="9"/>
  <c r="E53" i="9" s="1"/>
  <c r="E52" i="9" s="1"/>
  <c r="E54" i="9" s="1"/>
  <c r="D53" i="9"/>
  <c r="F68" i="22"/>
  <c r="F88" i="22" s="1"/>
  <c r="F108" i="22" s="1"/>
  <c r="G40" i="22"/>
  <c r="H40" i="22" s="1"/>
  <c r="N39" i="11"/>
  <c r="AG35" i="11" s="1"/>
  <c r="AG36" i="11" s="1"/>
  <c r="AA25" i="34"/>
  <c r="I40" i="11"/>
  <c r="D43" i="1"/>
  <c r="I153" i="3"/>
  <c r="B6" i="8"/>
  <c r="B23" i="8" s="1"/>
  <c r="B77" i="8" s="1"/>
  <c r="N28" i="3"/>
  <c r="R21" i="11"/>
  <c r="B6" i="12"/>
  <c r="AN4" i="12" s="1"/>
  <c r="AR4" i="12" s="1"/>
  <c r="U25" i="34"/>
  <c r="B117" i="12"/>
  <c r="B119" i="12" s="1"/>
  <c r="B81" i="12" s="1"/>
  <c r="D81" i="12" s="1"/>
  <c r="F81" i="12" s="1"/>
  <c r="AA26" i="34"/>
  <c r="W25" i="34"/>
  <c r="X25" i="34"/>
  <c r="V19" i="12"/>
  <c r="W19" i="12" s="1"/>
  <c r="B128" i="12"/>
  <c r="K153" i="3"/>
  <c r="Q7" i="20"/>
  <c r="Q4" i="12"/>
  <c r="Q9" i="12"/>
  <c r="B137" i="12"/>
  <c r="Z25" i="34"/>
  <c r="Z26" i="34"/>
  <c r="D43" i="12"/>
  <c r="B47" i="12"/>
  <c r="X4" i="12"/>
  <c r="Y4" i="12" s="1"/>
  <c r="Q19" i="12"/>
  <c r="R19" i="12" s="1"/>
  <c r="S19" i="12" s="1"/>
  <c r="U9" i="12" s="1"/>
  <c r="V9" i="12" s="1"/>
  <c r="AD9" i="12" s="1"/>
  <c r="J17" i="25"/>
  <c r="D17" i="22"/>
  <c r="D50" i="12"/>
  <c r="D54" i="12" s="1"/>
  <c r="D55" i="12" s="1"/>
  <c r="D18" i="9"/>
  <c r="D19" i="9"/>
  <c r="V26" i="34"/>
  <c r="E92" i="12"/>
  <c r="F92" i="12" s="1"/>
  <c r="E62" i="9"/>
  <c r="X26" i="34"/>
  <c r="F84" i="22"/>
  <c r="Y26" i="34"/>
  <c r="V25" i="34"/>
  <c r="AC4" i="12"/>
  <c r="AF4" i="12" s="1"/>
  <c r="V4" i="12"/>
  <c r="U26" i="34"/>
  <c r="H129" i="22" l="1"/>
  <c r="H130" i="22"/>
  <c r="H104" i="22"/>
  <c r="G68" i="22"/>
  <c r="G88" i="22" s="1"/>
  <c r="G108" i="22" s="1"/>
  <c r="D89" i="8"/>
  <c r="E89" i="8" s="1"/>
  <c r="F89" i="8" s="1"/>
  <c r="D88" i="8"/>
  <c r="E88" i="8" s="1"/>
  <c r="F88" i="8" s="1"/>
  <c r="D87" i="8"/>
  <c r="D91" i="8"/>
  <c r="E91" i="8" s="1"/>
  <c r="F91" i="8" s="1"/>
  <c r="I77" i="8"/>
  <c r="D77" i="8"/>
  <c r="Q34" i="2"/>
  <c r="Q30" i="2" s="1"/>
  <c r="N46" i="11"/>
  <c r="B8" i="12"/>
  <c r="A4" i="12" s="1"/>
  <c r="E4" i="12" s="1"/>
  <c r="I4" i="12" s="1"/>
  <c r="J4" i="12" s="1"/>
  <c r="R23" i="11"/>
  <c r="B105" i="12" s="1"/>
  <c r="B115" i="12" s="1"/>
  <c r="B116" i="12" s="1"/>
  <c r="C87" i="8"/>
  <c r="B75" i="8"/>
  <c r="L134" i="3"/>
  <c r="M134" i="3" s="1"/>
  <c r="M153" i="3" s="1"/>
  <c r="H6" i="21"/>
  <c r="D7" i="21" s="1"/>
  <c r="F20" i="25"/>
  <c r="F10" i="8"/>
  <c r="F6" i="30"/>
  <c r="B24" i="8"/>
  <c r="K8" i="2" s="1"/>
  <c r="I6" i="4"/>
  <c r="H18" i="4" s="1"/>
  <c r="M10" i="20" s="1"/>
  <c r="B29" i="8"/>
  <c r="B28" i="8" s="1"/>
  <c r="D40" i="1"/>
  <c r="E8" i="6"/>
  <c r="Q19" i="20" s="1"/>
  <c r="AP4" i="12"/>
  <c r="AU4" i="12" s="1"/>
  <c r="R33" i="11"/>
  <c r="D39" i="9"/>
  <c r="E39" i="9" s="1"/>
  <c r="F39" i="9" s="1"/>
  <c r="G39" i="9" s="1"/>
  <c r="H39" i="9" s="1"/>
  <c r="I39" i="9" s="1"/>
  <c r="J39" i="9" s="1"/>
  <c r="K39" i="9" s="1"/>
  <c r="L39" i="9" s="1"/>
  <c r="M39" i="9" s="1"/>
  <c r="N39" i="9" s="1"/>
  <c r="O39" i="9" s="1"/>
  <c r="P39" i="9" s="1"/>
  <c r="Q39" i="9" s="1"/>
  <c r="R39" i="9" s="1"/>
  <c r="S39" i="9" s="1"/>
  <c r="T39" i="9" s="1"/>
  <c r="U39" i="9" s="1"/>
  <c r="V39" i="9" s="1"/>
  <c r="W39" i="9" s="1"/>
  <c r="X39" i="9" s="1"/>
  <c r="Y39" i="9" s="1"/>
  <c r="Z39" i="9" s="1"/>
  <c r="AA39" i="9" s="1"/>
  <c r="AB39" i="9" s="1"/>
  <c r="F53" i="9"/>
  <c r="F52" i="9" s="1"/>
  <c r="F54" i="9" s="1"/>
  <c r="B48" i="12"/>
  <c r="D47" i="12"/>
  <c r="D48" i="12" s="1"/>
  <c r="E55" i="12" s="1"/>
  <c r="H68" i="22"/>
  <c r="H88" i="22" s="1"/>
  <c r="H108" i="22" s="1"/>
  <c r="I40" i="22"/>
  <c r="E92" i="8"/>
  <c r="F92" i="8" s="1"/>
  <c r="G84" i="22"/>
  <c r="E24" i="23"/>
  <c r="H128" i="22"/>
  <c r="H127" i="22"/>
  <c r="D56" i="12"/>
  <c r="E87" i="8" l="1"/>
  <c r="I104" i="22"/>
  <c r="N43" i="11"/>
  <c r="N44" i="11" s="1"/>
  <c r="B107" i="12"/>
  <c r="B87" i="12" s="1"/>
  <c r="Q27" i="2"/>
  <c r="Q25" i="2"/>
  <c r="Q23" i="2"/>
  <c r="Q45" i="2"/>
  <c r="Q22" i="2"/>
  <c r="Q42" i="2"/>
  <c r="Q44" i="2"/>
  <c r="Q41" i="2"/>
  <c r="Q39" i="2"/>
  <c r="Q37" i="2"/>
  <c r="Q40" i="2"/>
  <c r="Q31" i="2"/>
  <c r="Q43" i="2"/>
  <c r="Q26" i="2"/>
  <c r="Q36" i="2"/>
  <c r="Q38" i="2"/>
  <c r="Q33" i="2"/>
  <c r="Q46" i="2"/>
  <c r="Q29" i="2"/>
  <c r="Q35" i="2"/>
  <c r="Q28" i="2"/>
  <c r="Q24" i="2"/>
  <c r="Q32" i="2"/>
  <c r="N41" i="11"/>
  <c r="O4" i="12"/>
  <c r="R4" i="12" s="1"/>
  <c r="T4" i="12" s="1"/>
  <c r="U4" i="12" s="1"/>
  <c r="O9" i="12"/>
  <c r="R9" i="12" s="1"/>
  <c r="Y9" i="12" s="1"/>
  <c r="Q5" i="20"/>
  <c r="Q9" i="20" s="1"/>
  <c r="Q13" i="20" s="1"/>
  <c r="D75" i="8"/>
  <c r="F75" i="8" s="1"/>
  <c r="H3" i="21"/>
  <c r="B85" i="8"/>
  <c r="D9" i="21"/>
  <c r="B26" i="8"/>
  <c r="C26" i="8" s="1"/>
  <c r="C77" i="8"/>
  <c r="F19" i="25"/>
  <c r="K6" i="2"/>
  <c r="Q6" i="2" s="1"/>
  <c r="H17" i="4"/>
  <c r="K14" i="2"/>
  <c r="L14" i="2" s="1"/>
  <c r="K9" i="2"/>
  <c r="L9" i="2" s="1"/>
  <c r="K7" i="2"/>
  <c r="L7" i="2" s="1"/>
  <c r="K12" i="2"/>
  <c r="Q12" i="2" s="1"/>
  <c r="K4" i="2"/>
  <c r="L4" i="2" s="1"/>
  <c r="K10" i="2"/>
  <c r="Q10" i="2" s="1"/>
  <c r="K5" i="2"/>
  <c r="Q5" i="2" s="1"/>
  <c r="C24" i="8"/>
  <c r="K13" i="2"/>
  <c r="Q13" i="2" s="1"/>
  <c r="K11" i="2"/>
  <c r="L11" i="2" s="1"/>
  <c r="C190" i="3"/>
  <c r="D30" i="31"/>
  <c r="D7" i="4"/>
  <c r="D29" i="31" s="1"/>
  <c r="K3" i="2"/>
  <c r="L3" i="2" s="1"/>
  <c r="D9" i="4"/>
  <c r="H20" i="4" s="1"/>
  <c r="M9" i="20" s="1"/>
  <c r="C187" i="3"/>
  <c r="I41" i="8" s="1"/>
  <c r="G53" i="9"/>
  <c r="G52" i="9" s="1"/>
  <c r="G54" i="9" s="1"/>
  <c r="I68" i="22"/>
  <c r="I88" i="22" s="1"/>
  <c r="I108" i="22" s="1"/>
  <c r="J40" i="22"/>
  <c r="Q8" i="2"/>
  <c r="L8" i="2"/>
  <c r="E9" i="6"/>
  <c r="Q21" i="20" s="1"/>
  <c r="R28" i="11"/>
  <c r="B91" i="12"/>
  <c r="E77" i="8"/>
  <c r="F77" i="8" s="1"/>
  <c r="W39" i="24"/>
  <c r="W41" i="24" s="1"/>
  <c r="G39" i="24"/>
  <c r="G41" i="24" s="1"/>
  <c r="X23" i="24"/>
  <c r="X25" i="24" s="1"/>
  <c r="H23" i="24"/>
  <c r="H25" i="24" s="1"/>
  <c r="T39" i="24"/>
  <c r="T41" i="24" s="1"/>
  <c r="D39" i="24"/>
  <c r="D41" i="24" s="1"/>
  <c r="U23" i="24"/>
  <c r="U25" i="24" s="1"/>
  <c r="E23" i="24"/>
  <c r="E25" i="24" s="1"/>
  <c r="W7" i="24"/>
  <c r="W9" i="24" s="1"/>
  <c r="G7" i="24"/>
  <c r="G9" i="24" s="1"/>
  <c r="S39" i="24"/>
  <c r="S41" i="24" s="1"/>
  <c r="R39" i="24"/>
  <c r="R41" i="24" s="1"/>
  <c r="Q39" i="24"/>
  <c r="Q41" i="24" s="1"/>
  <c r="R23" i="24"/>
  <c r="R25" i="24" s="1"/>
  <c r="T7" i="24"/>
  <c r="T9" i="24" s="1"/>
  <c r="D7" i="24"/>
  <c r="D9" i="24" s="1"/>
  <c r="O39" i="24"/>
  <c r="O41" i="24" s="1"/>
  <c r="P23" i="24"/>
  <c r="P25" i="24" s="1"/>
  <c r="R7" i="24"/>
  <c r="R9" i="24" s="1"/>
  <c r="N39" i="24"/>
  <c r="N41" i="24" s="1"/>
  <c r="O23" i="24"/>
  <c r="O25" i="24" s="1"/>
  <c r="Q7" i="24"/>
  <c r="Q9" i="24" s="1"/>
  <c r="M39" i="24"/>
  <c r="M41" i="24" s="1"/>
  <c r="N23" i="24"/>
  <c r="N25" i="24" s="1"/>
  <c r="P7" i="24"/>
  <c r="P9" i="24" s="1"/>
  <c r="AB39" i="24"/>
  <c r="AB41" i="24" s="1"/>
  <c r="L39" i="24"/>
  <c r="L41" i="24" s="1"/>
  <c r="M23" i="24"/>
  <c r="M25" i="24" s="1"/>
  <c r="O7" i="24"/>
  <c r="O9" i="24" s="1"/>
  <c r="Z39" i="24"/>
  <c r="Z41" i="24" s="1"/>
  <c r="J39" i="24"/>
  <c r="J41" i="24" s="1"/>
  <c r="AA23" i="24"/>
  <c r="AA25" i="24" s="1"/>
  <c r="K23" i="24"/>
  <c r="K25" i="24" s="1"/>
  <c r="M7" i="24"/>
  <c r="M9" i="24" s="1"/>
  <c r="Y39" i="24"/>
  <c r="Y41" i="24" s="1"/>
  <c r="I39" i="24"/>
  <c r="I41" i="24" s="1"/>
  <c r="Z23" i="24"/>
  <c r="Z25" i="24" s="1"/>
  <c r="J23" i="24"/>
  <c r="J25" i="24" s="1"/>
  <c r="AB7" i="24"/>
  <c r="AB9" i="24" s="1"/>
  <c r="L7" i="24"/>
  <c r="L9" i="24" s="1"/>
  <c r="I23" i="24"/>
  <c r="I25" i="24" s="1"/>
  <c r="U7" i="24"/>
  <c r="U9" i="24" s="1"/>
  <c r="G23" i="24"/>
  <c r="G25" i="24" s="1"/>
  <c r="S7" i="24"/>
  <c r="S9" i="24" s="1"/>
  <c r="F23" i="24"/>
  <c r="F25" i="24" s="1"/>
  <c r="N7" i="24"/>
  <c r="N9" i="24" s="1"/>
  <c r="AA39" i="24"/>
  <c r="AA41" i="24" s="1"/>
  <c r="D23" i="24"/>
  <c r="D25" i="24" s="1"/>
  <c r="K7" i="24"/>
  <c r="K9" i="24" s="1"/>
  <c r="X39" i="24"/>
  <c r="X41" i="24" s="1"/>
  <c r="J7" i="24"/>
  <c r="J9" i="24" s="1"/>
  <c r="V39" i="24"/>
  <c r="V41" i="24" s="1"/>
  <c r="I7" i="24"/>
  <c r="I9" i="24" s="1"/>
  <c r="U39" i="24"/>
  <c r="U41" i="24" s="1"/>
  <c r="H7" i="24"/>
  <c r="H9" i="24" s="1"/>
  <c r="P39" i="24"/>
  <c r="P41" i="24" s="1"/>
  <c r="F7" i="24"/>
  <c r="F9" i="24" s="1"/>
  <c r="K39" i="24"/>
  <c r="K41" i="24" s="1"/>
  <c r="AB23" i="24"/>
  <c r="AB25" i="24" s="1"/>
  <c r="E7" i="24"/>
  <c r="E9" i="24" s="1"/>
  <c r="H39" i="24"/>
  <c r="H41" i="24" s="1"/>
  <c r="Y23" i="24"/>
  <c r="Y25" i="24" s="1"/>
  <c r="F39" i="24"/>
  <c r="F41" i="24" s="1"/>
  <c r="W23" i="24"/>
  <c r="W25" i="24" s="1"/>
  <c r="E39" i="24"/>
  <c r="E41" i="24" s="1"/>
  <c r="V23" i="24"/>
  <c r="V25" i="24" s="1"/>
  <c r="AA7" i="24"/>
  <c r="AA9" i="24" s="1"/>
  <c r="T23" i="24"/>
  <c r="T25" i="24" s="1"/>
  <c r="Z7" i="24"/>
  <c r="Z9" i="24" s="1"/>
  <c r="S23" i="24"/>
  <c r="S25" i="24" s="1"/>
  <c r="Y7" i="24"/>
  <c r="Y9" i="24" s="1"/>
  <c r="X7" i="24"/>
  <c r="X9" i="24" s="1"/>
  <c r="V7" i="24"/>
  <c r="V9" i="24" s="1"/>
  <c r="Q23" i="24"/>
  <c r="Q25" i="24" s="1"/>
  <c r="L23" i="24"/>
  <c r="L25" i="24" s="1"/>
  <c r="H84" i="22"/>
  <c r="D13" i="21"/>
  <c r="D11" i="21"/>
  <c r="D12" i="21" s="1"/>
  <c r="D8" i="21"/>
  <c r="D57" i="12"/>
  <c r="F68" i="8"/>
  <c r="B90" i="8" s="1"/>
  <c r="F66" i="8"/>
  <c r="F51" i="8"/>
  <c r="F65" i="8"/>
  <c r="F57" i="8"/>
  <c r="B76" i="8" l="1"/>
  <c r="I76" i="8"/>
  <c r="F87" i="8"/>
  <c r="J104" i="22"/>
  <c r="D24" i="8"/>
  <c r="D107" i="12"/>
  <c r="B133" i="12" s="1"/>
  <c r="G37" i="12" s="1"/>
  <c r="B111" i="12"/>
  <c r="E6" i="6" s="1"/>
  <c r="G24" i="12"/>
  <c r="B86" i="12"/>
  <c r="D86" i="12" s="1"/>
  <c r="F86" i="12" s="1"/>
  <c r="J20" i="25"/>
  <c r="Q25" i="20"/>
  <c r="Q26" i="20" s="1"/>
  <c r="Q14" i="2"/>
  <c r="D85" i="8"/>
  <c r="E85" i="8" s="1"/>
  <c r="C85" i="8"/>
  <c r="Q9" i="2"/>
  <c r="Q4" i="2"/>
  <c r="L6" i="2"/>
  <c r="C90" i="8"/>
  <c r="D90" i="8"/>
  <c r="E90" i="8" s="1"/>
  <c r="F90" i="8" s="1"/>
  <c r="F7" i="30"/>
  <c r="D51" i="1"/>
  <c r="B30" i="8"/>
  <c r="D3" i="22" s="1"/>
  <c r="B31" i="8"/>
  <c r="B16" i="8" s="1"/>
  <c r="B22" i="8" s="1"/>
  <c r="D42" i="1"/>
  <c r="I38" i="8"/>
  <c r="I7" i="4"/>
  <c r="M27" i="20" s="1"/>
  <c r="L10" i="2"/>
  <c r="Q3" i="2"/>
  <c r="D41" i="1"/>
  <c r="M7" i="20" s="1"/>
  <c r="H7" i="21"/>
  <c r="D2" i="22"/>
  <c r="E2" i="23" s="1"/>
  <c r="D2" i="9"/>
  <c r="D3" i="9" s="1"/>
  <c r="D38" i="9" s="1"/>
  <c r="B86" i="8"/>
  <c r="D86" i="8" s="1"/>
  <c r="Q7" i="2"/>
  <c r="L12" i="2"/>
  <c r="B82" i="8"/>
  <c r="D82" i="8" s="1"/>
  <c r="F82" i="8" s="1"/>
  <c r="Q11" i="2"/>
  <c r="D48" i="1"/>
  <c r="F23" i="25"/>
  <c r="J23" i="25" s="1"/>
  <c r="L5" i="2"/>
  <c r="L13" i="2"/>
  <c r="F52" i="8"/>
  <c r="F58" i="8" s="1"/>
  <c r="B83" i="8"/>
  <c r="D83" i="8" s="1"/>
  <c r="D5" i="22"/>
  <c r="E5" i="23" s="1"/>
  <c r="D8" i="4"/>
  <c r="E6" i="23" s="1"/>
  <c r="H21" i="4"/>
  <c r="M12" i="20" s="1"/>
  <c r="B81" i="8"/>
  <c r="D81" i="8" s="1"/>
  <c r="F81" i="8" s="1"/>
  <c r="H53" i="9"/>
  <c r="H52" i="9" s="1"/>
  <c r="H54" i="9" s="1"/>
  <c r="J68" i="22"/>
  <c r="J88" i="22" s="1"/>
  <c r="J108" i="22" s="1"/>
  <c r="K40" i="22"/>
  <c r="D91" i="12"/>
  <c r="C91" i="12"/>
  <c r="I84" i="22"/>
  <c r="C87" i="12"/>
  <c r="D87" i="12"/>
  <c r="I79" i="8" l="1"/>
  <c r="B79" i="8"/>
  <c r="K104" i="22"/>
  <c r="B80" i="12"/>
  <c r="D80" i="12" s="1"/>
  <c r="F80" i="12" s="1"/>
  <c r="B80" i="8"/>
  <c r="F99" i="8" s="1"/>
  <c r="G29" i="12"/>
  <c r="G38" i="12"/>
  <c r="B85" i="12" s="1"/>
  <c r="D85" i="12" s="1"/>
  <c r="F85" i="12" s="1"/>
  <c r="G23" i="12"/>
  <c r="R31" i="11"/>
  <c r="Q11" i="20" s="1"/>
  <c r="B82" i="12"/>
  <c r="D82" i="12" s="1"/>
  <c r="R24" i="11"/>
  <c r="B68" i="12" s="1"/>
  <c r="B70" i="12" s="1"/>
  <c r="B53" i="12" s="1"/>
  <c r="B54" i="12" s="1"/>
  <c r="B55" i="12" s="1"/>
  <c r="B56" i="12" s="1"/>
  <c r="B57" i="12" s="1"/>
  <c r="B83" i="12"/>
  <c r="C83" i="12" s="1"/>
  <c r="F85" i="8"/>
  <c r="C22" i="23"/>
  <c r="C17" i="23"/>
  <c r="C12" i="23"/>
  <c r="D76" i="8"/>
  <c r="F76" i="8" s="1"/>
  <c r="I40" i="8"/>
  <c r="I39" i="8"/>
  <c r="I78" i="8" s="1"/>
  <c r="D31" i="31"/>
  <c r="B32" i="8"/>
  <c r="B21" i="8"/>
  <c r="D50" i="1"/>
  <c r="S3" i="2"/>
  <c r="C81" i="9"/>
  <c r="C82" i="9" s="1"/>
  <c r="C86" i="8"/>
  <c r="D49" i="1"/>
  <c r="M8" i="20" s="1"/>
  <c r="M13" i="20" s="1"/>
  <c r="D52" i="1"/>
  <c r="H19" i="4" s="1"/>
  <c r="M31" i="20" s="1"/>
  <c r="M32" i="20" s="1"/>
  <c r="D5" i="9"/>
  <c r="E17" i="23"/>
  <c r="M43" i="20" s="1"/>
  <c r="M11" i="20"/>
  <c r="C83" i="8"/>
  <c r="D17" i="23"/>
  <c r="M42" i="20" s="1"/>
  <c r="F17" i="23"/>
  <c r="M44" i="20" s="1"/>
  <c r="D35" i="22"/>
  <c r="E35" i="22" s="1"/>
  <c r="J19" i="25"/>
  <c r="E3" i="23"/>
  <c r="E83" i="8"/>
  <c r="F83" i="8" s="1"/>
  <c r="J84" i="22"/>
  <c r="K68" i="22"/>
  <c r="K88" i="22" s="1"/>
  <c r="K108" i="22" s="1"/>
  <c r="L40" i="22"/>
  <c r="D40" i="9"/>
  <c r="E38" i="9"/>
  <c r="E91" i="12"/>
  <c r="F91" i="12" s="1"/>
  <c r="I53" i="9"/>
  <c r="I52" i="9" s="1"/>
  <c r="I54" i="9" s="1"/>
  <c r="E87" i="12"/>
  <c r="F87" i="12" s="1"/>
  <c r="F22" i="23"/>
  <c r="E22" i="23"/>
  <c r="D22" i="23"/>
  <c r="E86" i="8"/>
  <c r="F86" i="8" s="1"/>
  <c r="L104" i="22" l="1"/>
  <c r="D80" i="8"/>
  <c r="C80" i="8"/>
  <c r="B78" i="8"/>
  <c r="C79" i="8"/>
  <c r="D79" i="8"/>
  <c r="E79" i="8" s="1"/>
  <c r="F79" i="8" s="1"/>
  <c r="D83" i="12"/>
  <c r="E83" i="12" s="1"/>
  <c r="F83" i="12" s="1"/>
  <c r="Q8" i="20"/>
  <c r="G30" i="12"/>
  <c r="B84" i="12" s="1"/>
  <c r="F102" i="12" s="1"/>
  <c r="C82" i="12"/>
  <c r="Q10" i="20"/>
  <c r="M14" i="20"/>
  <c r="M18" i="20" s="1"/>
  <c r="D11" i="4"/>
  <c r="G134" i="22"/>
  <c r="G135" i="22"/>
  <c r="D37" i="22"/>
  <c r="D51" i="22" s="1"/>
  <c r="D63" i="22"/>
  <c r="D83" i="22" s="1"/>
  <c r="G133" i="22"/>
  <c r="D6" i="24"/>
  <c r="D22" i="24" s="1"/>
  <c r="J53" i="9"/>
  <c r="J52" i="9" s="1"/>
  <c r="J54" i="9" s="1"/>
  <c r="K84" i="22"/>
  <c r="E6" i="24"/>
  <c r="E63" i="22"/>
  <c r="E37" i="22"/>
  <c r="F35" i="22"/>
  <c r="L68" i="22"/>
  <c r="L88" i="22" s="1"/>
  <c r="L108" i="22" s="1"/>
  <c r="M40" i="22"/>
  <c r="E82" i="12"/>
  <c r="M17" i="20"/>
  <c r="M15" i="20"/>
  <c r="M19" i="20" s="1"/>
  <c r="E40" i="9"/>
  <c r="F38" i="9"/>
  <c r="V6" i="9"/>
  <c r="D57" i="9"/>
  <c r="I93" i="8" l="1"/>
  <c r="B93" i="8"/>
  <c r="E80" i="8"/>
  <c r="D72" i="8"/>
  <c r="D85" i="22"/>
  <c r="D103" i="22"/>
  <c r="D105" i="22" s="1"/>
  <c r="D106" i="22" s="1"/>
  <c r="M104" i="22"/>
  <c r="C78" i="8"/>
  <c r="D78" i="8"/>
  <c r="E78" i="8" s="1"/>
  <c r="F78" i="8" s="1"/>
  <c r="B96" i="12"/>
  <c r="B97" i="12" s="1"/>
  <c r="D97" i="12" s="1"/>
  <c r="C84" i="12"/>
  <c r="D84" i="12"/>
  <c r="E84" i="12" s="1"/>
  <c r="F84" i="12" s="1"/>
  <c r="M21" i="20"/>
  <c r="M22" i="20" s="1"/>
  <c r="M23" i="20" s="1"/>
  <c r="D65" i="22"/>
  <c r="D11" i="24"/>
  <c r="D15" i="24" s="1"/>
  <c r="D16" i="24" s="1"/>
  <c r="M68" i="22"/>
  <c r="M88" i="22" s="1"/>
  <c r="M108" i="22" s="1"/>
  <c r="N40" i="22"/>
  <c r="D27" i="24"/>
  <c r="D31" i="24" s="1"/>
  <c r="D32" i="24" s="1"/>
  <c r="D38" i="24"/>
  <c r="D43" i="24" s="1"/>
  <c r="D47" i="24" s="1"/>
  <c r="D48" i="24" s="1"/>
  <c r="F82" i="12"/>
  <c r="K53" i="9"/>
  <c r="K52" i="9" s="1"/>
  <c r="K54" i="9" s="1"/>
  <c r="E11" i="24"/>
  <c r="E15" i="24" s="1"/>
  <c r="E22" i="24"/>
  <c r="F6" i="24"/>
  <c r="G35" i="22"/>
  <c r="F37" i="22"/>
  <c r="F63" i="22"/>
  <c r="L84" i="22"/>
  <c r="E51" i="22"/>
  <c r="W6" i="9"/>
  <c r="F40" i="9"/>
  <c r="G38" i="9"/>
  <c r="E83" i="22"/>
  <c r="E65" i="22"/>
  <c r="F80" i="8" l="1"/>
  <c r="E72" i="8"/>
  <c r="F72" i="8" s="1"/>
  <c r="E85" i="22"/>
  <c r="E103" i="22"/>
  <c r="E105" i="22" s="1"/>
  <c r="N104" i="22"/>
  <c r="C96" i="12"/>
  <c r="C97" i="12" s="1"/>
  <c r="B98" i="12" s="1"/>
  <c r="D96" i="12"/>
  <c r="E96" i="12" s="1"/>
  <c r="F96" i="12" s="1"/>
  <c r="F97" i="12" s="1"/>
  <c r="G96" i="12" s="1"/>
  <c r="E16" i="24"/>
  <c r="G40" i="9"/>
  <c r="H38" i="9"/>
  <c r="F51" i="22"/>
  <c r="F22" i="24"/>
  <c r="F11" i="24"/>
  <c r="F15" i="24" s="1"/>
  <c r="L53" i="9"/>
  <c r="L52" i="9" s="1"/>
  <c r="L54" i="9" s="1"/>
  <c r="N68" i="22"/>
  <c r="N88" i="22" s="1"/>
  <c r="N108" i="22" s="1"/>
  <c r="O40" i="22"/>
  <c r="E38" i="24"/>
  <c r="E43" i="24" s="1"/>
  <c r="E47" i="24" s="1"/>
  <c r="E48" i="24" s="1"/>
  <c r="E27" i="24"/>
  <c r="E31" i="24" s="1"/>
  <c r="E32" i="24" s="1"/>
  <c r="M84" i="22"/>
  <c r="F65" i="22"/>
  <c r="F83" i="22"/>
  <c r="G6" i="24"/>
  <c r="G37" i="22"/>
  <c r="G63" i="22"/>
  <c r="H35" i="22"/>
  <c r="X6" i="9"/>
  <c r="F85" i="22" l="1"/>
  <c r="F103" i="22"/>
  <c r="F105" i="22" s="1"/>
  <c r="O104" i="22"/>
  <c r="E97" i="12"/>
  <c r="E14" i="6" s="1"/>
  <c r="Q23" i="20" s="1"/>
  <c r="F16" i="24"/>
  <c r="M53" i="9"/>
  <c r="M52" i="9" s="1"/>
  <c r="M54" i="9" s="1"/>
  <c r="N84" i="22"/>
  <c r="Y6" i="9"/>
  <c r="G65" i="22"/>
  <c r="G83" i="22"/>
  <c r="G82" i="12"/>
  <c r="H40" i="9"/>
  <c r="I38" i="9"/>
  <c r="H6" i="24"/>
  <c r="H63" i="22"/>
  <c r="H37" i="22"/>
  <c r="I35" i="22"/>
  <c r="F38" i="24"/>
  <c r="F43" i="24" s="1"/>
  <c r="F47" i="24" s="1"/>
  <c r="F48" i="24" s="1"/>
  <c r="F27" i="24"/>
  <c r="F31" i="24" s="1"/>
  <c r="F32" i="24" s="1"/>
  <c r="O68" i="22"/>
  <c r="O88" i="22" s="1"/>
  <c r="O108" i="22" s="1"/>
  <c r="P40" i="22"/>
  <c r="F98" i="12"/>
  <c r="G94" i="12"/>
  <c r="G88" i="12"/>
  <c r="G89" i="12"/>
  <c r="G93" i="12"/>
  <c r="G95" i="12"/>
  <c r="G90" i="12"/>
  <c r="G92" i="12"/>
  <c r="G81" i="12"/>
  <c r="G86" i="12"/>
  <c r="G85" i="12"/>
  <c r="G91" i="12"/>
  <c r="G80" i="12"/>
  <c r="G87" i="12"/>
  <c r="G83" i="12"/>
  <c r="G84" i="12"/>
  <c r="G51" i="22"/>
  <c r="G22" i="24"/>
  <c r="G11" i="24"/>
  <c r="G15" i="24" s="1"/>
  <c r="G85" i="22" l="1"/>
  <c r="G103" i="22"/>
  <c r="G105" i="22" s="1"/>
  <c r="P104" i="22"/>
  <c r="G16" i="24"/>
  <c r="O84" i="22"/>
  <c r="G38" i="24"/>
  <c r="G43" i="24" s="1"/>
  <c r="G47" i="24" s="1"/>
  <c r="G48" i="24" s="1"/>
  <c r="G27" i="24"/>
  <c r="G31" i="24" s="1"/>
  <c r="G32" i="24" s="1"/>
  <c r="P68" i="22"/>
  <c r="P88" i="22" s="1"/>
  <c r="P108" i="22" s="1"/>
  <c r="Q40" i="22"/>
  <c r="F99" i="12"/>
  <c r="E13" i="6"/>
  <c r="H51" i="22"/>
  <c r="H22" i="24"/>
  <c r="H11" i="24"/>
  <c r="H15" i="24" s="1"/>
  <c r="Z6" i="9"/>
  <c r="I6" i="24"/>
  <c r="I63" i="22"/>
  <c r="I37" i="22"/>
  <c r="J35" i="22"/>
  <c r="H65" i="22"/>
  <c r="H83" i="22"/>
  <c r="I40" i="9"/>
  <c r="J38" i="9"/>
  <c r="Q104" i="22" l="1"/>
  <c r="H85" i="22"/>
  <c r="H103" i="22"/>
  <c r="H105" i="22" s="1"/>
  <c r="H16" i="24"/>
  <c r="E102" i="12"/>
  <c r="R34" i="11"/>
  <c r="I22" i="24"/>
  <c r="I11" i="24"/>
  <c r="I15" i="24" s="1"/>
  <c r="I65" i="22"/>
  <c r="I83" i="22"/>
  <c r="Q22" i="20"/>
  <c r="E15" i="6"/>
  <c r="Q24" i="20" s="1"/>
  <c r="Q68" i="22"/>
  <c r="Q88" i="22" s="1"/>
  <c r="Q108" i="22" s="1"/>
  <c r="R40" i="22"/>
  <c r="P84" i="22"/>
  <c r="J6" i="24"/>
  <c r="J63" i="22"/>
  <c r="J37" i="22"/>
  <c r="K35" i="22"/>
  <c r="I51" i="22"/>
  <c r="AA6" i="9"/>
  <c r="K38" i="9"/>
  <c r="J40" i="9"/>
  <c r="H38" i="24"/>
  <c r="H43" i="24" s="1"/>
  <c r="H47" i="24" s="1"/>
  <c r="H48" i="24" s="1"/>
  <c r="H27" i="24"/>
  <c r="H31" i="24" s="1"/>
  <c r="H32" i="24" s="1"/>
  <c r="I85" i="22" l="1"/>
  <c r="I103" i="22"/>
  <c r="I105" i="22" s="1"/>
  <c r="R104" i="22"/>
  <c r="I16" i="24"/>
  <c r="K6" i="24"/>
  <c r="K63" i="22"/>
  <c r="K37" i="22"/>
  <c r="L35" i="22"/>
  <c r="J51" i="22"/>
  <c r="J65" i="22"/>
  <c r="J83" i="22"/>
  <c r="J11" i="24"/>
  <c r="J15" i="24" s="1"/>
  <c r="J22" i="24"/>
  <c r="Q84" i="22"/>
  <c r="R68" i="22"/>
  <c r="R88" i="22" s="1"/>
  <c r="R108" i="22" s="1"/>
  <c r="S40" i="22"/>
  <c r="I27" i="24"/>
  <c r="I31" i="24" s="1"/>
  <c r="I32" i="24" s="1"/>
  <c r="I38" i="24"/>
  <c r="I43" i="24" s="1"/>
  <c r="I47" i="24" s="1"/>
  <c r="I48" i="24" s="1"/>
  <c r="K40" i="9"/>
  <c r="L38" i="9"/>
  <c r="AB6" i="9"/>
  <c r="J85" i="22" l="1"/>
  <c r="J103" i="22"/>
  <c r="J105" i="22" s="1"/>
  <c r="S104" i="22"/>
  <c r="J16" i="24"/>
  <c r="L6" i="24"/>
  <c r="L63" i="22"/>
  <c r="L37" i="22"/>
  <c r="M35" i="22"/>
  <c r="L40" i="9"/>
  <c r="M38" i="9"/>
  <c r="S68" i="22"/>
  <c r="S88" i="22" s="1"/>
  <c r="S108" i="22" s="1"/>
  <c r="T40" i="22"/>
  <c r="K65" i="22"/>
  <c r="K83" i="22"/>
  <c r="K22" i="24"/>
  <c r="K11" i="24"/>
  <c r="K15" i="24" s="1"/>
  <c r="R84" i="22"/>
  <c r="J38" i="24"/>
  <c r="J43" i="24" s="1"/>
  <c r="J47" i="24" s="1"/>
  <c r="J48" i="24" s="1"/>
  <c r="J27" i="24"/>
  <c r="J31" i="24" s="1"/>
  <c r="J32" i="24" s="1"/>
  <c r="K51" i="22"/>
  <c r="AC6" i="9"/>
  <c r="K85" i="22" l="1"/>
  <c r="K103" i="22"/>
  <c r="K105" i="22" s="1"/>
  <c r="T104" i="22"/>
  <c r="K16" i="24"/>
  <c r="L65" i="22"/>
  <c r="L83" i="22"/>
  <c r="S84" i="22"/>
  <c r="L51" i="22"/>
  <c r="L11" i="24"/>
  <c r="L15" i="24" s="1"/>
  <c r="L22" i="24"/>
  <c r="T68" i="22"/>
  <c r="T88" i="22" s="1"/>
  <c r="T108" i="22" s="1"/>
  <c r="U40" i="22"/>
  <c r="M6" i="24"/>
  <c r="M63" i="22"/>
  <c r="M37" i="22"/>
  <c r="N35" i="22"/>
  <c r="M40" i="9"/>
  <c r="N38" i="9"/>
  <c r="K38" i="24"/>
  <c r="K43" i="24" s="1"/>
  <c r="K47" i="24" s="1"/>
  <c r="K48" i="24" s="1"/>
  <c r="K27" i="24"/>
  <c r="K31" i="24" s="1"/>
  <c r="K32" i="24" s="1"/>
  <c r="L85" i="22" l="1"/>
  <c r="L103" i="22"/>
  <c r="L105" i="22" s="1"/>
  <c r="U104" i="22"/>
  <c r="L16" i="24"/>
  <c r="L38" i="24"/>
  <c r="L43" i="24" s="1"/>
  <c r="L47" i="24" s="1"/>
  <c r="L48" i="24" s="1"/>
  <c r="L27" i="24"/>
  <c r="L31" i="24" s="1"/>
  <c r="L32" i="24" s="1"/>
  <c r="T84" i="22"/>
  <c r="M11" i="24"/>
  <c r="M15" i="24" s="1"/>
  <c r="M22" i="24"/>
  <c r="M51" i="22"/>
  <c r="U68" i="22"/>
  <c r="U88" i="22" s="1"/>
  <c r="U108" i="22" s="1"/>
  <c r="V40" i="22"/>
  <c r="N6" i="24"/>
  <c r="N63" i="22"/>
  <c r="N37" i="22"/>
  <c r="O35" i="22"/>
  <c r="M65" i="22"/>
  <c r="M83" i="22"/>
  <c r="N40" i="9"/>
  <c r="O38" i="9"/>
  <c r="M85" i="22" l="1"/>
  <c r="M103" i="22"/>
  <c r="M105" i="22" s="1"/>
  <c r="V104" i="22"/>
  <c r="M16" i="24"/>
  <c r="O40" i="9"/>
  <c r="P38" i="9"/>
  <c r="N22" i="24"/>
  <c r="N11" i="24"/>
  <c r="O63" i="22"/>
  <c r="O37" i="22"/>
  <c r="P35" i="22"/>
  <c r="O6" i="24"/>
  <c r="N65" i="22"/>
  <c r="N83" i="22"/>
  <c r="M38" i="24"/>
  <c r="M43" i="24" s="1"/>
  <c r="M47" i="24" s="1"/>
  <c r="M48" i="24" s="1"/>
  <c r="M27" i="24"/>
  <c r="M31" i="24" s="1"/>
  <c r="M32" i="24" s="1"/>
  <c r="V68" i="22"/>
  <c r="V88" i="22" s="1"/>
  <c r="V108" i="22" s="1"/>
  <c r="W40" i="22"/>
  <c r="U84" i="22"/>
  <c r="N85" i="22" l="1"/>
  <c r="N103" i="22"/>
  <c r="N105" i="22" s="1"/>
  <c r="W104" i="22"/>
  <c r="O11" i="24"/>
  <c r="O22" i="24"/>
  <c r="P40" i="9"/>
  <c r="Q38" i="9"/>
  <c r="O65" i="22"/>
  <c r="O83" i="22"/>
  <c r="P6" i="24"/>
  <c r="P63" i="22"/>
  <c r="P37" i="22"/>
  <c r="Q35" i="22"/>
  <c r="V84" i="22"/>
  <c r="N27" i="24"/>
  <c r="N31" i="24" s="1"/>
  <c r="N32" i="24" s="1"/>
  <c r="N38" i="24"/>
  <c r="N43" i="24" s="1"/>
  <c r="N47" i="24" s="1"/>
  <c r="N48" i="24" s="1"/>
  <c r="W68" i="22"/>
  <c r="W88" i="22" s="1"/>
  <c r="W108" i="22" s="1"/>
  <c r="X40" i="22"/>
  <c r="X104" i="22" l="1"/>
  <c r="O85" i="22"/>
  <c r="O103" i="22"/>
  <c r="O105" i="22" s="1"/>
  <c r="X68" i="22"/>
  <c r="X88" i="22" s="1"/>
  <c r="X108" i="22" s="1"/>
  <c r="Y40" i="22"/>
  <c r="P65" i="22"/>
  <c r="P83" i="22"/>
  <c r="P22" i="24"/>
  <c r="P11" i="24"/>
  <c r="Q63" i="22"/>
  <c r="Q37" i="22"/>
  <c r="R35" i="22"/>
  <c r="Q6" i="24"/>
  <c r="Q40" i="9"/>
  <c r="R38" i="9"/>
  <c r="W84" i="22"/>
  <c r="O27" i="24"/>
  <c r="O31" i="24" s="1"/>
  <c r="O32" i="24" s="1"/>
  <c r="O38" i="24"/>
  <c r="O43" i="24" s="1"/>
  <c r="O47" i="24" s="1"/>
  <c r="O48" i="24" s="1"/>
  <c r="P85" i="22" l="1"/>
  <c r="P103" i="22"/>
  <c r="P105" i="22" s="1"/>
  <c r="Y104" i="22"/>
  <c r="R63" i="22"/>
  <c r="R37" i="22"/>
  <c r="S35" i="22"/>
  <c r="R6" i="24"/>
  <c r="Y68" i="22"/>
  <c r="Y88" i="22" s="1"/>
  <c r="Y108" i="22" s="1"/>
  <c r="Z40" i="22"/>
  <c r="Q22" i="24"/>
  <c r="Q11" i="24"/>
  <c r="Q65" i="22"/>
  <c r="Q83" i="22"/>
  <c r="R40" i="9"/>
  <c r="S38" i="9"/>
  <c r="P38" i="24"/>
  <c r="P43" i="24" s="1"/>
  <c r="P47" i="24" s="1"/>
  <c r="P48" i="24" s="1"/>
  <c r="P27" i="24"/>
  <c r="P31" i="24" s="1"/>
  <c r="P32" i="24" s="1"/>
  <c r="X84" i="22"/>
  <c r="Q85" i="22" l="1"/>
  <c r="Q103" i="22"/>
  <c r="Q105" i="22" s="1"/>
  <c r="Z104" i="22"/>
  <c r="S63" i="22"/>
  <c r="S37" i="22"/>
  <c r="T35" i="22"/>
  <c r="S6" i="24"/>
  <c r="R11" i="24"/>
  <c r="R22" i="24"/>
  <c r="Y84" i="22"/>
  <c r="R83" i="22"/>
  <c r="R65" i="22"/>
  <c r="Z68" i="22"/>
  <c r="Z88" i="22" s="1"/>
  <c r="Z108" i="22" s="1"/>
  <c r="AA40" i="22"/>
  <c r="S40" i="9"/>
  <c r="T38" i="9"/>
  <c r="Q27" i="24"/>
  <c r="Q38" i="24"/>
  <c r="Q43" i="24" s="1"/>
  <c r="Q47" i="24" s="1"/>
  <c r="Q48" i="24" s="1"/>
  <c r="R85" i="22" l="1"/>
  <c r="R103" i="22"/>
  <c r="R105" i="22" s="1"/>
  <c r="AA104" i="22"/>
  <c r="Z84" i="22"/>
  <c r="R38" i="24"/>
  <c r="R43" i="24" s="1"/>
  <c r="R47" i="24" s="1"/>
  <c r="R48" i="24" s="1"/>
  <c r="R27" i="24"/>
  <c r="S22" i="24"/>
  <c r="S11" i="24"/>
  <c r="T63" i="22"/>
  <c r="T37" i="22"/>
  <c r="U35" i="22"/>
  <c r="T6" i="24"/>
  <c r="S83" i="22"/>
  <c r="S65" i="22"/>
  <c r="T40" i="9"/>
  <c r="U38" i="9"/>
  <c r="AA68" i="22"/>
  <c r="AA88" i="22" s="1"/>
  <c r="AA108" i="22" s="1"/>
  <c r="AB40" i="22"/>
  <c r="AB68" i="22" s="1"/>
  <c r="AB88" i="22" s="1"/>
  <c r="AB108" i="22" s="1"/>
  <c r="S85" i="22" l="1"/>
  <c r="S103" i="22"/>
  <c r="S105" i="22" s="1"/>
  <c r="AB104" i="22"/>
  <c r="AA84" i="22"/>
  <c r="T22" i="24"/>
  <c r="T11" i="24"/>
  <c r="U40" i="9"/>
  <c r="V38" i="9"/>
  <c r="U6" i="24"/>
  <c r="U63" i="22"/>
  <c r="U37" i="22"/>
  <c r="V35" i="22"/>
  <c r="T83" i="22"/>
  <c r="T65" i="22"/>
  <c r="S38" i="24"/>
  <c r="S43" i="24" s="1"/>
  <c r="S27" i="24"/>
  <c r="T85" i="22" l="1"/>
  <c r="T103" i="22"/>
  <c r="T105" i="22" s="1"/>
  <c r="V6" i="24"/>
  <c r="W35" i="22"/>
  <c r="V37" i="22"/>
  <c r="V63" i="22"/>
  <c r="U83" i="22"/>
  <c r="U65" i="22"/>
  <c r="U11" i="24"/>
  <c r="U22" i="24"/>
  <c r="AB84" i="22"/>
  <c r="T27" i="24"/>
  <c r="T38" i="24"/>
  <c r="T43" i="24" s="1"/>
  <c r="V40" i="9"/>
  <c r="W38" i="9"/>
  <c r="U85" i="22" l="1"/>
  <c r="U103" i="22"/>
  <c r="U105" i="22" s="1"/>
  <c r="W40" i="9"/>
  <c r="X38" i="9"/>
  <c r="V22" i="24"/>
  <c r="V11" i="24"/>
  <c r="V65" i="22"/>
  <c r="V83" i="22"/>
  <c r="W6" i="24"/>
  <c r="W37" i="22"/>
  <c r="W63" i="22"/>
  <c r="X35" i="22"/>
  <c r="U38" i="24"/>
  <c r="U43" i="24" s="1"/>
  <c r="U27" i="24"/>
  <c r="V85" i="22" l="1"/>
  <c r="V103" i="22"/>
  <c r="V105" i="22" s="1"/>
  <c r="V38" i="24"/>
  <c r="V43" i="24" s="1"/>
  <c r="V27" i="24"/>
  <c r="X6" i="24"/>
  <c r="X63" i="22"/>
  <c r="X37" i="22"/>
  <c r="Y35" i="22"/>
  <c r="W65" i="22"/>
  <c r="W83" i="22"/>
  <c r="W22" i="24"/>
  <c r="W11" i="24"/>
  <c r="X40" i="9"/>
  <c r="Y38" i="9"/>
  <c r="W85" i="22" l="1"/>
  <c r="W103" i="22"/>
  <c r="W105" i="22" s="1"/>
  <c r="Y6" i="24"/>
  <c r="Y63" i="22"/>
  <c r="Y37" i="22"/>
  <c r="Z35" i="22"/>
  <c r="Y40" i="9"/>
  <c r="Z38" i="9"/>
  <c r="X65" i="22"/>
  <c r="X83" i="22"/>
  <c r="W38" i="24"/>
  <c r="W43" i="24" s="1"/>
  <c r="W27" i="24"/>
  <c r="X22" i="24"/>
  <c r="X11" i="24"/>
  <c r="X85" i="22" l="1"/>
  <c r="X103" i="22"/>
  <c r="X105" i="22" s="1"/>
  <c r="AA38" i="9"/>
  <c r="Z40" i="9"/>
  <c r="Z6" i="24"/>
  <c r="Z63" i="22"/>
  <c r="Z37" i="22"/>
  <c r="AA35" i="22"/>
  <c r="Y65" i="22"/>
  <c r="Y83" i="22"/>
  <c r="X38" i="24"/>
  <c r="X43" i="24" s="1"/>
  <c r="X27" i="24"/>
  <c r="Y22" i="24"/>
  <c r="Y11" i="24"/>
  <c r="Y85" i="22" l="1"/>
  <c r="Y103" i="22"/>
  <c r="Y105" i="22" s="1"/>
  <c r="Z11" i="24"/>
  <c r="Z22" i="24"/>
  <c r="Y27" i="24"/>
  <c r="Y38" i="24"/>
  <c r="Y43" i="24" s="1"/>
  <c r="AA40" i="9"/>
  <c r="AB38" i="9"/>
  <c r="AB40" i="9" s="1"/>
  <c r="AA6" i="24"/>
  <c r="AA63" i="22"/>
  <c r="AA37" i="22"/>
  <c r="AB35" i="22"/>
  <c r="Z65" i="22"/>
  <c r="Z83" i="22"/>
  <c r="Z85" i="22" l="1"/>
  <c r="Z103" i="22"/>
  <c r="Z105" i="22" s="1"/>
  <c r="C70" i="9"/>
  <c r="Z38" i="24"/>
  <c r="Z43" i="24" s="1"/>
  <c r="Z27" i="24"/>
  <c r="AB6" i="24"/>
  <c r="AB63" i="22"/>
  <c r="AB37" i="22"/>
  <c r="AA22" i="24"/>
  <c r="AA11" i="24"/>
  <c r="AA65" i="22"/>
  <c r="AA83" i="22"/>
  <c r="AA85" i="22" l="1"/>
  <c r="AA103" i="22"/>
  <c r="AA105" i="22" s="1"/>
  <c r="AB65" i="22"/>
  <c r="AB83" i="22"/>
  <c r="AA38" i="24"/>
  <c r="AA43" i="24" s="1"/>
  <c r="AA27" i="24"/>
  <c r="C126" i="22"/>
  <c r="AB11" i="24"/>
  <c r="AB22" i="24"/>
  <c r="AB85" i="22" l="1"/>
  <c r="AB103" i="22"/>
  <c r="AB105" i="22" s="1"/>
  <c r="AB38" i="24"/>
  <c r="AB43" i="24" s="1"/>
  <c r="AB27" i="24"/>
  <c r="C93" i="8"/>
  <c r="D93" i="8"/>
  <c r="E93" i="8" s="1"/>
  <c r="F93" i="8" l="1"/>
  <c r="B84" i="8" s="1"/>
  <c r="B94" i="8" s="1"/>
  <c r="C94" i="8"/>
  <c r="D84" i="8" l="1"/>
  <c r="D94" i="8" s="1"/>
  <c r="B95" i="8"/>
  <c r="E94" i="8"/>
  <c r="F84" i="8" l="1"/>
  <c r="F94" i="8" s="1"/>
  <c r="G84" i="8" s="1"/>
  <c r="I13" i="4"/>
  <c r="M29" i="20" s="1"/>
  <c r="H14" i="21"/>
  <c r="G89" i="8" l="1"/>
  <c r="F95" i="8"/>
  <c r="H13" i="21" s="1"/>
  <c r="G93" i="8"/>
  <c r="G79" i="8"/>
  <c r="G11" i="30" s="1"/>
  <c r="H11" i="30" s="1"/>
  <c r="I11" i="30" s="1"/>
  <c r="G83" i="8"/>
  <c r="G88" i="8"/>
  <c r="G86" i="8"/>
  <c r="G81" i="8"/>
  <c r="G92" i="8"/>
  <c r="G85" i="8"/>
  <c r="G91" i="8"/>
  <c r="G90" i="8"/>
  <c r="G82" i="8"/>
  <c r="G75" i="8"/>
  <c r="G8" i="30" s="1"/>
  <c r="H8" i="30" s="1"/>
  <c r="I8" i="30" s="1"/>
  <c r="B63" i="8"/>
  <c r="B67" i="8" s="1"/>
  <c r="G77" i="8"/>
  <c r="G12" i="30" s="1"/>
  <c r="G80" i="8"/>
  <c r="G13" i="30" s="1"/>
  <c r="H13" i="30" s="1"/>
  <c r="I13" i="30" s="1"/>
  <c r="G78" i="8"/>
  <c r="G10" i="30" s="1"/>
  <c r="H10" i="30" s="1"/>
  <c r="I10" i="30" s="1"/>
  <c r="G76" i="8"/>
  <c r="G9" i="30" s="1"/>
  <c r="H9" i="30" s="1"/>
  <c r="I9" i="30" s="1"/>
  <c r="G87" i="8"/>
  <c r="H12" i="30" l="1"/>
  <c r="I12" i="30" s="1"/>
  <c r="L11" i="30"/>
  <c r="M11" i="30" s="1"/>
  <c r="N11" i="30" s="1"/>
  <c r="F96" i="8"/>
  <c r="I12" i="4"/>
  <c r="M28" i="20" s="1"/>
  <c r="I17" i="30"/>
  <c r="H97" i="8" l="1"/>
  <c r="J97" i="8" s="1"/>
  <c r="H15" i="21"/>
  <c r="E99" i="8"/>
  <c r="D46" i="1" s="1"/>
  <c r="I14" i="4"/>
  <c r="E37" i="8"/>
  <c r="D44" i="1"/>
  <c r="E35" i="8"/>
  <c r="D13" i="31" l="1"/>
  <c r="D19" i="31" s="1"/>
  <c r="B3" i="28"/>
  <c r="D10" i="22"/>
  <c r="B4" i="28"/>
  <c r="M30" i="20"/>
  <c r="J26" i="25"/>
  <c r="D10" i="9"/>
  <c r="D20" i="31" l="1"/>
  <c r="D18" i="31"/>
  <c r="G47" i="9"/>
  <c r="G46" i="9" s="1"/>
  <c r="H47" i="9"/>
  <c r="H46" i="9" s="1"/>
  <c r="E47" i="9"/>
  <c r="E46" i="9" s="1"/>
  <c r="D9" i="9"/>
  <c r="D11" i="9"/>
  <c r="C72" i="9" s="1"/>
  <c r="F47" i="9"/>
  <c r="F46" i="9" s="1"/>
  <c r="I47" i="9"/>
  <c r="I46" i="9" s="1"/>
  <c r="C36" i="9"/>
  <c r="C68" i="9"/>
  <c r="C80" i="9"/>
  <c r="D13" i="9"/>
  <c r="D43" i="9" s="1"/>
  <c r="E42" i="9"/>
  <c r="C95" i="9"/>
  <c r="F4" i="28"/>
  <c r="C96" i="9" s="1"/>
  <c r="G4" i="28"/>
  <c r="D11" i="22"/>
  <c r="E39" i="22" s="1"/>
  <c r="D9" i="22"/>
  <c r="I43" i="22"/>
  <c r="I71" i="22" s="1"/>
  <c r="I91" i="22" s="1"/>
  <c r="I111" i="22" s="1"/>
  <c r="G43" i="22"/>
  <c r="G71" i="22" s="1"/>
  <c r="G91" i="22" s="1"/>
  <c r="G111" i="22" s="1"/>
  <c r="H43" i="22"/>
  <c r="H71" i="22" s="1"/>
  <c r="H91" i="22" s="1"/>
  <c r="H111" i="22" s="1"/>
  <c r="E43" i="22"/>
  <c r="E71" i="22" s="1"/>
  <c r="E91" i="22" s="1"/>
  <c r="E111" i="22" s="1"/>
  <c r="C34" i="22"/>
  <c r="D12" i="22"/>
  <c r="F43" i="22"/>
  <c r="F71" i="22" s="1"/>
  <c r="F91" i="22" s="1"/>
  <c r="F111" i="22" s="1"/>
  <c r="F3" i="28"/>
  <c r="H3" i="28"/>
  <c r="G3" i="28"/>
  <c r="C97" i="9" l="1"/>
  <c r="M48" i="20" s="1"/>
  <c r="H4" i="28"/>
  <c r="X7" i="9"/>
  <c r="X9" i="9" s="1"/>
  <c r="U7" i="9"/>
  <c r="U9" i="9" s="1"/>
  <c r="AA7" i="9"/>
  <c r="AA9" i="9" s="1"/>
  <c r="V7" i="9"/>
  <c r="V9" i="9" s="1"/>
  <c r="S7" i="9"/>
  <c r="S9" i="9" s="1"/>
  <c r="W7" i="9"/>
  <c r="W9" i="9" s="1"/>
  <c r="T7" i="9"/>
  <c r="T9" i="9" s="1"/>
  <c r="AC7" i="9"/>
  <c r="AC9" i="9" s="1"/>
  <c r="AB7" i="9"/>
  <c r="AB9" i="9" s="1"/>
  <c r="R7" i="9"/>
  <c r="Z7" i="9"/>
  <c r="Z9" i="9" s="1"/>
  <c r="Y7" i="9"/>
  <c r="Y9" i="9" s="1"/>
  <c r="F42" i="9"/>
  <c r="E57" i="9"/>
  <c r="D60" i="9"/>
  <c r="E43" i="9"/>
  <c r="F43" i="9" s="1"/>
  <c r="G43" i="9" s="1"/>
  <c r="H43" i="9" s="1"/>
  <c r="I43" i="9" s="1"/>
  <c r="J43" i="9" s="1"/>
  <c r="K43" i="9" s="1"/>
  <c r="L43" i="9" s="1"/>
  <c r="M43" i="9" s="1"/>
  <c r="N43" i="9" s="1"/>
  <c r="O43" i="9" s="1"/>
  <c r="P43" i="9" s="1"/>
  <c r="Q43" i="9" s="1"/>
  <c r="R43" i="9" s="1"/>
  <c r="S43" i="9" s="1"/>
  <c r="T43" i="9" s="1"/>
  <c r="U43" i="9" s="1"/>
  <c r="V43" i="9" s="1"/>
  <c r="W43" i="9" s="1"/>
  <c r="X43" i="9" s="1"/>
  <c r="Y43" i="9" s="1"/>
  <c r="Z43" i="9" s="1"/>
  <c r="AA43" i="9" s="1"/>
  <c r="AB43" i="9" s="1"/>
  <c r="C124" i="22"/>
  <c r="C51" i="22"/>
  <c r="C48" i="22"/>
  <c r="C62" i="22"/>
  <c r="C60" i="9"/>
  <c r="C57" i="9"/>
  <c r="D44" i="22"/>
  <c r="E44" i="22"/>
  <c r="E72" i="22" s="1"/>
  <c r="E92" i="22" s="1"/>
  <c r="E112" i="22" s="1"/>
  <c r="G44" i="22"/>
  <c r="G72" i="22" s="1"/>
  <c r="G92" i="22" s="1"/>
  <c r="G112" i="22" s="1"/>
  <c r="H44" i="22"/>
  <c r="H72" i="22" s="1"/>
  <c r="H92" i="22" s="1"/>
  <c r="H112" i="22" s="1"/>
  <c r="F44" i="22"/>
  <c r="F72" i="22" s="1"/>
  <c r="F92" i="22" s="1"/>
  <c r="F112" i="22" s="1"/>
  <c r="F39" i="22"/>
  <c r="E67" i="22"/>
  <c r="C49" i="22" l="1"/>
  <c r="D52" i="22"/>
  <c r="D48" i="22"/>
  <c r="D72" i="22"/>
  <c r="C58" i="9"/>
  <c r="D58" i="9" s="1"/>
  <c r="C52" i="22"/>
  <c r="C54" i="22"/>
  <c r="F60" i="9"/>
  <c r="G42" i="9"/>
  <c r="F57" i="9"/>
  <c r="C61" i="9"/>
  <c r="D61" i="9" s="1"/>
  <c r="C76" i="22"/>
  <c r="C82" i="22"/>
  <c r="C102" i="22" s="1"/>
  <c r="E87" i="22"/>
  <c r="E76" i="22"/>
  <c r="C137" i="22"/>
  <c r="C138" i="22" s="1"/>
  <c r="C139" i="22" s="1"/>
  <c r="G39" i="22"/>
  <c r="F67" i="22"/>
  <c r="F48" i="22"/>
  <c r="F52" i="22"/>
  <c r="E48" i="22"/>
  <c r="E60" i="9"/>
  <c r="C98" i="9"/>
  <c r="R9" i="9"/>
  <c r="E52" i="22"/>
  <c r="E96" i="22" l="1"/>
  <c r="E107" i="22"/>
  <c r="E116" i="22" s="1"/>
  <c r="C96" i="22"/>
  <c r="C97" i="22" s="1"/>
  <c r="C116" i="22"/>
  <c r="E61" i="9"/>
  <c r="F61" i="9" s="1"/>
  <c r="D49" i="22"/>
  <c r="G67" i="22"/>
  <c r="G48" i="22"/>
  <c r="H39" i="22"/>
  <c r="G52" i="22"/>
  <c r="C53" i="22"/>
  <c r="D53" i="22" s="1"/>
  <c r="E53" i="22" s="1"/>
  <c r="F53" i="22" s="1"/>
  <c r="E58" i="9"/>
  <c r="F58" i="9" s="1"/>
  <c r="D92" i="22"/>
  <c r="D76" i="22"/>
  <c r="C77" i="22"/>
  <c r="H42" i="9"/>
  <c r="G60" i="9"/>
  <c r="G57" i="9"/>
  <c r="F87" i="22"/>
  <c r="F76" i="22"/>
  <c r="C117" i="22" l="1"/>
  <c r="D96" i="22"/>
  <c r="D112" i="22"/>
  <c r="D116" i="22" s="1"/>
  <c r="F96" i="22"/>
  <c r="F107" i="22"/>
  <c r="F116" i="22" s="1"/>
  <c r="G53" i="22"/>
  <c r="D77" i="22"/>
  <c r="E77" i="22" s="1"/>
  <c r="F77" i="22" s="1"/>
  <c r="I39" i="22"/>
  <c r="H52" i="22"/>
  <c r="H67" i="22"/>
  <c r="H48" i="22"/>
  <c r="I42" i="9"/>
  <c r="H60" i="9"/>
  <c r="H57" i="9"/>
  <c r="E49" i="22"/>
  <c r="F49" i="22" s="1"/>
  <c r="G49" i="22" s="1"/>
  <c r="G87" i="22"/>
  <c r="G76" i="22"/>
  <c r="G61" i="9"/>
  <c r="G58" i="9"/>
  <c r="D117" i="22" l="1"/>
  <c r="E117" i="22" s="1"/>
  <c r="F117" i="22" s="1"/>
  <c r="D97" i="22"/>
  <c r="E97" i="22" s="1"/>
  <c r="F97" i="22" s="1"/>
  <c r="G96" i="22"/>
  <c r="G107" i="22"/>
  <c r="G116" i="22" s="1"/>
  <c r="H53" i="22"/>
  <c r="H49" i="22"/>
  <c r="G77" i="22"/>
  <c r="J42" i="9"/>
  <c r="I57" i="9"/>
  <c r="I60" i="9"/>
  <c r="H61" i="9"/>
  <c r="H87" i="22"/>
  <c r="H76" i="22"/>
  <c r="J39" i="22"/>
  <c r="I67" i="22"/>
  <c r="I52" i="22"/>
  <c r="I48" i="22"/>
  <c r="H58" i="9"/>
  <c r="G97" i="22" l="1"/>
  <c r="H96" i="22"/>
  <c r="H107" i="22"/>
  <c r="H116" i="22" s="1"/>
  <c r="G117" i="22"/>
  <c r="I49" i="22"/>
  <c r="I53" i="22"/>
  <c r="H77" i="22"/>
  <c r="I58" i="9"/>
  <c r="I87" i="22"/>
  <c r="I76" i="22"/>
  <c r="K42" i="9"/>
  <c r="J57" i="9"/>
  <c r="J60" i="9"/>
  <c r="J67" i="22"/>
  <c r="J52" i="22"/>
  <c r="K39" i="22"/>
  <c r="J48" i="22"/>
  <c r="I61" i="9"/>
  <c r="H97" i="22" l="1"/>
  <c r="H117" i="22"/>
  <c r="I96" i="22"/>
  <c r="I107" i="22"/>
  <c r="I116" i="22" s="1"/>
  <c r="I77" i="22"/>
  <c r="J58" i="9"/>
  <c r="K52" i="22"/>
  <c r="K67" i="22"/>
  <c r="L39" i="22"/>
  <c r="K48" i="22"/>
  <c r="J87" i="22"/>
  <c r="J76" i="22"/>
  <c r="L42" i="9"/>
  <c r="K60" i="9"/>
  <c r="K57" i="9"/>
  <c r="J53" i="22"/>
  <c r="J61" i="9"/>
  <c r="J49" i="22"/>
  <c r="I97" i="22" l="1"/>
  <c r="I117" i="22"/>
  <c r="J96" i="22"/>
  <c r="J107" i="22"/>
  <c r="J116" i="22" s="1"/>
  <c r="J77" i="22"/>
  <c r="K58" i="9"/>
  <c r="K49" i="22"/>
  <c r="K87" i="22"/>
  <c r="K76" i="22"/>
  <c r="M42" i="9"/>
  <c r="L60" i="9"/>
  <c r="L57" i="9"/>
  <c r="L52" i="22"/>
  <c r="L48" i="22"/>
  <c r="L67" i="22"/>
  <c r="M39" i="22"/>
  <c r="K61" i="9"/>
  <c r="K53" i="22"/>
  <c r="J97" i="22" l="1"/>
  <c r="J117" i="22"/>
  <c r="K96" i="22"/>
  <c r="K107" i="22"/>
  <c r="K116" i="22" s="1"/>
  <c r="K77" i="22"/>
  <c r="L58" i="9"/>
  <c r="N42" i="9"/>
  <c r="M57" i="9"/>
  <c r="C86" i="9" s="1"/>
  <c r="M35" i="20" s="1"/>
  <c r="M60" i="9"/>
  <c r="C75" i="9" s="1"/>
  <c r="M48" i="22"/>
  <c r="M52" i="22"/>
  <c r="C55" i="22" s="1"/>
  <c r="M67" i="22"/>
  <c r="N39" i="22"/>
  <c r="L49" i="22"/>
  <c r="L61" i="9"/>
  <c r="L87" i="22"/>
  <c r="L76" i="22"/>
  <c r="L53" i="22"/>
  <c r="K97" i="22" l="1"/>
  <c r="K117" i="22"/>
  <c r="L96" i="22"/>
  <c r="L107" i="22"/>
  <c r="L116" i="22" s="1"/>
  <c r="L77" i="22"/>
  <c r="M61" i="9"/>
  <c r="N13" i="24"/>
  <c r="N15" i="24" s="1"/>
  <c r="N16" i="24" s="1"/>
  <c r="O39" i="22"/>
  <c r="N67" i="22"/>
  <c r="N48" i="22"/>
  <c r="G121" i="22"/>
  <c r="I121" i="22" s="1"/>
  <c r="M120" i="22"/>
  <c r="O42" i="9"/>
  <c r="N57" i="9"/>
  <c r="N60" i="9"/>
  <c r="M53" i="22"/>
  <c r="M58" i="9"/>
  <c r="M49" i="22"/>
  <c r="M87" i="22"/>
  <c r="M76" i="22"/>
  <c r="L97" i="22" l="1"/>
  <c r="L117" i="22"/>
  <c r="M96" i="22"/>
  <c r="M107" i="22"/>
  <c r="M116" i="22" s="1"/>
  <c r="M77" i="22"/>
  <c r="N61" i="9"/>
  <c r="N49" i="22"/>
  <c r="N58" i="9"/>
  <c r="N76" i="22"/>
  <c r="N87" i="22"/>
  <c r="O13" i="24"/>
  <c r="O15" i="24" s="1"/>
  <c r="O16" i="24" s="1"/>
  <c r="O67" i="22"/>
  <c r="O48" i="22"/>
  <c r="P39" i="22"/>
  <c r="P42" i="9"/>
  <c r="O60" i="9"/>
  <c r="O57" i="9"/>
  <c r="M97" i="22" l="1"/>
  <c r="M117" i="22"/>
  <c r="N96" i="22"/>
  <c r="N107" i="22"/>
  <c r="N116" i="22" s="1"/>
  <c r="O58" i="9"/>
  <c r="N77" i="22"/>
  <c r="O49" i="22"/>
  <c r="O61" i="9"/>
  <c r="P67" i="22"/>
  <c r="P13" i="24"/>
  <c r="P15" i="24" s="1"/>
  <c r="P16" i="24" s="1"/>
  <c r="P48" i="22"/>
  <c r="Q39" i="22"/>
  <c r="O76" i="22"/>
  <c r="G122" i="22" s="1"/>
  <c r="I122" i="22" s="1"/>
  <c r="O87" i="22"/>
  <c r="P57" i="9"/>
  <c r="P60" i="9"/>
  <c r="Q42" i="9"/>
  <c r="N97" i="22" l="1"/>
  <c r="N117" i="22"/>
  <c r="O96" i="22"/>
  <c r="O107" i="22"/>
  <c r="O116" i="22" s="1"/>
  <c r="P58" i="9"/>
  <c r="P49" i="22"/>
  <c r="P61" i="9"/>
  <c r="Q60" i="9"/>
  <c r="Q57" i="9"/>
  <c r="R42" i="9"/>
  <c r="R39" i="22"/>
  <c r="Q13" i="24"/>
  <c r="Q67" i="22"/>
  <c r="Q48" i="22"/>
  <c r="P76" i="22"/>
  <c r="P87" i="22"/>
  <c r="O77" i="22"/>
  <c r="O97" i="22" l="1"/>
  <c r="O117" i="22"/>
  <c r="P96" i="22"/>
  <c r="P107" i="22"/>
  <c r="P116" i="22" s="1"/>
  <c r="Q58" i="9"/>
  <c r="Q49" i="22"/>
  <c r="Q61" i="9"/>
  <c r="P77" i="22"/>
  <c r="Q76" i="22"/>
  <c r="Q87" i="22"/>
  <c r="Q29" i="24"/>
  <c r="Q31" i="24" s="1"/>
  <c r="Q32" i="24" s="1"/>
  <c r="Q15" i="24"/>
  <c r="Q16" i="24" s="1"/>
  <c r="S39" i="22"/>
  <c r="R13" i="24"/>
  <c r="R48" i="22"/>
  <c r="R67" i="22"/>
  <c r="R60" i="9"/>
  <c r="R57" i="9"/>
  <c r="S42" i="9"/>
  <c r="P97" i="22" l="1"/>
  <c r="P117" i="22"/>
  <c r="Q96" i="22"/>
  <c r="Q107" i="22"/>
  <c r="Q116" i="22" s="1"/>
  <c r="R49" i="22"/>
  <c r="R58" i="9"/>
  <c r="R61" i="9"/>
  <c r="Q77" i="22"/>
  <c r="T42" i="9"/>
  <c r="S57" i="9"/>
  <c r="S60" i="9"/>
  <c r="R15" i="24"/>
  <c r="R16" i="24" s="1"/>
  <c r="R29" i="24"/>
  <c r="R31" i="24" s="1"/>
  <c r="R32" i="24" s="1"/>
  <c r="T39" i="22"/>
  <c r="S48" i="22"/>
  <c r="S13" i="24"/>
  <c r="S67" i="22"/>
  <c r="R76" i="22"/>
  <c r="R87" i="22"/>
  <c r="Q97" i="22" l="1"/>
  <c r="Q117" i="22"/>
  <c r="R96" i="22"/>
  <c r="G123" i="22" s="1"/>
  <c r="R107" i="22"/>
  <c r="R116" i="22" s="1"/>
  <c r="S49" i="22"/>
  <c r="S58" i="9"/>
  <c r="S61" i="9"/>
  <c r="R77" i="22"/>
  <c r="S76" i="22"/>
  <c r="S87" i="22"/>
  <c r="S29" i="24"/>
  <c r="S15" i="24"/>
  <c r="S16" i="24" s="1"/>
  <c r="U39" i="22"/>
  <c r="T13" i="24"/>
  <c r="T67" i="22"/>
  <c r="T48" i="22"/>
  <c r="T57" i="9"/>
  <c r="T60" i="9"/>
  <c r="U42" i="9"/>
  <c r="I123" i="22" l="1"/>
  <c r="R97" i="22"/>
  <c r="R117" i="22"/>
  <c r="S96" i="22"/>
  <c r="S107" i="22"/>
  <c r="S116" i="22" s="1"/>
  <c r="T49" i="22"/>
  <c r="T58" i="9"/>
  <c r="T61" i="9"/>
  <c r="S77" i="22"/>
  <c r="T87" i="22"/>
  <c r="T76" i="22"/>
  <c r="S45" i="24"/>
  <c r="S47" i="24" s="1"/>
  <c r="S48" i="24" s="1"/>
  <c r="S31" i="24"/>
  <c r="S32" i="24" s="1"/>
  <c r="T15" i="24"/>
  <c r="T16" i="24" s="1"/>
  <c r="T29" i="24"/>
  <c r="U67" i="22"/>
  <c r="U13" i="24"/>
  <c r="V39" i="22"/>
  <c r="U48" i="22"/>
  <c r="U60" i="9"/>
  <c r="U57" i="9"/>
  <c r="V42" i="9"/>
  <c r="S97" i="22" l="1"/>
  <c r="S117" i="22"/>
  <c r="T96" i="22"/>
  <c r="T107" i="22"/>
  <c r="T116" i="22" s="1"/>
  <c r="U58" i="9"/>
  <c r="U49" i="22"/>
  <c r="U61" i="9"/>
  <c r="T77" i="22"/>
  <c r="W39" i="22"/>
  <c r="V67" i="22"/>
  <c r="V13" i="24"/>
  <c r="V48" i="22"/>
  <c r="U29" i="24"/>
  <c r="U15" i="24"/>
  <c r="U16" i="24" s="1"/>
  <c r="T31" i="24"/>
  <c r="T32" i="24" s="1"/>
  <c r="T45" i="24"/>
  <c r="T47" i="24" s="1"/>
  <c r="T48" i="24" s="1"/>
  <c r="W42" i="9"/>
  <c r="V57" i="9"/>
  <c r="V60" i="9"/>
  <c r="U76" i="22"/>
  <c r="U87" i="22"/>
  <c r="T97" i="22" l="1"/>
  <c r="T117" i="22"/>
  <c r="U96" i="22"/>
  <c r="U107" i="22"/>
  <c r="U116" i="22" s="1"/>
  <c r="V58" i="9"/>
  <c r="V49" i="22"/>
  <c r="V61" i="9"/>
  <c r="U77" i="22"/>
  <c r="U31" i="24"/>
  <c r="U32" i="24" s="1"/>
  <c r="U45" i="24"/>
  <c r="U47" i="24" s="1"/>
  <c r="U48" i="24" s="1"/>
  <c r="W57" i="9"/>
  <c r="X42" i="9"/>
  <c r="W60" i="9"/>
  <c r="V29" i="24"/>
  <c r="V15" i="24"/>
  <c r="V16" i="24" s="1"/>
  <c r="V87" i="22"/>
  <c r="V76" i="22"/>
  <c r="X39" i="22"/>
  <c r="W13" i="24"/>
  <c r="W67" i="22"/>
  <c r="W48" i="22"/>
  <c r="U97" i="22" l="1"/>
  <c r="U117" i="22"/>
  <c r="V96" i="22"/>
  <c r="V107" i="22"/>
  <c r="V116" i="22" s="1"/>
  <c r="W49" i="22"/>
  <c r="W58" i="9"/>
  <c r="W61" i="9"/>
  <c r="V77" i="22"/>
  <c r="X60" i="9"/>
  <c r="Y42" i="9"/>
  <c r="X57" i="9"/>
  <c r="X13" i="24"/>
  <c r="Y39" i="22"/>
  <c r="X48" i="22"/>
  <c r="X67" i="22"/>
  <c r="V31" i="24"/>
  <c r="V32" i="24" s="1"/>
  <c r="V45" i="24"/>
  <c r="V47" i="24" s="1"/>
  <c r="V48" i="24" s="1"/>
  <c r="W76" i="22"/>
  <c r="W87" i="22"/>
  <c r="W15" i="24"/>
  <c r="W16" i="24" s="1"/>
  <c r="W29" i="24"/>
  <c r="V97" i="22" l="1"/>
  <c r="V117" i="22"/>
  <c r="W96" i="22"/>
  <c r="W107" i="22"/>
  <c r="W116" i="22" s="1"/>
  <c r="G124" i="22" s="1"/>
  <c r="I124" i="22" s="1"/>
  <c r="X49" i="22"/>
  <c r="X58" i="9"/>
  <c r="X61" i="9"/>
  <c r="W77" i="22"/>
  <c r="X29" i="24"/>
  <c r="X15" i="24"/>
  <c r="X16" i="24" s="1"/>
  <c r="Y48" i="22"/>
  <c r="Z39" i="22"/>
  <c r="Y67" i="22"/>
  <c r="Y13" i="24"/>
  <c r="Y57" i="9"/>
  <c r="Y60" i="9"/>
  <c r="Z42" i="9"/>
  <c r="W31" i="24"/>
  <c r="W32" i="24" s="1"/>
  <c r="W45" i="24"/>
  <c r="W47" i="24" s="1"/>
  <c r="W48" i="24" s="1"/>
  <c r="X87" i="22"/>
  <c r="X76" i="22"/>
  <c r="W97" i="22" l="1"/>
  <c r="W117" i="22"/>
  <c r="X96" i="22"/>
  <c r="X107" i="22"/>
  <c r="X116" i="22" s="1"/>
  <c r="Y49" i="22"/>
  <c r="Y58" i="9"/>
  <c r="Y61" i="9"/>
  <c r="X77" i="22"/>
  <c r="Y87" i="22"/>
  <c r="Y76" i="22"/>
  <c r="Z13" i="24"/>
  <c r="Z48" i="22"/>
  <c r="Z67" i="22"/>
  <c r="AA39" i="22"/>
  <c r="Y15" i="24"/>
  <c r="Y16" i="24" s="1"/>
  <c r="Y29" i="24"/>
  <c r="X31" i="24"/>
  <c r="X32" i="24" s="1"/>
  <c r="X45" i="24"/>
  <c r="X47" i="24" s="1"/>
  <c r="X48" i="24" s="1"/>
  <c r="Z57" i="9"/>
  <c r="Z60" i="9"/>
  <c r="AA42" i="9"/>
  <c r="X97" i="22" l="1"/>
  <c r="X117" i="22"/>
  <c r="Y96" i="22"/>
  <c r="Y107" i="22"/>
  <c r="Y116" i="22" s="1"/>
  <c r="Z49" i="22"/>
  <c r="Z58" i="9"/>
  <c r="Z61" i="9"/>
  <c r="Y77" i="22"/>
  <c r="AA67" i="22"/>
  <c r="AA13" i="24"/>
  <c r="AB39" i="22"/>
  <c r="AA48" i="22"/>
  <c r="Z29" i="24"/>
  <c r="Z15" i="24"/>
  <c r="Z16" i="24" s="1"/>
  <c r="Y45" i="24"/>
  <c r="Y47" i="24" s="1"/>
  <c r="Y48" i="24" s="1"/>
  <c r="Y31" i="24"/>
  <c r="Y32" i="24" s="1"/>
  <c r="Z76" i="22"/>
  <c r="Z87" i="22"/>
  <c r="AB42" i="9"/>
  <c r="AA57" i="9"/>
  <c r="AA60" i="9"/>
  <c r="Y97" i="22" l="1"/>
  <c r="Y117" i="22"/>
  <c r="Z96" i="22"/>
  <c r="Z107" i="22"/>
  <c r="Z116" i="22" s="1"/>
  <c r="AA49" i="22"/>
  <c r="AA58" i="9"/>
  <c r="AA61" i="9"/>
  <c r="Z77" i="22"/>
  <c r="AA76" i="22"/>
  <c r="AA87" i="22"/>
  <c r="Z45" i="24"/>
  <c r="Z47" i="24" s="1"/>
  <c r="Z48" i="24" s="1"/>
  <c r="Z31" i="24"/>
  <c r="Z32" i="24" s="1"/>
  <c r="AB67" i="22"/>
  <c r="AB48" i="22"/>
  <c r="AB13" i="24"/>
  <c r="C128" i="22"/>
  <c r="AA29" i="24"/>
  <c r="AA15" i="24"/>
  <c r="AA16" i="24" s="1"/>
  <c r="AB57" i="9"/>
  <c r="C87" i="9" s="1"/>
  <c r="M36" i="20" s="1"/>
  <c r="AB60" i="9"/>
  <c r="C85" i="9"/>
  <c r="M34" i="20" s="1"/>
  <c r="C73" i="9"/>
  <c r="Z97" i="22" l="1"/>
  <c r="Z117" i="22"/>
  <c r="AA96" i="22"/>
  <c r="AA107" i="22"/>
  <c r="AA116" i="22" s="1"/>
  <c r="AA77" i="22"/>
  <c r="AA45" i="24"/>
  <c r="AA47" i="24" s="1"/>
  <c r="AA48" i="24" s="1"/>
  <c r="AA31" i="24"/>
  <c r="AA32" i="24" s="1"/>
  <c r="AB15" i="24"/>
  <c r="AB16" i="24" s="1"/>
  <c r="AK17" i="24" s="1"/>
  <c r="AB29" i="24"/>
  <c r="C127" i="22"/>
  <c r="C129" i="22"/>
  <c r="AB87" i="22"/>
  <c r="AB76" i="22"/>
  <c r="AB49" i="22"/>
  <c r="C131" i="22" s="1"/>
  <c r="C74" i="9"/>
  <c r="C71" i="9"/>
  <c r="C84" i="9"/>
  <c r="AB61" i="9"/>
  <c r="AB58" i="9"/>
  <c r="C88" i="9" s="1"/>
  <c r="M37" i="20" s="1"/>
  <c r="M38" i="20" s="1"/>
  <c r="AA97" i="22" l="1"/>
  <c r="AA117" i="22"/>
  <c r="AB96" i="22"/>
  <c r="AB107" i="22"/>
  <c r="AB116" i="22" s="1"/>
  <c r="AB77" i="22"/>
  <c r="AB45" i="24"/>
  <c r="AB47" i="24" s="1"/>
  <c r="AB48" i="24" s="1"/>
  <c r="AB31" i="24"/>
  <c r="AB32" i="24" s="1"/>
  <c r="M85" i="9"/>
  <c r="C77" i="9"/>
  <c r="AB97" i="22" l="1"/>
  <c r="AB117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tc={7A8C6001-19A7-2D4A-A618-063D816A9E5A}</author>
  </authors>
  <commentList>
    <comment ref="R27" authorId="0" shapeId="0" xr:uid="{7A8C6001-19A7-2D4A-A618-063D816A9E5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mas de 3 series, ojala maximo 2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Hugo</author>
  </authors>
  <commentList>
    <comment ref="F18" authorId="0" shapeId="0" xr:uid="{84F25E92-EF36-4A60-9833-91FF22C91668}">
      <text>
        <r>
          <rPr>
            <b/>
            <sz val="9"/>
            <color rgb="FF000000"/>
            <rFont val="Tahoma"/>
            <family val="2"/>
          </rPr>
          <t>Rami: esta tabla es para llevar un control presupuestal de los componentes mas grandes del sistema</t>
        </r>
      </text>
    </comment>
  </commentList>
</comments>
</file>

<file path=xl/sharedStrings.xml><?xml version="1.0" encoding="utf-8"?>
<sst xmlns="http://schemas.openxmlformats.org/spreadsheetml/2006/main" count="15124" uniqueCount="4590">
  <si>
    <t>Residencial</t>
  </si>
  <si>
    <t>Igual durante todos los dias</t>
  </si>
  <si>
    <t>Residencia</t>
  </si>
  <si>
    <t>Industrial</t>
  </si>
  <si>
    <t>Si</t>
  </si>
  <si>
    <t>Consumo semana y fines de semana diferenciados</t>
  </si>
  <si>
    <t>industrial</t>
  </si>
  <si>
    <t>Comercial</t>
  </si>
  <si>
    <t>No</t>
  </si>
  <si>
    <t>Consumo semana, Sabado y Domingo diferenciados</t>
  </si>
  <si>
    <t>Oficial</t>
  </si>
  <si>
    <t>Paneles Solares</t>
  </si>
  <si>
    <t>Tipo de Panel</t>
  </si>
  <si>
    <t>Descripcion</t>
  </si>
  <si>
    <t>Ancho (m)</t>
  </si>
  <si>
    <t>Largo (m)</t>
  </si>
  <si>
    <t>Voltaje pico (V)</t>
  </si>
  <si>
    <t>Potencia Pico (W)</t>
  </si>
  <si>
    <t>Voltaje de circuito abierto (Voc)</t>
  </si>
  <si>
    <t>Corriente de corto circuito (Icc)</t>
  </si>
  <si>
    <t>Precio</t>
  </si>
  <si>
    <t>Cliente</t>
  </si>
  <si>
    <t>Tipo de Cliente</t>
  </si>
  <si>
    <t>Ciudad</t>
  </si>
  <si>
    <t>Medellín</t>
  </si>
  <si>
    <t>Nombre</t>
  </si>
  <si>
    <t>Apellidos</t>
  </si>
  <si>
    <t>Proyecto</t>
  </si>
  <si>
    <t>e-mail</t>
  </si>
  <si>
    <t>¿Venta de excedentes?</t>
  </si>
  <si>
    <t>Numero de contacto</t>
  </si>
  <si>
    <t>Dirección</t>
  </si>
  <si>
    <t>Beneficios de la ley 1715</t>
  </si>
  <si>
    <t>Consumos</t>
  </si>
  <si>
    <t>Inversores y Microinversores</t>
  </si>
  <si>
    <t>Consumos mensuales (kWh)</t>
  </si>
  <si>
    <t>Instalación</t>
  </si>
  <si>
    <t>Costo kWh base</t>
  </si>
  <si>
    <t>Tipo de cubierta/montaje</t>
  </si>
  <si>
    <t xml:space="preserve">Tipo  </t>
  </si>
  <si>
    <t>Teja de barro</t>
  </si>
  <si>
    <t>potencia (VA)</t>
  </si>
  <si>
    <t>Comercialización</t>
  </si>
  <si>
    <t>mppt's de entrada (A)</t>
  </si>
  <si>
    <t>voltaje de entrada maximo  (V)</t>
  </si>
  <si>
    <t>voltaje salida nominal  (V)</t>
  </si>
  <si>
    <t>Corriente de corto circuito Icc (A)</t>
  </si>
  <si>
    <t>corriente de salida nominal Imax (A)</t>
  </si>
  <si>
    <t>Eficiencia (%)</t>
  </si>
  <si>
    <t>Generación (kWh)</t>
  </si>
  <si>
    <t xml:space="preserve">Ahorro </t>
  </si>
  <si>
    <t>Enero</t>
  </si>
  <si>
    <t>Generación</t>
  </si>
  <si>
    <t>Tipo de inversores</t>
  </si>
  <si>
    <t>¿Contribución?</t>
  </si>
  <si>
    <t>Febrero</t>
  </si>
  <si>
    <t>Marzo</t>
  </si>
  <si>
    <t>Costo total por kWh</t>
  </si>
  <si>
    <t>Abril</t>
  </si>
  <si>
    <t>Accesorios y cables</t>
  </si>
  <si>
    <t>Mayo</t>
  </si>
  <si>
    <t>tipo</t>
  </si>
  <si>
    <t>Precio /unidad</t>
  </si>
  <si>
    <t>unidad</t>
  </si>
  <si>
    <t>Junio</t>
  </si>
  <si>
    <t>DPS SUPRESOR</t>
  </si>
  <si>
    <t>Julio</t>
  </si>
  <si>
    <t>Agosto</t>
  </si>
  <si>
    <t>CABLE THHNT/THWN No 12 BLANCO</t>
  </si>
  <si>
    <t>m</t>
  </si>
  <si>
    <t>Septiembre</t>
  </si>
  <si>
    <t>CABLE THHNT/THWN No 12 ROJO</t>
  </si>
  <si>
    <t>CABLE THHNT/THWN No 12 NEGRO</t>
  </si>
  <si>
    <t>CABLE THHNT/THWN No 12 VERDE</t>
  </si>
  <si>
    <t>Octubre</t>
  </si>
  <si>
    <t>GRAPA EMT 1/2</t>
  </si>
  <si>
    <t>Restricciones de Instalación</t>
  </si>
  <si>
    <t>PAR CONECTOR MC4 SIMPLE</t>
  </si>
  <si>
    <t>Noviembre</t>
  </si>
  <si>
    <t>CABLE FOTOVOLTAICO 4MM</t>
  </si>
  <si>
    <t>CABLE THHN/THWN 8 NEGRO</t>
  </si>
  <si>
    <t>Potencia Instalada [kWp (DC)]</t>
  </si>
  <si>
    <t>CABLE THHN/THWN 8 ROJO</t>
  </si>
  <si>
    <t>Diciembre</t>
  </si>
  <si>
    <t>GAVINETE EMPALME</t>
  </si>
  <si>
    <t>Area disponible [m2]</t>
  </si>
  <si>
    <t>CAJA EMPALME</t>
  </si>
  <si>
    <t>Horas</t>
  </si>
  <si>
    <t>Consumo</t>
  </si>
  <si>
    <t>RIEL OMEGA</t>
  </si>
  <si>
    <t>Presupuesto</t>
  </si>
  <si>
    <t>PERFIL RANURADO</t>
  </si>
  <si>
    <t>TOMA EXTENSION</t>
  </si>
  <si>
    <t>CONECTOR VARIABLE</t>
  </si>
  <si>
    <t>CHAZO MARIPOSA</t>
  </si>
  <si>
    <t>TERMINAL PONCHAR</t>
  </si>
  <si>
    <t>PRENSA ESTOPA</t>
  </si>
  <si>
    <t>TORNILLO DE 3/8</t>
  </si>
  <si>
    <t>TUERCA HEXAGONAL</t>
  </si>
  <si>
    <t>% del consumo que desea ahorrar</t>
  </si>
  <si>
    <t>TORNILLO ENSAMNBLE 1X8</t>
  </si>
  <si>
    <t>ARANDELA REDONDA 5/32</t>
  </si>
  <si>
    <t>TORNILLO ENSAMBLE 1 1/2</t>
  </si>
  <si>
    <t>TORNILLO ENSAMBLE 2X8</t>
  </si>
  <si>
    <t>TORNILLO BROCA LAMINA</t>
  </si>
  <si>
    <t>CONECTOR METALICO</t>
  </si>
  <si>
    <t>GRAPA 1/2</t>
  </si>
  <si>
    <t>CINTA AISLANTE 3M</t>
  </si>
  <si>
    <t>CORREA PLASTICA</t>
  </si>
  <si>
    <t>BREAKER RIEL 2X20A</t>
  </si>
  <si>
    <t>TORNILLO BROCA LAMINA 1.1/2X8</t>
  </si>
  <si>
    <t>TORNILLO BROCA LAMINA 2X8</t>
  </si>
  <si>
    <t>Total</t>
  </si>
  <si>
    <t xml:space="preserve">Estructura </t>
  </si>
  <si>
    <t>RETIE</t>
  </si>
  <si>
    <t>SERVICIO CERTIF. RETIE</t>
  </si>
  <si>
    <t>CAJA DE CONTADOR</t>
  </si>
  <si>
    <t>Horas de sol al día</t>
  </si>
  <si>
    <t>https://www.energie.ws/datos-radiacion-solar-colombia-atla</t>
  </si>
  <si>
    <t>DATOS DE SALIDA</t>
  </si>
  <si>
    <t>Radiación (kWh/m2/día)</t>
  </si>
  <si>
    <t>¿Cumple con restricción de Área?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</si>
  <si>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</si>
  <si>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</si>
  <si>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</si>
  <si>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</si>
  <si>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</si>
  <si>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</si>
  <si>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</si>
  <si>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</si>
  <si>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</si>
  <si>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</si>
  <si>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</si>
  <si>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Rionegro</t>
  </si>
  <si>
    <t>Santafe de Antioquia</t>
  </si>
  <si>
    <t>Barranquilla</t>
  </si>
  <si>
    <t>Parametros de diseño (por año)</t>
  </si>
  <si>
    <t>Bogota</t>
  </si>
  <si>
    <t>Valor</t>
  </si>
  <si>
    <t>Imagen</t>
  </si>
  <si>
    <t>Descripción</t>
  </si>
  <si>
    <t>Cant.</t>
  </si>
  <si>
    <t>consumo (kWh/año)</t>
  </si>
  <si>
    <t>Generación (kWh/año)</t>
  </si>
  <si>
    <t>% Generación</t>
  </si>
  <si>
    <t>Area de Instalación</t>
  </si>
  <si>
    <t>Pago de Energía(COP/año)</t>
  </si>
  <si>
    <t>Ahorro económico (COP/año)</t>
  </si>
  <si>
    <t>% Ahorro economico</t>
  </si>
  <si>
    <t>Accesorios, Tablero de protección con cajas, fusibles y protecciones, DPS en DC, cables, entre otros</t>
  </si>
  <si>
    <t xml:space="preserve">Estructura para paneles solares con sus accesorios </t>
  </si>
  <si>
    <t xml:space="preserve">Instalación, transporte, supervisión y puesta en marcha del sistema fotovoltaico </t>
  </si>
  <si>
    <t>Servicio de certiﬁcación de cumplimiento RETIE para la instalación fotovoltaica</t>
  </si>
  <si>
    <t xml:space="preserve">IVA </t>
  </si>
  <si>
    <t>Gómez</t>
  </si>
  <si>
    <t>Cuadro de cargas</t>
  </si>
  <si>
    <t>Potencia [W]</t>
  </si>
  <si>
    <t>Controlador</t>
  </si>
  <si>
    <t>Baterias</t>
  </si>
  <si>
    <t>Paneles</t>
  </si>
  <si>
    <t>Voltaje</t>
  </si>
  <si>
    <t>Predimensionamiento</t>
  </si>
  <si>
    <t>Numero de paneles</t>
  </si>
  <si>
    <t>Numero de inversores</t>
  </si>
  <si>
    <t>Ubicación del proyecto</t>
  </si>
  <si>
    <t>Froilan</t>
  </si>
  <si>
    <t>Hacienda Valle Real</t>
  </si>
  <si>
    <t># de paneles</t>
  </si>
  <si>
    <t>Precio estructura</t>
  </si>
  <si>
    <t>Precio por panel</t>
  </si>
  <si>
    <t>teja de zinc</t>
  </si>
  <si>
    <t>terreno</t>
  </si>
  <si>
    <t>Capurgana</t>
  </si>
  <si>
    <t>Stafe mauro</t>
  </si>
  <si>
    <t>Promedio</t>
  </si>
  <si>
    <t>Teja de Barro</t>
  </si>
  <si>
    <t>Precio /Panel</t>
  </si>
  <si>
    <t>Promedio dia</t>
  </si>
  <si>
    <t xml:space="preserve">Prom anual de consumo </t>
  </si>
  <si>
    <t>kwh/año</t>
  </si>
  <si>
    <t>kWh/dia</t>
  </si>
  <si>
    <t>Porcentaje de energia generada</t>
  </si>
  <si>
    <t>Consumo a suplir con el sistema</t>
  </si>
  <si>
    <t>Promedio diario de horas de sol pico</t>
  </si>
  <si>
    <t>Potencia necesaria del arreglo</t>
  </si>
  <si>
    <t>factor de perdidas</t>
  </si>
  <si>
    <t>eficiencia del inversor</t>
  </si>
  <si>
    <t>kWp</t>
  </si>
  <si>
    <t>Potencia Nominal del panel</t>
  </si>
  <si>
    <t>W</t>
  </si>
  <si>
    <t># de Paneles</t>
  </si>
  <si>
    <t>Potencia Max de los paneles</t>
  </si>
  <si>
    <t>Potencia del inversor</t>
  </si>
  <si>
    <t># de inversores</t>
  </si>
  <si>
    <t>Costo</t>
  </si>
  <si>
    <t>costo</t>
  </si>
  <si>
    <t>total</t>
  </si>
  <si>
    <t>Costos</t>
  </si>
  <si>
    <t>inversores</t>
  </si>
  <si>
    <t>Accesorios</t>
  </si>
  <si>
    <t>Estructura</t>
  </si>
  <si>
    <t>COSTO ANTES DE IVA</t>
  </si>
  <si>
    <t>COSTO 1</t>
  </si>
  <si>
    <t>PRECIO 1</t>
  </si>
  <si>
    <t>Rentabilidad</t>
  </si>
  <si>
    <t>PRECIO 2</t>
  </si>
  <si>
    <t>IVA</t>
  </si>
  <si>
    <t>PRECIO TOTAL</t>
  </si>
  <si>
    <t>Area</t>
  </si>
  <si>
    <t>m2</t>
  </si>
  <si>
    <t>Potencia Instalada</t>
  </si>
  <si>
    <t>Generación de Energía</t>
  </si>
  <si>
    <t>kWh/año</t>
  </si>
  <si>
    <t xml:space="preserve">Perdida de Eficiencia </t>
  </si>
  <si>
    <t>%</t>
  </si>
  <si>
    <t>Costo por kWp</t>
  </si>
  <si>
    <t>$/kWp</t>
  </si>
  <si>
    <t>CAPEX</t>
  </si>
  <si>
    <t>$</t>
  </si>
  <si>
    <t>OPEX</t>
  </si>
  <si>
    <t>$/año</t>
  </si>
  <si>
    <t>Seguros</t>
  </si>
  <si>
    <t>Tarifa Eléctrica</t>
  </si>
  <si>
    <t>$/kWh</t>
  </si>
  <si>
    <t>IPC</t>
  </si>
  <si>
    <t>IPP</t>
  </si>
  <si>
    <t>Costo de Oportunidad</t>
  </si>
  <si>
    <t>año 0</t>
  </si>
  <si>
    <t>año 1</t>
  </si>
  <si>
    <t>año 2</t>
  </si>
  <si>
    <t>año 3</t>
  </si>
  <si>
    <t>año 4</t>
  </si>
  <si>
    <t>año 5</t>
  </si>
  <si>
    <t>año 6</t>
  </si>
  <si>
    <t>año 7</t>
  </si>
  <si>
    <t>año 8</t>
  </si>
  <si>
    <t>año 9</t>
  </si>
  <si>
    <t>año 10</t>
  </si>
  <si>
    <t>año 11</t>
  </si>
  <si>
    <t>año 12</t>
  </si>
  <si>
    <t>año 13</t>
  </si>
  <si>
    <t>año 14</t>
  </si>
  <si>
    <t>año 15</t>
  </si>
  <si>
    <t>año 16</t>
  </si>
  <si>
    <t>año 17</t>
  </si>
  <si>
    <t>año 18</t>
  </si>
  <si>
    <t>año 19</t>
  </si>
  <si>
    <t>año 20</t>
  </si>
  <si>
    <t>año 21</t>
  </si>
  <si>
    <t>año 22</t>
  </si>
  <si>
    <t>año 23</t>
  </si>
  <si>
    <t>año 24</t>
  </si>
  <si>
    <t>año 25</t>
  </si>
  <si>
    <t>-</t>
  </si>
  <si>
    <t>Inversión Inicial</t>
  </si>
  <si>
    <t>Energía Desplazada</t>
  </si>
  <si>
    <t>+</t>
  </si>
  <si>
    <t>Ahorro de Energía</t>
  </si>
  <si>
    <t>Operación y Mantenimiento</t>
  </si>
  <si>
    <t>Cambio de Inversor</t>
  </si>
  <si>
    <t>Flujo de Caja</t>
  </si>
  <si>
    <t>Flujo de Caja Acumulado</t>
  </si>
  <si>
    <t>Costo del proyecto</t>
  </si>
  <si>
    <t>Ingreso Anual</t>
  </si>
  <si>
    <t>Valor presente neto (VPN)</t>
  </si>
  <si>
    <t>Retorno de la inversión (PRI)</t>
  </si>
  <si>
    <t>Indicadores financieros</t>
  </si>
  <si>
    <t>208/220/240</t>
  </si>
  <si>
    <t>208/240</t>
  </si>
  <si>
    <t>Inversor</t>
  </si>
  <si>
    <t>Microinversor</t>
  </si>
  <si>
    <t>Herbalife</t>
  </si>
  <si>
    <t>viaticos</t>
  </si>
  <si>
    <t>mano de obra</t>
  </si>
  <si>
    <t>Salario Ing.</t>
  </si>
  <si>
    <t># de Ingenieros</t>
  </si>
  <si>
    <t># de Tecnicos</t>
  </si>
  <si>
    <t>TOTAL</t>
  </si>
  <si>
    <t>$ de ing/kW</t>
  </si>
  <si>
    <t>¿Requiere contador bidireccional?</t>
  </si>
  <si>
    <t>Viaticos certificador RETIE</t>
  </si>
  <si>
    <t>dia</t>
  </si>
  <si>
    <t>CONCEPTO</t>
  </si>
  <si>
    <t>DEPENDECIA</t>
  </si>
  <si>
    <t>CABLE AC</t>
  </si>
  <si>
    <t>CABLE DC</t>
  </si>
  <si>
    <t xml:space="preserve">COOPEX </t>
  </si>
  <si>
    <t>COMPRA DE TEJAS POR REPOSICIÓN</t>
  </si>
  <si>
    <t>Precio unitario</t>
  </si>
  <si>
    <t>Unidad</t>
  </si>
  <si>
    <t>DC</t>
  </si>
  <si>
    <t>AC</t>
  </si>
  <si>
    <t>FIJOS</t>
  </si>
  <si>
    <t># DE PANELES</t>
  </si>
  <si>
    <t>Cantidad por metro</t>
  </si>
  <si>
    <t>CONECTOR EMPALME (encauchetado)</t>
  </si>
  <si>
    <t>Dias de Instalación sin embebido</t>
  </si>
  <si>
    <t xml:space="preserve">Dias de Instalación </t>
  </si>
  <si>
    <t>Sistema de puesta a tierra</t>
  </si>
  <si>
    <t>disco de corte</t>
  </si>
  <si>
    <t>Metraje aproximado de cable  requerido AC [m]</t>
  </si>
  <si>
    <t>Metraje aproximado de cable Solar requerido DC [m]</t>
  </si>
  <si>
    <t>tuberia PVC Conduit</t>
  </si>
  <si>
    <t xml:space="preserve">cemento </t>
  </si>
  <si>
    <t>Pintura</t>
  </si>
  <si>
    <t>arena [1m3]</t>
  </si>
  <si>
    <t>Consumo unicamente en el dia</t>
  </si>
  <si>
    <t>Consumo las 24 h</t>
  </si>
  <si>
    <t>Consumo en las mañanas y en las noches</t>
  </si>
  <si>
    <t>Tipo de sistema</t>
  </si>
  <si>
    <t>Comisión</t>
  </si>
  <si>
    <t>Hugo</t>
  </si>
  <si>
    <t>Potencia pico [kWp]</t>
  </si>
  <si>
    <t>On grid</t>
  </si>
  <si>
    <t>Simón Garcia</t>
  </si>
  <si>
    <t>Fecha de cotización</t>
  </si>
  <si>
    <t>Fecha de vencimiento</t>
  </si>
  <si>
    <t>Valor total</t>
  </si>
  <si>
    <t>hugo.gomez@mundosos.com</t>
  </si>
  <si>
    <t>Datos de referencia</t>
  </si>
  <si>
    <t>Cargas individuales</t>
  </si>
  <si>
    <t>Cant</t>
  </si>
  <si>
    <t>Corriente</t>
  </si>
  <si>
    <t>Uso</t>
  </si>
  <si>
    <t>División</t>
  </si>
  <si>
    <t>CA</t>
  </si>
  <si>
    <t>CC</t>
  </si>
  <si>
    <t>h/día</t>
  </si>
  <si>
    <t>días/sem</t>
  </si>
  <si>
    <t>DATOS DE ENTRADA OFF GRID</t>
  </si>
  <si>
    <t>Tipo de carga</t>
  </si>
  <si>
    <t>amarillo</t>
  </si>
  <si>
    <t>#d2ab05</t>
  </si>
  <si>
    <t>verde</t>
  </si>
  <si>
    <t>#445c24</t>
  </si>
  <si>
    <t>azul</t>
  </si>
  <si>
    <t>#0b6c84</t>
  </si>
  <si>
    <t>Color</t>
  </si>
  <si>
    <t>RGB</t>
  </si>
  <si>
    <t>r</t>
  </si>
  <si>
    <t>g</t>
  </si>
  <si>
    <t>b</t>
  </si>
  <si>
    <t>gris</t>
  </si>
  <si>
    <t>#9b9a9a</t>
  </si>
  <si>
    <t>Carga CA promedio diaria</t>
  </si>
  <si>
    <t>Eficiencia del inversor</t>
  </si>
  <si>
    <t>Voltaje CC del sistema</t>
  </si>
  <si>
    <t>Promedio diario</t>
  </si>
  <si>
    <t>Días de autonomía</t>
  </si>
  <si>
    <t>Limite de descarga</t>
  </si>
  <si>
    <t>Capacidad Ah de la Batería</t>
  </si>
  <si>
    <t>Baterías en paralelo</t>
  </si>
  <si>
    <t>Voltaje de las baterías</t>
  </si>
  <si>
    <t>Baterías en seríe</t>
  </si>
  <si>
    <t>Total baterías</t>
  </si>
  <si>
    <t>[wh/día]</t>
  </si>
  <si>
    <t>[%]</t>
  </si>
  <si>
    <t>[V]</t>
  </si>
  <si>
    <t>[Ah]</t>
  </si>
  <si>
    <t>[Días]</t>
  </si>
  <si>
    <t>[unid]</t>
  </si>
  <si>
    <t>Potencia CA total conectada</t>
  </si>
  <si>
    <t>Potencia CC total conectada</t>
  </si>
  <si>
    <t>Carga CA total conectada</t>
  </si>
  <si>
    <t>Carga CC total conectada</t>
  </si>
  <si>
    <t>Voltaje del sistema cc</t>
  </si>
  <si>
    <t>Dias de autonomía</t>
  </si>
  <si>
    <t>Capacitadad Ah de la batería</t>
  </si>
  <si>
    <t>Voltaje de la Batería</t>
  </si>
  <si>
    <t>Eficiencia de las baterías</t>
  </si>
  <si>
    <t>Eficiencia de la batería</t>
  </si>
  <si>
    <t>Horas sol pico/día</t>
  </si>
  <si>
    <t>[h]</t>
  </si>
  <si>
    <t>Corriente pico del arreglo</t>
  </si>
  <si>
    <t>Corriente pico/modulo</t>
  </si>
  <si>
    <t>Modulos en paralelo</t>
  </si>
  <si>
    <t>Corriente de corto circuito del modulo</t>
  </si>
  <si>
    <t>Voltaje nominal del modulo</t>
  </si>
  <si>
    <t>Total de modulos</t>
  </si>
  <si>
    <t>[A]</t>
  </si>
  <si>
    <t>Modulos en serie</t>
  </si>
  <si>
    <t>Para sacar del lugar</t>
  </si>
  <si>
    <t>hsp</t>
  </si>
  <si>
    <t>Imp</t>
  </si>
  <si>
    <t>Potencia de paneles</t>
  </si>
  <si>
    <t>Isc</t>
  </si>
  <si>
    <t>Vnominal</t>
  </si>
  <si>
    <t>Factor de seguridad</t>
  </si>
  <si>
    <t>Corriente de corto circuito del arreglo</t>
  </si>
  <si>
    <t>Corriente del arreglo del controlador</t>
  </si>
  <si>
    <t>Potencia total conectada CC</t>
  </si>
  <si>
    <t>Corriente de carga del controlador</t>
  </si>
  <si>
    <t>Corriente maxima en cargas CC</t>
  </si>
  <si>
    <t>Potencia de sobre tension estimada</t>
  </si>
  <si>
    <t>Corriente del controlador</t>
  </si>
  <si>
    <t>voltaje nominal</t>
  </si>
  <si>
    <t>[W]</t>
  </si>
  <si>
    <t>Numero de controladores</t>
  </si>
  <si>
    <t>Valor del proyecto</t>
  </si>
  <si>
    <t>Voltaje de salida del sistema</t>
  </si>
  <si>
    <t>Voltaje nominal</t>
  </si>
  <si>
    <t>Capacidad en picos de corriente</t>
  </si>
  <si>
    <t>Corriente pico</t>
  </si>
  <si>
    <t>Potencia CA total conectada [W]</t>
  </si>
  <si>
    <t xml:space="preserve">Potencia Instalada </t>
  </si>
  <si>
    <t>Calibre alimentador</t>
  </si>
  <si>
    <t>Liliana</t>
  </si>
  <si>
    <t>USD</t>
  </si>
  <si>
    <t>BlueSolar MPPT 75/10 Retail Victron Energy</t>
  </si>
  <si>
    <t>BlueSolar MPPT 75/15 Retail Victron Energy</t>
  </si>
  <si>
    <t>BlueSolar MPPT 100/15 Retail Victron Energy</t>
  </si>
  <si>
    <t>BlueSolar MPPT 100/30 Victron Energy</t>
  </si>
  <si>
    <t>BlueSolar MPPT 150/35 Victron Energy</t>
  </si>
  <si>
    <t>BlueSolar MPPT 100/50 Victron Energy</t>
  </si>
  <si>
    <t>BlueSolar MPPT 150/60-Tr Victron Energy</t>
  </si>
  <si>
    <t>BlueSolar MPPT 150/60-MC4 Victron Energy</t>
  </si>
  <si>
    <t>BlueSolar MPPT 150/70-Tr Victron Energy</t>
  </si>
  <si>
    <t>BlueSolar MPPT 150/70-MC4 Victron Energy</t>
  </si>
  <si>
    <t>SmartSolar MPPT 75/10 Retail Victron Energy</t>
  </si>
  <si>
    <t>SmartSolar MPPT 75/15 Retail Victron Energy</t>
  </si>
  <si>
    <t>SmartSolar MPPT 100/15 Retail Victron Energy</t>
  </si>
  <si>
    <t>SmartSolar MPPT 100/30 Victron Energy</t>
  </si>
  <si>
    <t>SmartSolar MPPT 100/50 Victron Energy</t>
  </si>
  <si>
    <t>SmartSolar MPPT 150/35 Victron Energy</t>
  </si>
  <si>
    <t>SmartSolar MPPT 150/60-Tr Victron Energy</t>
  </si>
  <si>
    <t>SmartSolar MPPT 150/60-MC4 Victron Energy</t>
  </si>
  <si>
    <t>SmartSolar MPPT 150/70-Tr Victron Energy</t>
  </si>
  <si>
    <t>SmartSolar MPPT 150/70-Tr VE.Can Victron Energy</t>
  </si>
  <si>
    <t>SmartSolar MPPT 150/100-Tr VE.Can Victron Energy</t>
  </si>
  <si>
    <t>SmartSolar MPPT 250/60-Tr Victron Energy</t>
  </si>
  <si>
    <t>SmartSolar MPPT 250/60-MC4 Victron Energy</t>
  </si>
  <si>
    <t>SmartSolar MPPT 250/70-Tr Victron Energy</t>
  </si>
  <si>
    <t>SmartSolar MPPT 250/70-Tr VE.Can Victron Energy</t>
  </si>
  <si>
    <t>SmartSolar MPPT 250/85-Tr VE.Can Victron Energy</t>
  </si>
  <si>
    <t>SmartSolar MPPT 250/100-Tr VE.Can Victron Energy</t>
  </si>
  <si>
    <t>Controladores</t>
  </si>
  <si>
    <t>MultiPlus 12/3000/120-50 120V VE.Bus (UL) Victron Energy</t>
  </si>
  <si>
    <t>Quattro 12/5000/220-100/100 120V VE.Bus Victron Energy</t>
  </si>
  <si>
    <t>MultiPlus Compact 24/2000/50-50 120V VE.Bus Victron Energy</t>
  </si>
  <si>
    <t>MultiPlus 24/3000/70-50 120V VE.Bus Victron Energy</t>
  </si>
  <si>
    <t>MultiPlus 24/3000/70-50 120V VE.Bus (UL) Victron Energy</t>
  </si>
  <si>
    <t>Quattro 24/5000/120-100/100 120V VE.Bus Victron Energy</t>
  </si>
  <si>
    <t>Quattro 48/3000/35-50/50 120V VE.Bus Victron Energy</t>
  </si>
  <si>
    <t>Quattro 48/5000/70-100/100 120V VE.Bus Victron Energy</t>
  </si>
  <si>
    <t>Quattro 48/10000/140-100/100 120V VE.Bus Victron Energy</t>
  </si>
  <si>
    <t>Mes de vigencia</t>
  </si>
  <si>
    <t>Inversores off grid</t>
  </si>
  <si>
    <t>Inversores on grid</t>
  </si>
  <si>
    <t>Symo 15.0-3 208 WLAN/LAN/web server Fronius</t>
  </si>
  <si>
    <t>Symo 24.0-3 480 WLAN/LAN/Webserver Fronius</t>
  </si>
  <si>
    <t>Symo Advanced 10.0-3 208-240 WLAN/LAN/Webserver Fronius</t>
  </si>
  <si>
    <t>Symo Advanced 12.0-3 208-240 WLAN/LAN/Webserver Fronius</t>
  </si>
  <si>
    <t>Symo Advanced 15.0-3 480 WLAN/LAN/Webserver Fronius</t>
  </si>
  <si>
    <t>Symo Advanced 20.0-3 480 WLAN/LAN/Webserver Fronius</t>
  </si>
  <si>
    <t>Symo Advanced 22.7-3 480 WLAN/LAN/Webserver Fronius</t>
  </si>
  <si>
    <t>Symo Advanced 24.0-3 480 WLAN/LAN/Webserver Fronius</t>
  </si>
  <si>
    <t>Symo 15.0-3 208 Lite Fronius</t>
  </si>
  <si>
    <t>Symo 24.0-3 480 Lite Fronius</t>
  </si>
  <si>
    <t>Symo Advanced 10.0-3 208-240 Lite Fronius</t>
  </si>
  <si>
    <t>Symo Advanced 12.0-3 208-240 Lite Fronius</t>
  </si>
  <si>
    <t>Symo Advanced 15.0-3 480 Lite Fronius</t>
  </si>
  <si>
    <t>Symo Advanced 20.0-3 480 Lite Fronius</t>
  </si>
  <si>
    <t>Symo Advanced 22.7-3 480 Lite Fronius</t>
  </si>
  <si>
    <t>Symo Advanced 24.0-3 480 Lite Fronius</t>
  </si>
  <si>
    <t>Primo 3.8-1 208-240 WLAN/LAN/Webserver Fronius</t>
  </si>
  <si>
    <t>Primo 5.0-1 208-240 WLAN/LAN/Webserver Fronius</t>
  </si>
  <si>
    <t>Primo 6.0-1 208-240 WLAN/LAN/Webserver Fronius</t>
  </si>
  <si>
    <t>Primo 7.6-1 208-240 WLAN/LAN/Webserver Fronius</t>
  </si>
  <si>
    <t>Primo 8.2-1 208-240 WLAN/LAN/Webserver Fronius</t>
  </si>
  <si>
    <t>Primo 10.0-1 208-240 WLAN/LAN/Webserver Fronius</t>
  </si>
  <si>
    <t>Primo 11.4-1 208-240 WLAN/LAN/Webserver Fronius</t>
  </si>
  <si>
    <t>Primo 12.5-1 208-240 WLAN/LAN/Webserver Fronius</t>
  </si>
  <si>
    <t>Primo 15.0-1 208-240 WLAN/LAN/Webserver Fronius</t>
  </si>
  <si>
    <t>Primo 3.8-1 208-240 Lite Fronius</t>
  </si>
  <si>
    <t>Primo 5.0-1 208-240 Lite Fronius</t>
  </si>
  <si>
    <t>Primo 6.0-1 208-240 Lite Fronius</t>
  </si>
  <si>
    <t>Primo 7.6-1 208-240 Lite Fronius</t>
  </si>
  <si>
    <t>Primo 8.2-1 208-240 Lite Fronius</t>
  </si>
  <si>
    <t>Primo 10.0-1 208-240 Lite Fronius</t>
  </si>
  <si>
    <t>Primo 11.4-1 208-240 Lite Fronius</t>
  </si>
  <si>
    <t>Primo 12.5-1 208-240 Lite Fronius</t>
  </si>
  <si>
    <t>Primo 15.0-1 208-240 Lite Fronius</t>
  </si>
  <si>
    <t>Baterías</t>
  </si>
  <si>
    <t>COP</t>
  </si>
  <si>
    <t>TRM</t>
  </si>
  <si>
    <t>MPPT</t>
  </si>
  <si>
    <t>MultiPlus</t>
  </si>
  <si>
    <t>Quattro</t>
  </si>
  <si>
    <t>Symo</t>
  </si>
  <si>
    <t>15.0-3</t>
  </si>
  <si>
    <t>WLAN/LAN/web</t>
  </si>
  <si>
    <t>24.0-3</t>
  </si>
  <si>
    <t>WLAN/LAN/Webserver</t>
  </si>
  <si>
    <t>10.0-3</t>
  </si>
  <si>
    <t>208-240</t>
  </si>
  <si>
    <t>12.0-3</t>
  </si>
  <si>
    <t>20.0-3</t>
  </si>
  <si>
    <t>22.7-3</t>
  </si>
  <si>
    <t>Lite</t>
  </si>
  <si>
    <t>Primo</t>
  </si>
  <si>
    <t>3.8-1</t>
  </si>
  <si>
    <t>5.0-1</t>
  </si>
  <si>
    <t>6.0-1</t>
  </si>
  <si>
    <t>7.6-1</t>
  </si>
  <si>
    <t>8.2-1</t>
  </si>
  <si>
    <t>10.0-1</t>
  </si>
  <si>
    <t>11.4-1</t>
  </si>
  <si>
    <t>12.5-1</t>
  </si>
  <si>
    <t>15.0-1</t>
  </si>
  <si>
    <t>PWM</t>
  </si>
  <si>
    <t>Tipo</t>
  </si>
  <si>
    <t>Amperaje</t>
  </si>
  <si>
    <t>Vout</t>
  </si>
  <si>
    <t>V</t>
  </si>
  <si>
    <t>Pot</t>
  </si>
  <si>
    <t>Ah</t>
  </si>
  <si>
    <t>Celdas</t>
  </si>
  <si>
    <t>TSM-PE15H</t>
  </si>
  <si>
    <t>TSMDE15H(II)</t>
  </si>
  <si>
    <t>TSM400DE15M(II)</t>
  </si>
  <si>
    <t>Pesos/W</t>
  </si>
  <si>
    <t>Referencia</t>
  </si>
  <si>
    <t>Potencia</t>
  </si>
  <si>
    <t xml:space="preserve">Panel </t>
  </si>
  <si>
    <t>Columna1</t>
  </si>
  <si>
    <t>nombre</t>
  </si>
  <si>
    <t>Tipo controlador</t>
  </si>
  <si>
    <t>Referencia de controlador</t>
  </si>
  <si>
    <t>Poli</t>
  </si>
  <si>
    <t>Mono</t>
  </si>
  <si>
    <t>Subterranea</t>
  </si>
  <si>
    <t xml:space="preserve">Via del cableado </t>
  </si>
  <si>
    <t>Batería</t>
  </si>
  <si>
    <t>Panel</t>
  </si>
  <si>
    <t>Vmax</t>
  </si>
  <si>
    <t>Imax</t>
  </si>
  <si>
    <t>Voc</t>
  </si>
  <si>
    <t>Transporte</t>
  </si>
  <si>
    <t>ID</t>
  </si>
  <si>
    <t>Hugo Gómez</t>
  </si>
  <si>
    <t>Daniel Moreno</t>
  </si>
  <si>
    <t>Camilo Ramirez</t>
  </si>
  <si>
    <t>1010HG</t>
  </si>
  <si>
    <t>Cotizado por</t>
  </si>
  <si>
    <t>Tipo de cliente</t>
  </si>
  <si>
    <t>Numero</t>
  </si>
  <si>
    <t xml:space="preserve">Simón García </t>
  </si>
  <si>
    <t>Numero de cot</t>
  </si>
  <si>
    <t>cr 38 # 26 - 433</t>
  </si>
  <si>
    <t>Sara</t>
  </si>
  <si>
    <t>Cure</t>
  </si>
  <si>
    <t>sara.cure</t>
  </si>
  <si>
    <t>cl 13</t>
  </si>
  <si>
    <t>bello</t>
  </si>
  <si>
    <t>Off grid</t>
  </si>
  <si>
    <t>1024HG</t>
  </si>
  <si>
    <t>Precio total</t>
  </si>
  <si>
    <t>1025DM</t>
  </si>
  <si>
    <t>1026DM</t>
  </si>
  <si>
    <t>1027DM</t>
  </si>
  <si>
    <t>1028DM</t>
  </si>
  <si>
    <t>1029HG</t>
  </si>
  <si>
    <t>Garcia</t>
  </si>
  <si>
    <t>Herbalife.com</t>
  </si>
  <si>
    <t>cr 45</t>
  </si>
  <si>
    <t>1030HG</t>
  </si>
  <si>
    <t>1031HG</t>
  </si>
  <si>
    <t>1032HG</t>
  </si>
  <si>
    <t>1033HG</t>
  </si>
  <si>
    <t>1034HG</t>
  </si>
  <si>
    <t>1035HG</t>
  </si>
  <si>
    <t>1036HG</t>
  </si>
  <si>
    <t>1037HG</t>
  </si>
  <si>
    <t>1038HG</t>
  </si>
  <si>
    <t>1039HG</t>
  </si>
  <si>
    <t>1040HG</t>
  </si>
  <si>
    <t>1041HG</t>
  </si>
  <si>
    <t>1042HG</t>
  </si>
  <si>
    <t>1043HG</t>
  </si>
  <si>
    <t>1044HG</t>
  </si>
  <si>
    <t>1045HG</t>
  </si>
  <si>
    <t>1046HG</t>
  </si>
  <si>
    <t>1047HG</t>
  </si>
  <si>
    <t>1048HG</t>
  </si>
  <si>
    <t>1049HG</t>
  </si>
  <si>
    <t>1050HG</t>
  </si>
  <si>
    <t>1051HG</t>
  </si>
  <si>
    <t>1052HG</t>
  </si>
  <si>
    <t>1053HG</t>
  </si>
  <si>
    <t>1054HG</t>
  </si>
  <si>
    <t>1055HG</t>
  </si>
  <si>
    <t>1056HG</t>
  </si>
  <si>
    <t>1057HG</t>
  </si>
  <si>
    <t>1058HG</t>
  </si>
  <si>
    <t>1059HG</t>
  </si>
  <si>
    <t>1060HG</t>
  </si>
  <si>
    <t>1061HG</t>
  </si>
  <si>
    <t>1062HG</t>
  </si>
  <si>
    <t>1063HG</t>
  </si>
  <si>
    <t>1064HG</t>
  </si>
  <si>
    <t>1065HG</t>
  </si>
  <si>
    <t>1066HG</t>
  </si>
  <si>
    <t>1067HG</t>
  </si>
  <si>
    <t>1068HG</t>
  </si>
  <si>
    <t>1069HG</t>
  </si>
  <si>
    <t>1070HG</t>
  </si>
  <si>
    <t>1071HG</t>
  </si>
  <si>
    <t>1072HG</t>
  </si>
  <si>
    <t>1073HG</t>
  </si>
  <si>
    <t>1074HG</t>
  </si>
  <si>
    <t>1075HG</t>
  </si>
  <si>
    <t>1076HG</t>
  </si>
  <si>
    <t>1077HG</t>
  </si>
  <si>
    <t>1078HG</t>
  </si>
  <si>
    <t>1079HG</t>
  </si>
  <si>
    <t>Fanny</t>
  </si>
  <si>
    <t>Palacio</t>
  </si>
  <si>
    <t>Santader de chilicao</t>
  </si>
  <si>
    <t>Carrera 11 #10-26</t>
  </si>
  <si>
    <t>construccionsosteniblebrecpal@gmail.com</t>
  </si>
  <si>
    <t>1080HG</t>
  </si>
  <si>
    <t>1081HG</t>
  </si>
  <si>
    <t>1082HG</t>
  </si>
  <si>
    <t>Hugo Gomez</t>
  </si>
  <si>
    <t>#horas generacion en el mes</t>
  </si>
  <si>
    <t># de entradas de paneles a usar</t>
  </si>
  <si>
    <t>Potencia por entrada de paneles a usar</t>
  </si>
  <si>
    <t>Licuadora</t>
  </si>
  <si>
    <t>Electrodomesticos</t>
  </si>
  <si>
    <t>Alarma de seguridad</t>
  </si>
  <si>
    <t>Secadora de cabello</t>
  </si>
  <si>
    <t>Ventilador de techo</t>
  </si>
  <si>
    <t>Aspitadora</t>
  </si>
  <si>
    <t>Radio reloj</t>
  </si>
  <si>
    <t>Lavadora de ropa</t>
  </si>
  <si>
    <t>Secador (eléctrico)</t>
  </si>
  <si>
    <t>Secador (gas)</t>
  </si>
  <si>
    <t>Manta eléctrica</t>
  </si>
  <si>
    <t>Reloj eléctrico</t>
  </si>
  <si>
    <t>Ventilador de horno</t>
  </si>
  <si>
    <t>Portón eléctrico de garaje</t>
  </si>
  <si>
    <t>Calefactor (portátil)</t>
  </si>
  <si>
    <t>Plancha (eléctrica)</t>
  </si>
  <si>
    <t>Transmisor rado teléfono</t>
  </si>
  <si>
    <t xml:space="preserve">Máquina de coser </t>
  </si>
  <si>
    <t>Ventilador de escritorio</t>
  </si>
  <si>
    <t>Aire acondicionado habitación</t>
  </si>
  <si>
    <t>Aire acondicionado central</t>
  </si>
  <si>
    <t>Refrigeración</t>
  </si>
  <si>
    <t>Refrig/congelador Energy Star 16pie3 (10h/d)</t>
  </si>
  <si>
    <t>Refrig/congelador 16pie3 (13h/d)</t>
  </si>
  <si>
    <t>Refrigerador sun frost 16 pie3 (7h/d)</t>
  </si>
  <si>
    <t xml:space="preserve">Refrig/congelador Vestfros 10,5pie3 </t>
  </si>
  <si>
    <t>Congelador standard 14pies3 (15h/d)</t>
  </si>
  <si>
    <t>Congelador sun frost 19pies3 (10h/d)</t>
  </si>
  <si>
    <t>Dispositivos de cocina</t>
  </si>
  <si>
    <t>Abrelatas (eléctrico)</t>
  </si>
  <si>
    <t>Molinillo de café</t>
  </si>
  <si>
    <t>Cafetera</t>
  </si>
  <si>
    <t>Lavaplatos</t>
  </si>
  <si>
    <t>Ventiladores de extracción (x3)</t>
  </si>
  <si>
    <t>Deshidratador de alimentos</t>
  </si>
  <si>
    <t>Procesador de alimentos</t>
  </si>
  <si>
    <t>Horno microondas (.5pie3)</t>
  </si>
  <si>
    <t>Horno microondas (.8 a 1.5pie3)</t>
  </si>
  <si>
    <t>Mezcladora</t>
  </si>
  <si>
    <t>Reventador de palomitas de maiz</t>
  </si>
  <si>
    <t>Cocina eléctrica (disco grande)</t>
  </si>
  <si>
    <t>Cocina eléctrica (disco pequeño)</t>
  </si>
  <si>
    <t>Compactador de basura</t>
  </si>
  <si>
    <t>Tostadora</t>
  </si>
  <si>
    <t>Iluminación</t>
  </si>
  <si>
    <t>Bombeo de agua</t>
  </si>
  <si>
    <t>Bomba CA de chorro (1/4hp) (165 gal por día, pozo a 20 pies)</t>
  </si>
  <si>
    <t>Bomba CD doméstica sistema de presión (1-2h/día)</t>
  </si>
  <si>
    <t>CD bomba sumergible (6h/día)</t>
  </si>
  <si>
    <t>Entretenimiento</t>
  </si>
  <si>
    <t>Radio BC (Banda ciudadana)</t>
  </si>
  <si>
    <t>Reprodoctor de discos compactos</t>
  </si>
  <si>
    <t xml:space="preserve">Teléfono celular </t>
  </si>
  <si>
    <t>Cargador de telefono celular</t>
  </si>
  <si>
    <t>Radio teléfono</t>
  </si>
  <si>
    <t>Sistema satelital (disco de 12pies)</t>
  </si>
  <si>
    <t>Estéreo</t>
  </si>
  <si>
    <t>TV (25pulg)</t>
  </si>
  <si>
    <t>TV (19pulg)</t>
  </si>
  <si>
    <t>TV (32pulg)</t>
  </si>
  <si>
    <t>Reproductor de video</t>
  </si>
  <si>
    <t>Reproductor de DVD</t>
  </si>
  <si>
    <t>Herramientas</t>
  </si>
  <si>
    <t>Sierra de banda (14pulg)</t>
  </si>
  <si>
    <t>Sierra de cadena (12pulg)</t>
  </si>
  <si>
    <t>Sierra circular (71/4pulg)</t>
  </si>
  <si>
    <t>Lijadora de disco (9 pulg)</t>
  </si>
  <si>
    <t>Taladro (1/4 pulg)</t>
  </si>
  <si>
    <t>Taladro  (1/2 pulg)</t>
  </si>
  <si>
    <t>Taladro  (1 pulg)</t>
  </si>
  <si>
    <t>Segadora eléctrica</t>
  </si>
  <si>
    <t>Cortadora de hierba</t>
  </si>
  <si>
    <t>Oficina</t>
  </si>
  <si>
    <t>Computadora de mesa</t>
  </si>
  <si>
    <t>Computadora portatil</t>
  </si>
  <si>
    <t>Impresora de tinta</t>
  </si>
  <si>
    <t>Impresora laser</t>
  </si>
  <si>
    <t>Fax (en espera)</t>
  </si>
  <si>
    <t>Fax (imprimiendo)</t>
  </si>
  <si>
    <t>Tipo carga</t>
  </si>
  <si>
    <t>Bombillo incandescente 100W</t>
  </si>
  <si>
    <t>Bombillo Incandescente 60W</t>
  </si>
  <si>
    <t>Bombillo Fluorescente compacto 16W</t>
  </si>
  <si>
    <t>Bombillo Incandescente 40W</t>
  </si>
  <si>
    <t>Bombillo Fluorescente compacto 11W</t>
  </si>
  <si>
    <t>_</t>
  </si>
  <si>
    <t>Jhon Jairo</t>
  </si>
  <si>
    <t>Montoya Ciro</t>
  </si>
  <si>
    <t>La Ceja</t>
  </si>
  <si>
    <t>Potencia pico del modulo</t>
  </si>
  <si>
    <t>Aca es necesario tener en cuenta el controlador como explico daniel medina</t>
  </si>
  <si>
    <t>Según Daniel:</t>
  </si>
  <si>
    <t>Factor</t>
  </si>
  <si>
    <t>Tensión del arreglo</t>
  </si>
  <si>
    <t>Tensión Vmp panel</t>
  </si>
  <si>
    <t>Para garantizar que la batería se carga</t>
  </si>
  <si>
    <t>Modulos maximos en serie</t>
  </si>
  <si>
    <t>Serie</t>
  </si>
  <si>
    <t>Modulos en serie maximo</t>
  </si>
  <si>
    <t>Voltaje maximo MPPT</t>
  </si>
  <si>
    <t>Para MPPT</t>
  </si>
  <si>
    <t>Potencia maxima mppt</t>
  </si>
  <si>
    <t>Potencia por string</t>
  </si>
  <si>
    <t>Potencia maxima en 12</t>
  </si>
  <si>
    <t>Potencia a 12V</t>
  </si>
  <si>
    <t>Potencia maxima MPPT a 12</t>
  </si>
  <si>
    <t>Pot max según V</t>
  </si>
  <si>
    <t>*Si da amarillo, buscar un controlador mas grande o subir el voltaje del sistema</t>
  </si>
  <si>
    <t>El dimensionamiento del controlador y numero de paneles aun es muy manual</t>
  </si>
  <si>
    <t>Edwin</t>
  </si>
  <si>
    <t>Arango</t>
  </si>
  <si>
    <t>iscorreac@unal.edu.co</t>
  </si>
  <si>
    <t>Cr 68A # 45 - 30</t>
  </si>
  <si>
    <t>1083HG</t>
  </si>
  <si>
    <t>1084HG</t>
  </si>
  <si>
    <t>1085HG</t>
  </si>
  <si>
    <t>1086HG</t>
  </si>
  <si>
    <t>1087HG</t>
  </si>
  <si>
    <t>Mateo Gallego</t>
  </si>
  <si>
    <t>COONVITE</t>
  </si>
  <si>
    <t>1088HG</t>
  </si>
  <si>
    <t>Simon Garcia</t>
  </si>
  <si>
    <t>Álvaro</t>
  </si>
  <si>
    <t>Valderrama</t>
  </si>
  <si>
    <t>ceo@comedica.com.co</t>
  </si>
  <si>
    <t>Cra 55 # 76 - 66 Bodega 1157</t>
  </si>
  <si>
    <t>Itagüí</t>
  </si>
  <si>
    <t>1089SG</t>
  </si>
  <si>
    <t>1090SG</t>
  </si>
  <si>
    <t>Porcentaje autoconsumo</t>
  </si>
  <si>
    <t>Beneficio Renta</t>
  </si>
  <si>
    <t>Beneficio Depreciación</t>
  </si>
  <si>
    <t>WACC</t>
  </si>
  <si>
    <t>CRF</t>
  </si>
  <si>
    <t>Vida Útil</t>
  </si>
  <si>
    <t>años</t>
  </si>
  <si>
    <t>LCOEs</t>
  </si>
  <si>
    <t>Tasa de descuento</t>
  </si>
  <si>
    <t>1091SG</t>
  </si>
  <si>
    <t>Activos Sujeto de depreciación</t>
  </si>
  <si>
    <t>Aumento Precio Energía</t>
  </si>
  <si>
    <t>1092SG</t>
  </si>
  <si>
    <t>Finca la humarada</t>
  </si>
  <si>
    <t>Puerto Berrio</t>
  </si>
  <si>
    <t>Estudio de conexión</t>
  </si>
  <si>
    <t>Sobrecargo por lejanía</t>
  </si>
  <si>
    <t>Costo estudio de conexión</t>
  </si>
  <si>
    <t>Comidas por dia/persona</t>
  </si>
  <si>
    <t>Precio del Peaje</t>
  </si>
  <si>
    <t>1095HG</t>
  </si>
  <si>
    <t xml:space="preserve">Jorge </t>
  </si>
  <si>
    <t>Zabala</t>
  </si>
  <si>
    <t>Santa fe de Antioquia</t>
  </si>
  <si>
    <t>1096HG</t>
  </si>
  <si>
    <t>1097HG</t>
  </si>
  <si>
    <t>1098HG</t>
  </si>
  <si>
    <t>1099HG</t>
  </si>
  <si>
    <t>1100HG</t>
  </si>
  <si>
    <t>1101HG</t>
  </si>
  <si>
    <t>1102HG</t>
  </si>
  <si>
    <t>1103HG</t>
  </si>
  <si>
    <t>Puerto Berrío, Antioquia</t>
  </si>
  <si>
    <t>Puerto Berrío</t>
  </si>
  <si>
    <t>1104HG</t>
  </si>
  <si>
    <t>Raiza</t>
  </si>
  <si>
    <t>España</t>
  </si>
  <si>
    <t>Venezuela</t>
  </si>
  <si>
    <t>San Juan de Colon</t>
  </si>
  <si>
    <t>1105HG</t>
  </si>
  <si>
    <t>1106HG</t>
  </si>
  <si>
    <t>1107HG</t>
  </si>
  <si>
    <t>1108HG</t>
  </si>
  <si>
    <t>Dahian</t>
  </si>
  <si>
    <t>Polo</t>
  </si>
  <si>
    <t>San Vicente Antioquia</t>
  </si>
  <si>
    <t>1109HG</t>
  </si>
  <si>
    <t>1110HG</t>
  </si>
  <si>
    <t xml:space="preserve">Gerson David </t>
  </si>
  <si>
    <t>Cáceres</t>
  </si>
  <si>
    <t>+1 (236) 334-5773</t>
  </si>
  <si>
    <t>Calle 8 #0-73 Barrio latino</t>
  </si>
  <si>
    <t>Cúcuta norte de Santander</t>
  </si>
  <si>
    <t>1111HG</t>
  </si>
  <si>
    <t>1112HG</t>
  </si>
  <si>
    <t>Guillermo</t>
  </si>
  <si>
    <t>Soccar</t>
  </si>
  <si>
    <t>Sopetran</t>
  </si>
  <si>
    <t>1113HG</t>
  </si>
  <si>
    <t xml:space="preserve">Uber </t>
  </si>
  <si>
    <t>Posada</t>
  </si>
  <si>
    <t>Sabaneta</t>
  </si>
  <si>
    <t>1114HG</t>
  </si>
  <si>
    <t>1115HG</t>
  </si>
  <si>
    <t>Duberney</t>
  </si>
  <si>
    <t>Osorio</t>
  </si>
  <si>
    <t>1116HG</t>
  </si>
  <si>
    <t>1117HG</t>
  </si>
  <si>
    <t>Toneladas de CO2 al año</t>
  </si>
  <si>
    <t>Angelica</t>
  </si>
  <si>
    <t>Vasquez</t>
  </si>
  <si>
    <t>tativasjo21@gmail.com</t>
  </si>
  <si>
    <t>1118HG</t>
  </si>
  <si>
    <t>Felipe</t>
  </si>
  <si>
    <t>Florez</t>
  </si>
  <si>
    <t>Santa Rosa, Antioquia</t>
  </si>
  <si>
    <t>1119HG</t>
  </si>
  <si>
    <t xml:space="preserve">Jhon </t>
  </si>
  <si>
    <t>Moreno</t>
  </si>
  <si>
    <t>Valle</t>
  </si>
  <si>
    <t>1120HG</t>
  </si>
  <si>
    <t xml:space="preserve">Astrid </t>
  </si>
  <si>
    <t>Acevedo</t>
  </si>
  <si>
    <t>El chuscal</t>
  </si>
  <si>
    <t>1121HG</t>
  </si>
  <si>
    <t>1122HG</t>
  </si>
  <si>
    <t>1123HG</t>
  </si>
  <si>
    <t>1124HG</t>
  </si>
  <si>
    <t>Cesar</t>
  </si>
  <si>
    <t>Bedoya</t>
  </si>
  <si>
    <t>1125HG</t>
  </si>
  <si>
    <t>German</t>
  </si>
  <si>
    <t>Sanchez</t>
  </si>
  <si>
    <t>1126HG</t>
  </si>
  <si>
    <t>1127HG</t>
  </si>
  <si>
    <t xml:space="preserve">Nicolas </t>
  </si>
  <si>
    <t>Mena</t>
  </si>
  <si>
    <t>Liliana Hernandez</t>
  </si>
  <si>
    <t>PRECIO</t>
  </si>
  <si>
    <t>Precio mas comisión</t>
  </si>
  <si>
    <t>1128HG</t>
  </si>
  <si>
    <t xml:space="preserve">Luis </t>
  </si>
  <si>
    <t>Jimenez</t>
  </si>
  <si>
    <t>Planeta Rica</t>
  </si>
  <si>
    <t>1129HG</t>
  </si>
  <si>
    <t>1130HG</t>
  </si>
  <si>
    <t>1131HG</t>
  </si>
  <si>
    <t>1132HG</t>
  </si>
  <si>
    <t>1133HG</t>
  </si>
  <si>
    <t>Monica</t>
  </si>
  <si>
    <t>Quintero Ramirez</t>
  </si>
  <si>
    <t>Guarne</t>
  </si>
  <si>
    <t>1134HG</t>
  </si>
  <si>
    <t>1135HG</t>
  </si>
  <si>
    <t>1136HG</t>
  </si>
  <si>
    <t>1137HG</t>
  </si>
  <si>
    <t>1138HG</t>
  </si>
  <si>
    <t>Juan Esteban</t>
  </si>
  <si>
    <t>Bernal</t>
  </si>
  <si>
    <t>1139CR</t>
  </si>
  <si>
    <t>1140CR</t>
  </si>
  <si>
    <t>Natalí</t>
  </si>
  <si>
    <t>Caro</t>
  </si>
  <si>
    <t>El Peñol</t>
  </si>
  <si>
    <t>1141CR</t>
  </si>
  <si>
    <t>Bello</t>
  </si>
  <si>
    <t>1142CR</t>
  </si>
  <si>
    <t>Clinica Orlant</t>
  </si>
  <si>
    <t>Medellin</t>
  </si>
  <si>
    <t>1143CR</t>
  </si>
  <si>
    <t>Daniel Garcia</t>
  </si>
  <si>
    <t>Teja trapezoidal</t>
  </si>
  <si>
    <t>Comedica</t>
  </si>
  <si>
    <t>Sistemas de medición Remoto</t>
  </si>
  <si>
    <t>ECU R (APSYSTEMS)</t>
  </si>
  <si>
    <t>ECU C (APSYSTEMS)</t>
  </si>
  <si>
    <t>Loza</t>
  </si>
  <si>
    <t>Smartmeter (Fronius) US240V</t>
  </si>
  <si>
    <t>Inversor (CPS) 5 kW Singlephase</t>
  </si>
  <si>
    <t>Inversor (CPS) 18 kW trifasico 208</t>
  </si>
  <si>
    <t>Daniel</t>
  </si>
  <si>
    <t>froilo</t>
  </si>
  <si>
    <t>comedica</t>
  </si>
  <si>
    <t>mauro</t>
  </si>
  <si>
    <t>valle real</t>
  </si>
  <si>
    <t>#paneles</t>
  </si>
  <si>
    <t>Costo/panel</t>
  </si>
  <si>
    <t>W inst.</t>
  </si>
  <si>
    <t>Costo W</t>
  </si>
  <si>
    <t>promedio</t>
  </si>
  <si>
    <t>Viaticos</t>
  </si>
  <si>
    <t>Diseño</t>
  </si>
  <si>
    <t>Julian Andres</t>
  </si>
  <si>
    <t>Holguin</t>
  </si>
  <si>
    <t>1144HG</t>
  </si>
  <si>
    <t>ANTICIPO</t>
  </si>
  <si>
    <t>Para pan,inv,est</t>
  </si>
  <si>
    <t>Para pan, inv</t>
  </si>
  <si>
    <t>1145HG</t>
  </si>
  <si>
    <t>1146HG</t>
  </si>
  <si>
    <t>Subtotal</t>
  </si>
  <si>
    <t>Juan Carlos</t>
  </si>
  <si>
    <t>Peláez Velez</t>
  </si>
  <si>
    <t>1147CR</t>
  </si>
  <si>
    <t>Item</t>
  </si>
  <si>
    <t>Valor Cotizado</t>
  </si>
  <si>
    <t>Valor real</t>
  </si>
  <si>
    <t>Diferencia</t>
  </si>
  <si>
    <t>Inversores</t>
  </si>
  <si>
    <t xml:space="preserve">Accesorios </t>
  </si>
  <si>
    <t>1148HG</t>
  </si>
  <si>
    <t>Henry</t>
  </si>
  <si>
    <t>Ocampo</t>
  </si>
  <si>
    <t>1149HG</t>
  </si>
  <si>
    <t>1150HG</t>
  </si>
  <si>
    <t>1151HG</t>
  </si>
  <si>
    <t xml:space="preserve">Yardley Elena </t>
  </si>
  <si>
    <t>Saldarriaga</t>
  </si>
  <si>
    <t>Girardota</t>
  </si>
  <si>
    <t>1152HG</t>
  </si>
  <si>
    <t>Angela</t>
  </si>
  <si>
    <t>Rodriguez</t>
  </si>
  <si>
    <t>Bogotá</t>
  </si>
  <si>
    <t>1153HG</t>
  </si>
  <si>
    <t>Jorge Armando</t>
  </si>
  <si>
    <t>Lopez Dominguez</t>
  </si>
  <si>
    <t>1154HG</t>
  </si>
  <si>
    <t>Ivan</t>
  </si>
  <si>
    <t>Vargas</t>
  </si>
  <si>
    <t>Boyaca</t>
  </si>
  <si>
    <t>1155HG</t>
  </si>
  <si>
    <t>1156HG</t>
  </si>
  <si>
    <t>1157HG</t>
  </si>
  <si>
    <t>Oscar Ivan</t>
  </si>
  <si>
    <t>Silva</t>
  </si>
  <si>
    <t>1158HG</t>
  </si>
  <si>
    <t>1159HG</t>
  </si>
  <si>
    <t>1160HG</t>
  </si>
  <si>
    <t>Alicia</t>
  </si>
  <si>
    <t>Estadio</t>
  </si>
  <si>
    <t>1161HG</t>
  </si>
  <si>
    <t>1162HG</t>
  </si>
  <si>
    <t>John</t>
  </si>
  <si>
    <t>Piedrahita</t>
  </si>
  <si>
    <t>1163HG</t>
  </si>
  <si>
    <t>1164HG</t>
  </si>
  <si>
    <t>1165HG</t>
  </si>
  <si>
    <t>1166HG</t>
  </si>
  <si>
    <t>1167HG</t>
  </si>
  <si>
    <t>1168HG</t>
  </si>
  <si>
    <t>Luminarias</t>
  </si>
  <si>
    <t>Andrea</t>
  </si>
  <si>
    <t>1169HG</t>
  </si>
  <si>
    <t>Isa</t>
  </si>
  <si>
    <t>1170HG</t>
  </si>
  <si>
    <t>Omar</t>
  </si>
  <si>
    <t>1171HG</t>
  </si>
  <si>
    <t>1172HG</t>
  </si>
  <si>
    <t>Camilo</t>
  </si>
  <si>
    <t>Bustamante</t>
  </si>
  <si>
    <t>1173HG</t>
  </si>
  <si>
    <t>1174HG</t>
  </si>
  <si>
    <t xml:space="preserve">Omar </t>
  </si>
  <si>
    <t>1175HG</t>
  </si>
  <si>
    <t>Sector estadio</t>
  </si>
  <si>
    <t>1176HG</t>
  </si>
  <si>
    <t>1177HG</t>
  </si>
  <si>
    <t>1178HG</t>
  </si>
  <si>
    <t>1179HG</t>
  </si>
  <si>
    <t>Corporación</t>
  </si>
  <si>
    <t>Periferia</t>
  </si>
  <si>
    <t>1180HG</t>
  </si>
  <si>
    <t xml:space="preserve">Sebastian </t>
  </si>
  <si>
    <t>Idarraga</t>
  </si>
  <si>
    <t>1181HG</t>
  </si>
  <si>
    <t>1182HG</t>
  </si>
  <si>
    <t>Andres</t>
  </si>
  <si>
    <t>Cabrera</t>
  </si>
  <si>
    <t>Santader</t>
  </si>
  <si>
    <t>1183HG</t>
  </si>
  <si>
    <t>1184HG</t>
  </si>
  <si>
    <t>1185HG</t>
  </si>
  <si>
    <t xml:space="preserve">Liliana </t>
  </si>
  <si>
    <t>Hernandez</t>
  </si>
  <si>
    <t>Uraba</t>
  </si>
  <si>
    <t>1186HG</t>
  </si>
  <si>
    <t xml:space="preserve">Leidy </t>
  </si>
  <si>
    <t>Marulanda</t>
  </si>
  <si>
    <t>1187HG</t>
  </si>
  <si>
    <t>1188HG</t>
  </si>
  <si>
    <t>1189HG</t>
  </si>
  <si>
    <t>Fabian</t>
  </si>
  <si>
    <t>Higinio</t>
  </si>
  <si>
    <t>1190HG</t>
  </si>
  <si>
    <t>Jorge Enrique</t>
  </si>
  <si>
    <t>Benitez</t>
  </si>
  <si>
    <t>San Pedro de los Milagros</t>
  </si>
  <si>
    <t>1191HG</t>
  </si>
  <si>
    <t>Correa</t>
  </si>
  <si>
    <t>Andes, Antioquia</t>
  </si>
  <si>
    <t>Juanes</t>
  </si>
  <si>
    <t>1192HG</t>
  </si>
  <si>
    <t>Pedro Juan</t>
  </si>
  <si>
    <t>Peter</t>
  </si>
  <si>
    <t>1193HG</t>
  </si>
  <si>
    <t>1194HG</t>
  </si>
  <si>
    <t>Juan Luis</t>
  </si>
  <si>
    <t>Orrego</t>
  </si>
  <si>
    <t>1195SG</t>
  </si>
  <si>
    <t>Instalación, transporte, supervisión y puesta en marcha del sistema de respaldo.</t>
  </si>
  <si>
    <t>Higuerón</t>
  </si>
  <si>
    <t>Alejandro</t>
  </si>
  <si>
    <t>Zuluaga</t>
  </si>
  <si>
    <t>Comédica</t>
  </si>
  <si>
    <t>Sopetrán</t>
  </si>
  <si>
    <t>1196SG</t>
  </si>
  <si>
    <t>1197SG</t>
  </si>
  <si>
    <t>Precio/kWp</t>
  </si>
  <si>
    <t>Opciones Recargo Por Lejanía</t>
  </si>
  <si>
    <t>Ida y regreso</t>
  </si>
  <si>
    <t>Requiere estadía</t>
  </si>
  <si>
    <t xml:space="preserve">Diseño </t>
  </si>
  <si>
    <t>Costo/kW</t>
  </si>
  <si>
    <t>Salario Ingenieros</t>
  </si>
  <si>
    <t>Potencia max en inversores</t>
  </si>
  <si>
    <t>Hotel</t>
  </si>
  <si>
    <t>Foresta</t>
  </si>
  <si>
    <t>1198SG</t>
  </si>
  <si>
    <t>David</t>
  </si>
  <si>
    <t>Sánchez</t>
  </si>
  <si>
    <t>El Retiro</t>
  </si>
  <si>
    <t>1199SG</t>
  </si>
  <si>
    <t>Aserrío</t>
  </si>
  <si>
    <t>Ganges</t>
  </si>
  <si>
    <t>San Pedro De Los Milagros</t>
  </si>
  <si>
    <t>1200SG</t>
  </si>
  <si>
    <t>Neder</t>
  </si>
  <si>
    <t>Capurganá</t>
  </si>
  <si>
    <t xml:space="preserve">Casa San Jerónimo </t>
  </si>
  <si>
    <t>San Jerónimo</t>
  </si>
  <si>
    <t>1201SG</t>
  </si>
  <si>
    <t xml:space="preserve">Casa Pasto </t>
  </si>
  <si>
    <t>Pasto</t>
  </si>
  <si>
    <t>1202SG</t>
  </si>
  <si>
    <t>Finca Remolino</t>
  </si>
  <si>
    <t>Remolino</t>
  </si>
  <si>
    <t>1203SG</t>
  </si>
  <si>
    <t>Hospital La Ceja</t>
  </si>
  <si>
    <t>1204SG</t>
  </si>
  <si>
    <t>1205SG</t>
  </si>
  <si>
    <t>Finca Cartagena Andréa González</t>
  </si>
  <si>
    <t>Eficiencia Con Respecto al Óptimo</t>
  </si>
  <si>
    <t>Perdidas adicionales</t>
  </si>
  <si>
    <t>Cartagena</t>
  </si>
  <si>
    <t>1206SG</t>
  </si>
  <si>
    <t>Monasterio de La Orden del Carmen</t>
  </si>
  <si>
    <t>1207SG</t>
  </si>
  <si>
    <t>1208SG</t>
  </si>
  <si>
    <t>Santa Fé de Antioquia</t>
  </si>
  <si>
    <t>Sofia Bolaños</t>
  </si>
  <si>
    <t>hugo</t>
  </si>
  <si>
    <t>gomez</t>
  </si>
  <si>
    <t>1209SB</t>
  </si>
  <si>
    <t>Pereira</t>
  </si>
  <si>
    <t>Conhintec</t>
  </si>
  <si>
    <t>1210SG</t>
  </si>
  <si>
    <t>CDA La Ceja</t>
  </si>
  <si>
    <t>1211SG</t>
  </si>
  <si>
    <t>1212SG</t>
  </si>
  <si>
    <t>La Merced</t>
  </si>
  <si>
    <t>Aurora</t>
  </si>
  <si>
    <t>Inversor (CPS) 30 kW trifásico 208</t>
  </si>
  <si>
    <t>1213SG</t>
  </si>
  <si>
    <t>Centro</t>
  </si>
  <si>
    <t>Inversor (CPS) 36 kW trifásico 208</t>
  </si>
  <si>
    <t>1214SG</t>
  </si>
  <si>
    <t>1215SG</t>
  </si>
  <si>
    <t>Botana</t>
  </si>
  <si>
    <t>1216SG</t>
  </si>
  <si>
    <t>Barrancabermeja</t>
  </si>
  <si>
    <t>1217SG</t>
  </si>
  <si>
    <t>4to Plano</t>
  </si>
  <si>
    <t>1218SG</t>
  </si>
  <si>
    <t>1219SG</t>
  </si>
  <si>
    <t>Nicolas Flórez</t>
  </si>
  <si>
    <t>1220SG</t>
  </si>
  <si>
    <t>David Sánchez</t>
  </si>
  <si>
    <t>Taller</t>
  </si>
  <si>
    <t>1221SG</t>
  </si>
  <si>
    <t xml:space="preserve">Jorge Enrique </t>
  </si>
  <si>
    <t>Benítez Escobar</t>
  </si>
  <si>
    <t>1222SG</t>
  </si>
  <si>
    <t>Fajardo</t>
  </si>
  <si>
    <t>1223SG</t>
  </si>
  <si>
    <t>1224SG</t>
  </si>
  <si>
    <t>1225SG</t>
  </si>
  <si>
    <t>Benítez</t>
  </si>
  <si>
    <t>1226SG</t>
  </si>
  <si>
    <t>1227SG</t>
  </si>
  <si>
    <t>Florencia</t>
  </si>
  <si>
    <t>Hotel Sol y Luna</t>
  </si>
  <si>
    <t>Florencia, Caquetá</t>
  </si>
  <si>
    <t>1228SG</t>
  </si>
  <si>
    <t>Carlos-Palmas</t>
  </si>
  <si>
    <t>1229SG</t>
  </si>
  <si>
    <t>¿Requiere ANDAMIOS?</t>
  </si>
  <si>
    <t>*Metraje de andamio [m]</t>
  </si>
  <si>
    <t>Andamios</t>
  </si>
  <si>
    <t>Costo De Andamio</t>
  </si>
  <si>
    <t>Costo por día por metro</t>
  </si>
  <si>
    <t>Costo Wp</t>
  </si>
  <si>
    <t>Inversor (CPS) 6 kW Singlephase</t>
  </si>
  <si>
    <t>TRM Dólar</t>
  </si>
  <si>
    <t>Horas pico de sol/dia Prom</t>
  </si>
  <si>
    <t>Inversor (CPS) 25 kW trifásico 208</t>
  </si>
  <si>
    <t>La Merced - Aurora</t>
  </si>
  <si>
    <t>1230SG</t>
  </si>
  <si>
    <t>Hotel Támesis</t>
  </si>
  <si>
    <t>Támesis</t>
  </si>
  <si>
    <t>1231SG</t>
  </si>
  <si>
    <t>Cali</t>
  </si>
  <si>
    <t>Élite de la Moda</t>
  </si>
  <si>
    <t>1232SG</t>
  </si>
  <si>
    <t>Finca Pasto</t>
  </si>
  <si>
    <t>1233SG</t>
  </si>
  <si>
    <t>1234SG</t>
  </si>
  <si>
    <t>Juan Guillermo</t>
  </si>
  <si>
    <t>Galpones</t>
  </si>
  <si>
    <t>1235SG</t>
  </si>
  <si>
    <t>Serna</t>
  </si>
  <si>
    <t>Soledad</t>
  </si>
  <si>
    <t>1236SG</t>
  </si>
  <si>
    <t>John Fredy</t>
  </si>
  <si>
    <t>Belén</t>
  </si>
  <si>
    <t>1237SG</t>
  </si>
  <si>
    <t>Cultivos Santa Sofía</t>
  </si>
  <si>
    <t>Concejal</t>
  </si>
  <si>
    <t>1238SG</t>
  </si>
  <si>
    <t>Élite de La Moda S.A.</t>
  </si>
  <si>
    <t>1239SG</t>
  </si>
  <si>
    <t>1240SG</t>
  </si>
  <si>
    <t>1241SG</t>
  </si>
  <si>
    <t>Centro Comercial Mayorca</t>
  </si>
  <si>
    <t>Car Port</t>
  </si>
  <si>
    <t>1242SG</t>
  </si>
  <si>
    <t>1243SG</t>
  </si>
  <si>
    <t>1244SG</t>
  </si>
  <si>
    <t>TABLA RETIE ANTES DE IVA</t>
  </si>
  <si>
    <t>Potencia máx</t>
  </si>
  <si>
    <t>Precio Vatio Pico</t>
  </si>
  <si>
    <t>Pólizas</t>
  </si>
  <si>
    <t>BOTANA</t>
  </si>
  <si>
    <t>1245SG</t>
  </si>
  <si>
    <t>Valorem</t>
  </si>
  <si>
    <t>Losa</t>
  </si>
  <si>
    <t>1246SG</t>
  </si>
  <si>
    <t>Ipiales</t>
  </si>
  <si>
    <t>58.3 kVA</t>
  </si>
  <si>
    <t>1247SG</t>
  </si>
  <si>
    <t>Aurora 60 kWp</t>
  </si>
  <si>
    <t>1248SG</t>
  </si>
  <si>
    <t>Frigovito</t>
  </si>
  <si>
    <t>73.83 kWp</t>
  </si>
  <si>
    <t>1249SG</t>
  </si>
  <si>
    <t>Valorem Pérgola</t>
  </si>
  <si>
    <t>11.24 kWp</t>
  </si>
  <si>
    <t>1250SG</t>
  </si>
  <si>
    <t>Canchas Élite</t>
  </si>
  <si>
    <t>Piso 16</t>
  </si>
  <si>
    <t>1251SG</t>
  </si>
  <si>
    <t>Piso 18</t>
  </si>
  <si>
    <t>1252SG</t>
  </si>
  <si>
    <t>CC Élite de la Moda</t>
  </si>
  <si>
    <t>Zonas Comunes</t>
  </si>
  <si>
    <t>1253SG</t>
  </si>
  <si>
    <t>Panel Solar Monocristalino Transparente (360W)</t>
  </si>
  <si>
    <t>Precio por kWp</t>
  </si>
  <si>
    <t>Radiación promedio (kWh/m2/día)</t>
  </si>
  <si>
    <t>Generación anual promedio (kWh)</t>
  </si>
  <si>
    <t>Generación Mensual Promedio (KWh)</t>
  </si>
  <si>
    <t>Índice de Producción (kWh/kWp)</t>
  </si>
  <si>
    <t>Felipe Castaño El Retiro</t>
  </si>
  <si>
    <t>1254SG</t>
  </si>
  <si>
    <t>Procelem Mecánica</t>
  </si>
  <si>
    <t>1255SG</t>
  </si>
  <si>
    <t>La Merced Aurora</t>
  </si>
  <si>
    <t>56.7 kWp</t>
  </si>
  <si>
    <t>1256SG</t>
  </si>
  <si>
    <t>53 kWp</t>
  </si>
  <si>
    <t>1257SG</t>
  </si>
  <si>
    <t>Vegetarian Restaurante</t>
  </si>
  <si>
    <t>1258SG</t>
  </si>
  <si>
    <t>Procelem</t>
  </si>
  <si>
    <t>1259SG</t>
  </si>
  <si>
    <t>Inversor Híbrido Growatt SPH 3000</t>
  </si>
  <si>
    <t>Inversor Híbrido Growatt SPH 5000</t>
  </si>
  <si>
    <t>No Aplica</t>
  </si>
  <si>
    <t>Voltaje Batería</t>
  </si>
  <si>
    <t>Capacidad Batería</t>
  </si>
  <si>
    <t>Cantidad Baterías</t>
  </si>
  <si>
    <t>Profundidad Descarga</t>
  </si>
  <si>
    <t>Centro Comercial El Diamante</t>
  </si>
  <si>
    <t>Inelco</t>
  </si>
  <si>
    <t>1260SG</t>
  </si>
  <si>
    <t>La Merced Ipiales</t>
  </si>
  <si>
    <t>INELCO</t>
  </si>
  <si>
    <t>1261SG</t>
  </si>
  <si>
    <t>La Merced Botana</t>
  </si>
  <si>
    <t>1262SG</t>
  </si>
  <si>
    <t>Mayorca 2 Losa</t>
  </si>
  <si>
    <t>1263SG</t>
  </si>
  <si>
    <t>Mayorca 2 Superboard</t>
  </si>
  <si>
    <t>1264SG</t>
  </si>
  <si>
    <t>Ed. Macedonia</t>
  </si>
  <si>
    <t>1265SG</t>
  </si>
  <si>
    <t>1266SG</t>
  </si>
  <si>
    <t>TIR 10 Años</t>
  </si>
  <si>
    <t>TIR 25 Años</t>
  </si>
  <si>
    <t>Costo Nivelado Energía</t>
  </si>
  <si>
    <t>Generación Mensual (kWh)</t>
  </si>
  <si>
    <t>Ahorro Mensual Estimado</t>
  </si>
  <si>
    <t>Adicionales</t>
  </si>
  <si>
    <t>SST</t>
  </si>
  <si>
    <t>Anilio Con Viáticos</t>
  </si>
  <si>
    <t>Quibdó</t>
  </si>
  <si>
    <t>1267SG</t>
  </si>
  <si>
    <t>Carlos Julio</t>
  </si>
  <si>
    <t>Pandales Roldanillo</t>
  </si>
  <si>
    <t>Roldanillo</t>
  </si>
  <si>
    <t>1268SG</t>
  </si>
  <si>
    <t>Growatt SPF 12000 TDVM</t>
  </si>
  <si>
    <t>Growatt</t>
  </si>
  <si>
    <t>Growatt SPH 3000 TLBL-US</t>
  </si>
  <si>
    <t>ATS-US Growatt</t>
  </si>
  <si>
    <t>Litio</t>
  </si>
  <si>
    <t>Corriente Máxima (Imp)</t>
  </si>
  <si>
    <t>Growatt SPF 4000 TDVM</t>
  </si>
  <si>
    <t>MMPT</t>
  </si>
  <si>
    <t>1269SG</t>
  </si>
  <si>
    <t>Bahía Solano</t>
  </si>
  <si>
    <t>Verde y Morado</t>
  </si>
  <si>
    <t>1270SG</t>
  </si>
  <si>
    <t>Otro</t>
  </si>
  <si>
    <t>1271SG</t>
  </si>
  <si>
    <t>Mayorca 2</t>
  </si>
  <si>
    <t>Sobe Losa</t>
  </si>
  <si>
    <t>1272SG</t>
  </si>
  <si>
    <t>Jorge Sanabria</t>
  </si>
  <si>
    <t>8 kWp</t>
  </si>
  <si>
    <t>1273SG</t>
  </si>
  <si>
    <t>8 Paneles</t>
  </si>
  <si>
    <t>1274SG</t>
  </si>
  <si>
    <t>1275SG</t>
  </si>
  <si>
    <t>1276SG</t>
  </si>
  <si>
    <t>Marta Salazar</t>
  </si>
  <si>
    <t>6 paneles</t>
  </si>
  <si>
    <t>La Estrella</t>
  </si>
  <si>
    <t>1277SG</t>
  </si>
  <si>
    <t>Fundación Gente Unida</t>
  </si>
  <si>
    <t>Villa Café</t>
  </si>
  <si>
    <t>1278SG</t>
  </si>
  <si>
    <t>Hogar Techos Verdes</t>
  </si>
  <si>
    <t>1279SG</t>
  </si>
  <si>
    <t>Hogar Teja de Barro</t>
  </si>
  <si>
    <t>1280SG</t>
  </si>
  <si>
    <t>Mini Mall</t>
  </si>
  <si>
    <t>Froilán Ríos</t>
  </si>
  <si>
    <t>1281SG</t>
  </si>
  <si>
    <t>Macedonia Apto</t>
  </si>
  <si>
    <t>1282SG</t>
  </si>
  <si>
    <t>Macedonia  Zonas Comunes</t>
  </si>
  <si>
    <t>1283SG</t>
  </si>
  <si>
    <t>Froilán San Jerónimo</t>
  </si>
  <si>
    <t>1284SG</t>
  </si>
  <si>
    <t>StringBox por String</t>
  </si>
  <si>
    <t>Tablero Integrador por Inversor</t>
  </si>
  <si>
    <t>Cableado Distancia</t>
  </si>
  <si>
    <t>Valor Accesorios</t>
  </si>
  <si>
    <t>Cableado en DC</t>
  </si>
  <si>
    <t>Cableado en AC</t>
  </si>
  <si>
    <t>Accesorios Varios</t>
  </si>
  <si>
    <t>Panel Solar Monocristalino  HalfCell (445W)</t>
  </si>
  <si>
    <t>Puerto Medellín</t>
  </si>
  <si>
    <t>1285SG</t>
  </si>
  <si>
    <t>Monaco</t>
  </si>
  <si>
    <t>1286SG</t>
  </si>
  <si>
    <t>1287SG</t>
  </si>
  <si>
    <t>Restrepo</t>
  </si>
  <si>
    <t>1288SG</t>
  </si>
  <si>
    <t>Macedonia</t>
  </si>
  <si>
    <t>1289SG</t>
  </si>
  <si>
    <t>1290SG</t>
  </si>
  <si>
    <t>VIVA</t>
  </si>
  <si>
    <t>1291SG</t>
  </si>
  <si>
    <t>1292SG</t>
  </si>
  <si>
    <t>Marcos</t>
  </si>
  <si>
    <t>Toro</t>
  </si>
  <si>
    <t>1293SG</t>
  </si>
  <si>
    <t>Asociación Vivienda Funza</t>
  </si>
  <si>
    <t>Funza</t>
  </si>
  <si>
    <t>1294SG</t>
  </si>
  <si>
    <t>Construplast</t>
  </si>
  <si>
    <t>1295SG</t>
  </si>
  <si>
    <t>Quimetales</t>
  </si>
  <si>
    <t>1296SG</t>
  </si>
  <si>
    <t>1297SG</t>
  </si>
  <si>
    <t>1298SG</t>
  </si>
  <si>
    <t>Hospital Sevilla</t>
  </si>
  <si>
    <t>1299SG</t>
  </si>
  <si>
    <t>1300SG</t>
  </si>
  <si>
    <t>1301SG</t>
  </si>
  <si>
    <t>Buenos Aires</t>
  </si>
  <si>
    <t>Tangarife</t>
  </si>
  <si>
    <t>1302SG</t>
  </si>
  <si>
    <t xml:space="preserve">Sebastián </t>
  </si>
  <si>
    <t>Vélez</t>
  </si>
  <si>
    <t>1303SG</t>
  </si>
  <si>
    <t>Matadero</t>
  </si>
  <si>
    <t>Amagá</t>
  </si>
  <si>
    <t>1304SG</t>
  </si>
  <si>
    <t>Panadería</t>
  </si>
  <si>
    <t>Depaso</t>
  </si>
  <si>
    <t>Medelín</t>
  </si>
  <si>
    <t>1305SG</t>
  </si>
  <si>
    <t>MIO CABLE</t>
  </si>
  <si>
    <t>Cañaveralejo</t>
  </si>
  <si>
    <t>1306SG</t>
  </si>
  <si>
    <t>1307SG</t>
  </si>
  <si>
    <t>Hospital San Antonio</t>
  </si>
  <si>
    <t>1308SG</t>
  </si>
  <si>
    <t>Comercializadora de Pulpa</t>
  </si>
  <si>
    <t>1309SG</t>
  </si>
  <si>
    <t>Chorimaster</t>
  </si>
  <si>
    <t>1310SG</t>
  </si>
  <si>
    <t>Torre Médica El Tesoro</t>
  </si>
  <si>
    <t>1311SG</t>
  </si>
  <si>
    <t>Almaviva Bquilla</t>
  </si>
  <si>
    <t>Bdg 5</t>
  </si>
  <si>
    <t>1312SG</t>
  </si>
  <si>
    <t>Bdg 4</t>
  </si>
  <si>
    <t>1313SG</t>
  </si>
  <si>
    <t>Clínica Oftalmológica</t>
  </si>
  <si>
    <t>Yumbo</t>
  </si>
  <si>
    <t>1314SG</t>
  </si>
  <si>
    <t>1315SG</t>
  </si>
  <si>
    <t>1316SG</t>
  </si>
  <si>
    <t>Sandra</t>
  </si>
  <si>
    <t>Londoño</t>
  </si>
  <si>
    <t>1317SG</t>
  </si>
  <si>
    <t xml:space="preserve">Julio </t>
  </si>
  <si>
    <t>1318SG</t>
  </si>
  <si>
    <t>Juan Camilo</t>
  </si>
  <si>
    <t>Maria Paula</t>
  </si>
  <si>
    <t>1319SG</t>
  </si>
  <si>
    <t>Rafael</t>
  </si>
  <si>
    <t>1320SG</t>
  </si>
  <si>
    <t>Diamond CUT y CIA LTDA</t>
  </si>
  <si>
    <t>Tenjo</t>
  </si>
  <si>
    <t>1321SG</t>
  </si>
  <si>
    <t>Tenjo 2</t>
  </si>
  <si>
    <t>1322SG</t>
  </si>
  <si>
    <t>Índice Producción</t>
  </si>
  <si>
    <t>Cliente Juan Camilo</t>
  </si>
  <si>
    <t>1323SG</t>
  </si>
  <si>
    <t xml:space="preserve"> Cali - Viáticos</t>
  </si>
  <si>
    <t>1324SG</t>
  </si>
  <si>
    <t>1325SG</t>
  </si>
  <si>
    <t>PLAFA</t>
  </si>
  <si>
    <t>Situación Actual</t>
  </si>
  <si>
    <t>1326SG</t>
  </si>
  <si>
    <t>Mácximo Situación Actual</t>
  </si>
  <si>
    <t>1327SG</t>
  </si>
  <si>
    <t>Surtitodo</t>
  </si>
  <si>
    <t>Elite de la Moda</t>
  </si>
  <si>
    <t>1328SG</t>
  </si>
  <si>
    <t>1329SG</t>
  </si>
  <si>
    <t>Centro Comercial El Arca</t>
  </si>
  <si>
    <t>1330SG</t>
  </si>
  <si>
    <t>Citadela di Park</t>
  </si>
  <si>
    <t>1331SG</t>
  </si>
  <si>
    <t>Guiillermo Torres</t>
  </si>
  <si>
    <t>1332SG</t>
  </si>
  <si>
    <t>1333SG</t>
  </si>
  <si>
    <t>Quinatanar del Rodeo 2</t>
  </si>
  <si>
    <t>1334SG</t>
  </si>
  <si>
    <t>Ecoparque Los Saltos</t>
  </si>
  <si>
    <t>Abejorral</t>
  </si>
  <si>
    <t>Factor Sobredimensionamiento</t>
  </si>
  <si>
    <t>1335SG</t>
  </si>
  <si>
    <t>Piamonte</t>
  </si>
  <si>
    <t>1336SG</t>
  </si>
  <si>
    <t>1337SG</t>
  </si>
  <si>
    <t>Supermercado Surtiplaza</t>
  </si>
  <si>
    <t>1338SG</t>
  </si>
  <si>
    <t>Unidad Azalea del Parque</t>
  </si>
  <si>
    <t>1339SG</t>
  </si>
  <si>
    <t>Supermercado La 13</t>
  </si>
  <si>
    <t>1340SG</t>
  </si>
  <si>
    <t>Mayorca Etapa 1</t>
  </si>
  <si>
    <t>Sin Car - Port</t>
  </si>
  <si>
    <t>1341SG</t>
  </si>
  <si>
    <t>Con Car - Port</t>
  </si>
  <si>
    <t>1342SG</t>
  </si>
  <si>
    <t>González Salazar - Casa</t>
  </si>
  <si>
    <t>1343SG</t>
  </si>
  <si>
    <t>1344SG</t>
  </si>
  <si>
    <t>Élite de la Moda Medellín</t>
  </si>
  <si>
    <t>1345SG</t>
  </si>
  <si>
    <t>Centro Comercial El Hueco</t>
  </si>
  <si>
    <t>Pérdida Adicional Eficiencia</t>
  </si>
  <si>
    <t>Índice de producción</t>
  </si>
  <si>
    <t>kWh/kWp</t>
  </si>
  <si>
    <t>Tarifa Eléctrica Equivalente</t>
  </si>
  <si>
    <t>1346SG</t>
  </si>
  <si>
    <t>Centro Comercial El Hueco Correcta</t>
  </si>
  <si>
    <t>1347SG</t>
  </si>
  <si>
    <t>Panel solar Monocristalino  HalfCell (540W)</t>
  </si>
  <si>
    <t>Villas de Santa Teresa</t>
  </si>
  <si>
    <t>Envigado</t>
  </si>
  <si>
    <t>1348SG</t>
  </si>
  <si>
    <t>1349SG</t>
  </si>
  <si>
    <t>Helados Bugui</t>
  </si>
  <si>
    <t>1350SG</t>
  </si>
  <si>
    <t>1351SG</t>
  </si>
  <si>
    <t>Características Principales</t>
  </si>
  <si>
    <t>Potencia del Sistema</t>
  </si>
  <si>
    <t>Cantidad de Páneles</t>
  </si>
  <si>
    <t>unidades</t>
  </si>
  <si>
    <t>Ahorro Anual Real</t>
  </si>
  <si>
    <t>Ahorros (EPC)</t>
  </si>
  <si>
    <t>anuales</t>
  </si>
  <si>
    <t>Área a ocupar</t>
  </si>
  <si>
    <t>Emisiones evitadas</t>
  </si>
  <si>
    <t>tonCO2/año</t>
  </si>
  <si>
    <t>1352SG</t>
  </si>
  <si>
    <t>Tarifa Eléctrica Actual</t>
  </si>
  <si>
    <t>1353SG</t>
  </si>
  <si>
    <t>Ñaqui Ñaqui</t>
  </si>
  <si>
    <t>1354SG</t>
  </si>
  <si>
    <t>DePaso Panadería</t>
  </si>
  <si>
    <t>1355SG</t>
  </si>
  <si>
    <t>*Fecha*</t>
  </si>
  <si>
    <t>*Lugar*</t>
  </si>
  <si>
    <t>*Nombre*</t>
  </si>
  <si>
    <t>*Consumo*</t>
  </si>
  <si>
    <t>*Tarifa*</t>
  </si>
  <si>
    <t>*Rad*</t>
  </si>
  <si>
    <t>*kWp*</t>
  </si>
  <si>
    <t>*Gen*</t>
  </si>
  <si>
    <t>*Area*</t>
  </si>
  <si>
    <t>*Paneles*</t>
  </si>
  <si>
    <t>*Pct*</t>
  </si>
  <si>
    <t>*Ton*</t>
  </si>
  <si>
    <r>
      <t>m</t>
    </r>
    <r>
      <rPr>
        <vertAlign val="superscript"/>
        <sz val="11"/>
        <color theme="1"/>
        <rFont val="Montserrat"/>
        <family val="3"/>
      </rPr>
      <t>2</t>
    </r>
  </si>
  <si>
    <t>1356SG</t>
  </si>
  <si>
    <t>*Cot*</t>
  </si>
  <si>
    <t>Ideartes Impresiones</t>
  </si>
  <si>
    <t>1357SG</t>
  </si>
  <si>
    <t>Helm Trust</t>
  </si>
  <si>
    <t>1358SG</t>
  </si>
  <si>
    <t>1359SG</t>
  </si>
  <si>
    <t>Piamonte Final</t>
  </si>
  <si>
    <t>1360SG</t>
  </si>
  <si>
    <t>Toulouse</t>
  </si>
  <si>
    <t>1361SG</t>
  </si>
  <si>
    <t>1362SG</t>
  </si>
  <si>
    <t>Padre Jorge Villalobos</t>
  </si>
  <si>
    <t>1363SG</t>
  </si>
  <si>
    <t>El Hueco #1</t>
  </si>
  <si>
    <t>1364SG</t>
  </si>
  <si>
    <t>Con Tarifa Bien</t>
  </si>
  <si>
    <t>1365SG</t>
  </si>
  <si>
    <t>1366SG</t>
  </si>
  <si>
    <t>1367SG</t>
  </si>
  <si>
    <t>CC Molino Viejo</t>
  </si>
  <si>
    <t>1368SG</t>
  </si>
  <si>
    <t>Gualanday Casa</t>
  </si>
  <si>
    <t>Porcentaje de autonomía</t>
  </si>
  <si>
    <t>Número de Baterías</t>
  </si>
  <si>
    <t>Híbrido</t>
  </si>
  <si>
    <t>1369SG</t>
  </si>
  <si>
    <t xml:space="preserve">On-Grid </t>
  </si>
  <si>
    <t>1370SG</t>
  </si>
  <si>
    <t>Cali Sin Instalación</t>
  </si>
  <si>
    <t>1371SG</t>
  </si>
  <si>
    <t>1372SG</t>
  </si>
  <si>
    <t>Actualizada</t>
  </si>
  <si>
    <t>1373SG</t>
  </si>
  <si>
    <t>Laura Zuluaga</t>
  </si>
  <si>
    <t>El Carmen de Viboral</t>
  </si>
  <si>
    <t>1374SG</t>
  </si>
  <si>
    <t>Kuelp</t>
  </si>
  <si>
    <t>1375SG</t>
  </si>
  <si>
    <t>Luz Stella</t>
  </si>
  <si>
    <t>Ibarra</t>
  </si>
  <si>
    <t>1376SG</t>
  </si>
  <si>
    <t>Wilmar</t>
  </si>
  <si>
    <t>El Diamante</t>
  </si>
  <si>
    <t>1377SG</t>
  </si>
  <si>
    <t>El Camionero</t>
  </si>
  <si>
    <t>1378SG</t>
  </si>
  <si>
    <t>Ed. Natuzzi Living</t>
  </si>
  <si>
    <t>1379SG</t>
  </si>
  <si>
    <t>GALCO</t>
  </si>
  <si>
    <t>1380SG</t>
  </si>
  <si>
    <t>Multivariedades El Hueco</t>
  </si>
  <si>
    <t>1381SG</t>
  </si>
  <si>
    <t>Jardines de San Remo</t>
  </si>
  <si>
    <t>1382SG</t>
  </si>
  <si>
    <t>Hotel La Posada</t>
  </si>
  <si>
    <t>1300 kWh</t>
  </si>
  <si>
    <t>1383SG</t>
  </si>
  <si>
    <t>80 pct</t>
  </si>
  <si>
    <t>1384SG</t>
  </si>
  <si>
    <t>Casa</t>
  </si>
  <si>
    <t>1385SG</t>
  </si>
  <si>
    <t>El Arbolito</t>
  </si>
  <si>
    <t>1386SG</t>
  </si>
  <si>
    <t>Grupo Empresarial La Dolores</t>
  </si>
  <si>
    <t>Palmira</t>
  </si>
  <si>
    <t>1387SG</t>
  </si>
  <si>
    <t>Arrodillados</t>
  </si>
  <si>
    <t>1388SG</t>
  </si>
  <si>
    <t>SRES INVERSIONES</t>
  </si>
  <si>
    <t>Juan Úsuga</t>
  </si>
  <si>
    <t>1389SG</t>
  </si>
  <si>
    <t>Siempre Verde 12K</t>
  </si>
  <si>
    <t>Inversor NextCityLabs 10 kW trifásico</t>
  </si>
  <si>
    <t>1390SG</t>
  </si>
  <si>
    <t>Pasaje de Cali</t>
  </si>
  <si>
    <t>1391SG</t>
  </si>
  <si>
    <t>Textilera Rionegro</t>
  </si>
  <si>
    <t>1392SG</t>
  </si>
  <si>
    <t>1393SG</t>
  </si>
  <si>
    <t>6932398 PPA</t>
  </si>
  <si>
    <t>1394SG</t>
  </si>
  <si>
    <t>Tío Cristian</t>
  </si>
  <si>
    <t>1395SG</t>
  </si>
  <si>
    <t>Escobar</t>
  </si>
  <si>
    <t>1396SG</t>
  </si>
  <si>
    <t>1397SG</t>
  </si>
  <si>
    <t>1398SG</t>
  </si>
  <si>
    <t>1399SG</t>
  </si>
  <si>
    <t>1400SG</t>
  </si>
  <si>
    <t>Hotel San Francisco</t>
  </si>
  <si>
    <t>Majagual</t>
  </si>
  <si>
    <t>1401SG</t>
  </si>
  <si>
    <t>Industrias PHILAE</t>
  </si>
  <si>
    <t>1402SG</t>
  </si>
  <si>
    <t>PPA</t>
  </si>
  <si>
    <t>1403SG</t>
  </si>
  <si>
    <t>DePaso</t>
  </si>
  <si>
    <t>1404SG</t>
  </si>
  <si>
    <t>Gustavo</t>
  </si>
  <si>
    <t>Jaramillo</t>
  </si>
  <si>
    <t>Llanogrande</t>
  </si>
  <si>
    <t>1405SG</t>
  </si>
  <si>
    <t>Gustavo Jaramillo</t>
  </si>
  <si>
    <t>Final</t>
  </si>
  <si>
    <t>1406SG</t>
  </si>
  <si>
    <t>1407SG</t>
  </si>
  <si>
    <t>Cristian Arboleda</t>
  </si>
  <si>
    <t>Gualanday Recomendación MS</t>
  </si>
  <si>
    <t>Rionegro, Antioquia</t>
  </si>
  <si>
    <t>1408SG</t>
  </si>
  <si>
    <t>Gualanday Híbrida 2h</t>
  </si>
  <si>
    <t>1409SG</t>
  </si>
  <si>
    <t>Último Registro</t>
  </si>
  <si>
    <t>*Ref Paneles*</t>
  </si>
  <si>
    <t>*Ref Inversor*</t>
  </si>
  <si>
    <t>*Inversores*</t>
  </si>
  <si>
    <t>*Subtotal*</t>
  </si>
  <si>
    <t>*IVA*</t>
  </si>
  <si>
    <t>*Total*</t>
  </si>
  <si>
    <t>*AhorroAn*</t>
  </si>
  <si>
    <t>*AhorroMes*</t>
  </si>
  <si>
    <t>*WACC*</t>
  </si>
  <si>
    <t>*LCOE*</t>
  </si>
  <si>
    <t>*TIR10*</t>
  </si>
  <si>
    <t>*TIR25*</t>
  </si>
  <si>
    <t>*PRI*</t>
  </si>
  <si>
    <t>Sopó</t>
  </si>
  <si>
    <t>Chinchimbo</t>
  </si>
  <si>
    <t>1410SG</t>
  </si>
  <si>
    <t>Simón García</t>
  </si>
  <si>
    <t>Prueba Nuevo</t>
  </si>
  <si>
    <t>1411SG</t>
  </si>
  <si>
    <t xml:space="preserve">Gustavo </t>
  </si>
  <si>
    <t>1412SG</t>
  </si>
  <si>
    <t>Potencia Unit</t>
  </si>
  <si>
    <t xml:space="preserve">Est. meteorologíca </t>
  </si>
  <si>
    <t>Consumo [Wh/día]</t>
  </si>
  <si>
    <t>Humberto</t>
  </si>
  <si>
    <t>Rosa</t>
  </si>
  <si>
    <t>Sincelejo</t>
  </si>
  <si>
    <t>Tipo Batería</t>
  </si>
  <si>
    <t>Tipo de Batería</t>
  </si>
  <si>
    <t>Gel</t>
  </si>
  <si>
    <t>Cálculo Baterías</t>
  </si>
  <si>
    <t>Eficiencia Batería</t>
  </si>
  <si>
    <t>Eficiencia Resto Sistema</t>
  </si>
  <si>
    <t>Promedio diario [kWh]</t>
  </si>
  <si>
    <t>Gaviria</t>
  </si>
  <si>
    <t>Copacabana</t>
  </si>
  <si>
    <t>1413SG</t>
  </si>
  <si>
    <t>Carlos Andrés</t>
  </si>
  <si>
    <t>Flórez</t>
  </si>
  <si>
    <t>1414SG</t>
  </si>
  <si>
    <t>Megacentro</t>
  </si>
  <si>
    <t>Carabobo</t>
  </si>
  <si>
    <t>1415SG</t>
  </si>
  <si>
    <t>Gran Plaza</t>
  </si>
  <si>
    <t>1416SG</t>
  </si>
  <si>
    <t>Bioplast</t>
  </si>
  <si>
    <t>1417SG</t>
  </si>
  <si>
    <t>Jorge</t>
  </si>
  <si>
    <t>Soto</t>
  </si>
  <si>
    <t>1418SG</t>
  </si>
  <si>
    <t>Carlos</t>
  </si>
  <si>
    <t>1419SG</t>
  </si>
  <si>
    <t>Padre</t>
  </si>
  <si>
    <t>Villalobos</t>
  </si>
  <si>
    <t>1420SG</t>
  </si>
  <si>
    <t>1421SG</t>
  </si>
  <si>
    <t>Conjunto Residencial Atenas</t>
  </si>
  <si>
    <t>1422SG</t>
  </si>
  <si>
    <t>Casa Constructora</t>
  </si>
  <si>
    <t>1423SG</t>
  </si>
  <si>
    <t>Puerta del Rodeo</t>
  </si>
  <si>
    <t>1424SG</t>
  </si>
  <si>
    <t>Proyecto Amagá KVA Retie</t>
  </si>
  <si>
    <t>1425SG</t>
  </si>
  <si>
    <t>Constructora sin IVA MS</t>
  </si>
  <si>
    <t>1426SG</t>
  </si>
  <si>
    <t>Must Go Glamping</t>
  </si>
  <si>
    <t>Santa Elena</t>
  </si>
  <si>
    <t>1427SG</t>
  </si>
  <si>
    <t>1428SG</t>
  </si>
  <si>
    <t>Ñaqui Ñaqui 2022</t>
  </si>
  <si>
    <t xml:space="preserve">Estación meteorológíca </t>
  </si>
  <si>
    <t>1429SG</t>
  </si>
  <si>
    <t>Leydy Serna</t>
  </si>
  <si>
    <t>1430SG</t>
  </si>
  <si>
    <t>La Española</t>
  </si>
  <si>
    <t>1431SG</t>
  </si>
  <si>
    <t>Job Center 201</t>
  </si>
  <si>
    <t>1432SG</t>
  </si>
  <si>
    <t>Job Center 301</t>
  </si>
  <si>
    <t>1433SG</t>
  </si>
  <si>
    <t>1434SG</t>
  </si>
  <si>
    <t>Alizares 1</t>
  </si>
  <si>
    <t>Potencia Instalada (DC)</t>
  </si>
  <si>
    <t>kW</t>
  </si>
  <si>
    <t>Potencia Instalada (AC)</t>
  </si>
  <si>
    <t>Radiación Promedio (IDEAM)</t>
  </si>
  <si>
    <t>kWh/m2/día</t>
  </si>
  <si>
    <t>OPEX/CAPEX</t>
  </si>
  <si>
    <t>PPA 10 años</t>
  </si>
  <si>
    <t>Financiación</t>
  </si>
  <si>
    <t>PPA 15 años</t>
  </si>
  <si>
    <t>¿Financiación?</t>
  </si>
  <si>
    <t>Buscar Objetivo 0</t>
  </si>
  <si>
    <t>¿Beneficios Tributarios?</t>
  </si>
  <si>
    <t>Sí</t>
  </si>
  <si>
    <t>TIR 10</t>
  </si>
  <si>
    <t>TIR 15</t>
  </si>
  <si>
    <t>Duración Contrato</t>
  </si>
  <si>
    <t>Costo por kWh</t>
  </si>
  <si>
    <t>Ahorro contra E.P.S.</t>
  </si>
  <si>
    <t>10 años</t>
  </si>
  <si>
    <t>15 años</t>
  </si>
  <si>
    <t>LCOE</t>
  </si>
  <si>
    <t>20 años</t>
  </si>
  <si>
    <t>Tasa interna de retorno (TIR)</t>
  </si>
  <si>
    <t>TIR Modificada (Financiado)</t>
  </si>
  <si>
    <t>Ahorro Anual</t>
  </si>
  <si>
    <t>Plazo (meses)</t>
  </si>
  <si>
    <t>Tasa M.V.</t>
  </si>
  <si>
    <t>Tasa E.A.</t>
  </si>
  <si>
    <t>Monto</t>
  </si>
  <si>
    <t>Cuota Mensual</t>
  </si>
  <si>
    <t>Cuota Anual</t>
  </si>
  <si>
    <t>Porcentaje de Cobertura</t>
  </si>
  <si>
    <t>del promedio</t>
  </si>
  <si>
    <t>Tarifa PPA ($/kWh)</t>
  </si>
  <si>
    <t>Tamaño Proyecto</t>
  </si>
  <si>
    <t>Duración PPA (años)</t>
  </si>
  <si>
    <t>Ahorro anual proyecto (año 1)</t>
  </si>
  <si>
    <t>Valor Cuota Mensual PPA</t>
  </si>
  <si>
    <t>Tarifa actual por kWh</t>
  </si>
  <si>
    <t>Flujo de Caja PPA 10 años</t>
  </si>
  <si>
    <t>Energía Generada</t>
  </si>
  <si>
    <t>Ahorro por kWh</t>
  </si>
  <si>
    <t>Flujo de Caja PPA 15 años</t>
  </si>
  <si>
    <t>Versión</t>
  </si>
  <si>
    <t>Fecha de versión</t>
  </si>
  <si>
    <t>NOMBRE ALIADO*</t>
  </si>
  <si>
    <t>MODALIDAD*</t>
  </si>
  <si>
    <t>FULL EPC</t>
  </si>
  <si>
    <t>MODALIDAD PPA*</t>
  </si>
  <si>
    <t>Con Cesión de Activos Pague lo Generado</t>
  </si>
  <si>
    <t>DURACIÓN PPA CON CESION DE ACTIVOS*</t>
  </si>
  <si>
    <t>Otra</t>
  </si>
  <si>
    <t>FECHA</t>
  </si>
  <si>
    <t>DURACIÓN PPA SIN CESION DE ACTIVOS*</t>
  </si>
  <si>
    <t>10,15, 20 años</t>
  </si>
  <si>
    <t>TIPO DE USUARIO*</t>
  </si>
  <si>
    <t>COMERCIAL</t>
  </si>
  <si>
    <t>OTRA DURACIÓN PPA</t>
  </si>
  <si>
    <t>NOMBRE PROYECTO*</t>
  </si>
  <si>
    <t>CONTACTO ALIADO</t>
  </si>
  <si>
    <t>E-mail:</t>
  </si>
  <si>
    <t>Telefono:</t>
  </si>
  <si>
    <t>300 298 1219</t>
  </si>
  <si>
    <t>INFORMACIÓN SOLICITADA</t>
  </si>
  <si>
    <t>DESCRIPCIÓN</t>
  </si>
  <si>
    <t>Ubicación del Proyecto*</t>
  </si>
  <si>
    <t>Ubicación del proyecto (Link Google Maps)</t>
  </si>
  <si>
    <t>https://goo.gl/maps/hQVjMxKzS3wBVDuX8</t>
  </si>
  <si>
    <t>Tarifa Operador de Red (Adjuntar Factura)*</t>
  </si>
  <si>
    <t>El cliente paga contrbución?</t>
  </si>
  <si>
    <t>Valor Tarifa OR ($/kWh)</t>
  </si>
  <si>
    <t>Consumo Actual*</t>
  </si>
  <si>
    <t>Consumo Promedio Energía Activa mes (kWh/mes)</t>
  </si>
  <si>
    <t>Propiedad del Transformador</t>
  </si>
  <si>
    <t>Propio</t>
  </si>
  <si>
    <t>Potencia Sistema Solar Fotovoltaico*</t>
  </si>
  <si>
    <t>Potencia en DC (kWp)</t>
  </si>
  <si>
    <t>Potencia en AC (kW)</t>
  </si>
  <si>
    <t>Cantidad Paneles</t>
  </si>
  <si>
    <t>Cantidad Inversores por tipo</t>
  </si>
  <si>
    <t>Potencia por panel (W)</t>
  </si>
  <si>
    <t>Potencia por Inversor de cada tipo (kW)</t>
  </si>
  <si>
    <t xml:space="preserve">Fabricante Panel </t>
  </si>
  <si>
    <t>Jinko-Canadian</t>
  </si>
  <si>
    <t>Fabricante Inversor</t>
  </si>
  <si>
    <t>CPS</t>
  </si>
  <si>
    <t>Generación de energía*</t>
  </si>
  <si>
    <t>Energía generada el primer año (kWh)</t>
  </si>
  <si>
    <t>Rendimiento Anual especifico (kWh/kWp)</t>
  </si>
  <si>
    <t>% Anual de degradación de la energía</t>
  </si>
  <si>
    <t>Fuente de datos de radiación Solar</t>
  </si>
  <si>
    <t>IDEAM</t>
  </si>
  <si>
    <t>Costos*</t>
  </si>
  <si>
    <t xml:space="preserve">Costo de Paneles </t>
  </si>
  <si>
    <t>% Del costo de mantenimiento en relacion al costo del proyecto</t>
  </si>
  <si>
    <t>Costo de Inversores</t>
  </si>
  <si>
    <t>Costo Total del Proyecto</t>
  </si>
  <si>
    <t>Información para Adjuntar</t>
  </si>
  <si>
    <t>1) Dos (2) Facturas de Energía (1 época pre-covid y la más reciente)
2) Perfil de Consumo/Demanda (Necesario si el proyecto supera los 100kW en AC y se estima generar más del 20% del total de energía consumida)
3)Oferta EPC Enviada al Cliente</t>
  </si>
  <si>
    <t>Alcance del proyecto por parte del Aliado (Diseño, puesta en marcha, legalizacion y trámites ante la UPME)*</t>
  </si>
  <si>
    <t>Como contratistas haríamos todo.</t>
  </si>
  <si>
    <t>Nota: Los campos con * se deben diligenciar de forma obligatoria.</t>
  </si>
  <si>
    <t>Modalidad del Proyecto</t>
  </si>
  <si>
    <t>Contribución en la tarifa</t>
  </si>
  <si>
    <t>USUARIO</t>
  </si>
  <si>
    <t>Modalidad PPA</t>
  </si>
  <si>
    <t>Duración PPA</t>
  </si>
  <si>
    <t>SI</t>
  </si>
  <si>
    <t>RESIDENCIAL</t>
  </si>
  <si>
    <t>6 años</t>
  </si>
  <si>
    <t>HALF EPC</t>
  </si>
  <si>
    <t>NO</t>
  </si>
  <si>
    <t>Con Cesión de Activos Pague lo Consumido</t>
  </si>
  <si>
    <t>8 años</t>
  </si>
  <si>
    <t>CONSTRUCCIÓN</t>
  </si>
  <si>
    <t>INDUSTRIAL</t>
  </si>
  <si>
    <t>Sin Cesión de Activos Pague lo Generado</t>
  </si>
  <si>
    <t>12 años</t>
  </si>
  <si>
    <t>Sin Cesión de Activos Pague lo Consumido</t>
  </si>
  <si>
    <t>Con Cesión y Sin Cesión de Activos Pague lo Generado</t>
  </si>
  <si>
    <t>Con Cesión y Sin Cesión de Activos Pague lo Consumido</t>
  </si>
  <si>
    <t>6, 8 años</t>
  </si>
  <si>
    <t>8,10 años</t>
  </si>
  <si>
    <t>8,12 años</t>
  </si>
  <si>
    <t>10,15 años</t>
  </si>
  <si>
    <t>15,20 años</t>
  </si>
  <si>
    <t>6,8,10 años</t>
  </si>
  <si>
    <t>6,8,12 años</t>
  </si>
  <si>
    <t>Parametros de diseño</t>
  </si>
  <si>
    <t>Consumo (kWh/año)</t>
  </si>
  <si>
    <t>Área de Instalación (m2)</t>
  </si>
  <si>
    <t>Pago de Energía (COP/año)</t>
  </si>
  <si>
    <t>Marca</t>
  </si>
  <si>
    <t>APSystem</t>
  </si>
  <si>
    <t>Fronius</t>
  </si>
  <si>
    <t>Canadian Solar</t>
  </si>
  <si>
    <t>Next City Labs</t>
  </si>
  <si>
    <t>Canadian Solar - Inversor Central Residencial 7kw 220Vac WIFI</t>
  </si>
  <si>
    <t>Inversor Fronius Primo 10,0-1 208-240</t>
  </si>
  <si>
    <t>Inversor Fronius Primo 5,0-1 208-240</t>
  </si>
  <si>
    <t>Inversor Fronius Primo 3,8-1 208-240</t>
  </si>
  <si>
    <t>Inversor Fronius Symo 10,0-3 208-240</t>
  </si>
  <si>
    <t>Inversor Fronius Symo 15,0-3 208</t>
  </si>
  <si>
    <t>Mondeda</t>
  </si>
  <si>
    <t>1435SG</t>
  </si>
  <si>
    <t>1436SG</t>
  </si>
  <si>
    <t>Padre Villalobos</t>
  </si>
  <si>
    <t>Barbosa</t>
  </si>
  <si>
    <t>1437SG</t>
  </si>
  <si>
    <t>1438SG</t>
  </si>
  <si>
    <t>1439SG</t>
  </si>
  <si>
    <t>1440SG</t>
  </si>
  <si>
    <t>1441SG</t>
  </si>
  <si>
    <t>Eduardo López</t>
  </si>
  <si>
    <t>San Pedro</t>
  </si>
  <si>
    <t>1442SG</t>
  </si>
  <si>
    <t xml:space="preserve"> </t>
  </si>
  <si>
    <t>1443SG</t>
  </si>
  <si>
    <t>Quirama Coworking</t>
  </si>
  <si>
    <t>San Antonio de Pereira</t>
  </si>
  <si>
    <t>1444SG</t>
  </si>
  <si>
    <t>*PRI2*</t>
  </si>
  <si>
    <t>Orlando</t>
  </si>
  <si>
    <t>Pobaldo del Hato 56</t>
  </si>
  <si>
    <t>1445SG</t>
  </si>
  <si>
    <t>Cocina eléctrica</t>
  </si>
  <si>
    <t>Viáticos</t>
  </si>
  <si>
    <t>Offgrid</t>
  </si>
  <si>
    <t>Full</t>
  </si>
  <si>
    <t>Batería Litio US5000 48V Pylontech</t>
  </si>
  <si>
    <t xml:space="preserve">Precio </t>
  </si>
  <si>
    <t>Teléfono</t>
  </si>
  <si>
    <t>Panel Solar Policristalino 40W Inti</t>
  </si>
  <si>
    <t>Panel Solar Policristalino 60W Inti</t>
  </si>
  <si>
    <t>Panel Solar Policristalino 80W Inti</t>
  </si>
  <si>
    <t>Panel Solar Policristalino 100W Inti</t>
  </si>
  <si>
    <t>Panel Solar Policristalino 140W Inti</t>
  </si>
  <si>
    <t>Panel Solar Policristalino 200W Inti</t>
  </si>
  <si>
    <t>Panel Solar Policristalino 310W Inti</t>
  </si>
  <si>
    <t>1446SG</t>
  </si>
  <si>
    <t>1447SG</t>
  </si>
  <si>
    <t>1448SG</t>
  </si>
  <si>
    <t>*PPA10*</t>
  </si>
  <si>
    <t>*PPA15*</t>
  </si>
  <si>
    <t>*PPA20*</t>
  </si>
  <si>
    <t>*APPA10*</t>
  </si>
  <si>
    <t>*APPA15*</t>
  </si>
  <si>
    <t>*APPA20*</t>
  </si>
  <si>
    <t>1449SG</t>
  </si>
  <si>
    <t>1450SG</t>
  </si>
  <si>
    <t>1451SG</t>
  </si>
  <si>
    <t>1452SG</t>
  </si>
  <si>
    <t>Nativo Flora</t>
  </si>
  <si>
    <t>1453SG</t>
  </si>
  <si>
    <t>1454SG</t>
  </si>
  <si>
    <t>1455SG</t>
  </si>
  <si>
    <t>I.C. Ribon</t>
  </si>
  <si>
    <t>1456SG</t>
  </si>
  <si>
    <t>1457SG</t>
  </si>
  <si>
    <t>Valor u obras adicionales</t>
  </si>
  <si>
    <t>Medidor</t>
  </si>
  <si>
    <t>Obras adicionales</t>
  </si>
  <si>
    <t>Gran Plaza Car Port</t>
  </si>
  <si>
    <t>1458SG</t>
  </si>
  <si>
    <t>Gran Plaza Sobre Manto</t>
  </si>
  <si>
    <t>1459SG</t>
  </si>
  <si>
    <t>1460SG</t>
  </si>
  <si>
    <t>1461SG</t>
  </si>
  <si>
    <t>Galco</t>
  </si>
  <si>
    <t>1462SG</t>
  </si>
  <si>
    <t>1463SG</t>
  </si>
  <si>
    <t>1464SG</t>
  </si>
  <si>
    <t xml:space="preserve">Stop Jeans </t>
  </si>
  <si>
    <t>ADM-1068729</t>
  </si>
  <si>
    <t>1465SG</t>
  </si>
  <si>
    <t>ADM-1069564</t>
  </si>
  <si>
    <t>1466SG</t>
  </si>
  <si>
    <t>Industrial-1216901</t>
  </si>
  <si>
    <t>1467SG</t>
  </si>
  <si>
    <t>PIJAO S.A.</t>
  </si>
  <si>
    <t>1468SG</t>
  </si>
  <si>
    <t>Guillermo La Ceja</t>
  </si>
  <si>
    <t>1469SG</t>
  </si>
  <si>
    <t>Guillermo La Ceja (13 kWp)</t>
  </si>
  <si>
    <t>1470SG</t>
  </si>
  <si>
    <t>Soccar La Ceja (13 kWp)</t>
  </si>
  <si>
    <t>1471SG</t>
  </si>
  <si>
    <t>1472SG</t>
  </si>
  <si>
    <t xml:space="preserve">Soccar Finca </t>
  </si>
  <si>
    <t>1473SG</t>
  </si>
  <si>
    <t>Luz Estella</t>
  </si>
  <si>
    <t>Yarumo</t>
  </si>
  <si>
    <t>1474SG</t>
  </si>
  <si>
    <t>Factor Simultaneidad</t>
  </si>
  <si>
    <t>SD en Páneles</t>
  </si>
  <si>
    <t>Consumo promedio día [kWh]</t>
  </si>
  <si>
    <t>Potencia Pico del arreglo [kWp]</t>
  </si>
  <si>
    <t>1475SG</t>
  </si>
  <si>
    <t>Vigencia (días)</t>
  </si>
  <si>
    <t>1476SG</t>
  </si>
  <si>
    <t>*Ref Controlador*</t>
  </si>
  <si>
    <t>*Ref Bateria*</t>
  </si>
  <si>
    <t>*Controladores*</t>
  </si>
  <si>
    <t>*Baterias*</t>
  </si>
  <si>
    <t>*VUBESS*</t>
  </si>
  <si>
    <t>*VUSSFV*</t>
  </si>
  <si>
    <t>Andrés</t>
  </si>
  <si>
    <t>Mejía</t>
  </si>
  <si>
    <t>Santa Marta</t>
  </si>
  <si>
    <t>Tipo de proyecto</t>
  </si>
  <si>
    <t>Tipo proyecto Off-grid</t>
  </si>
  <si>
    <t>Kit Solar</t>
  </si>
  <si>
    <t>Proyecto completo</t>
  </si>
  <si>
    <t>1477SG</t>
  </si>
  <si>
    <t>*Apellido*</t>
  </si>
  <si>
    <t>Ed. Eslovaquia</t>
  </si>
  <si>
    <t>1478SG</t>
  </si>
  <si>
    <t>Soccar La Ceja</t>
  </si>
  <si>
    <t>1479SG</t>
  </si>
  <si>
    <t>1480SG</t>
  </si>
  <si>
    <t>Oasis de Los Colores</t>
  </si>
  <si>
    <t>1481SG</t>
  </si>
  <si>
    <t>Oasis de Los Colores Int 3</t>
  </si>
  <si>
    <t>1482SG</t>
  </si>
  <si>
    <t>CC San Francisco</t>
  </si>
  <si>
    <t>1483SG</t>
  </si>
  <si>
    <t>Bloque 1</t>
  </si>
  <si>
    <t>1484SG</t>
  </si>
  <si>
    <t>Charlie</t>
  </si>
  <si>
    <t>1485SG</t>
  </si>
  <si>
    <t>Ñaki Ñaki</t>
  </si>
  <si>
    <t>1486SG</t>
  </si>
  <si>
    <t>1487SG</t>
  </si>
  <si>
    <t>Santa Rosa de Osos</t>
  </si>
  <si>
    <t>Agropecuaria Hungría</t>
  </si>
  <si>
    <t>1488SG</t>
  </si>
  <si>
    <t>Camilo SPDM</t>
  </si>
  <si>
    <t>1489SG</t>
  </si>
  <si>
    <t>1490SG</t>
  </si>
  <si>
    <t>TCI Redes Eléctricas</t>
  </si>
  <si>
    <t>1491SG</t>
  </si>
  <si>
    <t>Siempre Verde</t>
  </si>
  <si>
    <t>1492SG</t>
  </si>
  <si>
    <t>11 4681386</t>
  </si>
  <si>
    <t>1493SG</t>
  </si>
  <si>
    <t>1494SG</t>
  </si>
  <si>
    <t>1495SG</t>
  </si>
  <si>
    <t>Colegio Los Cerezos</t>
  </si>
  <si>
    <t>1496SG</t>
  </si>
  <si>
    <t>1497SG</t>
  </si>
  <si>
    <t>Luz</t>
  </si>
  <si>
    <t>Casa Rionegro</t>
  </si>
  <si>
    <t>1498SG</t>
  </si>
  <si>
    <t>Casa Gringos</t>
  </si>
  <si>
    <t>1499SG</t>
  </si>
  <si>
    <t>La Presentación</t>
  </si>
  <si>
    <t>Edificio</t>
  </si>
  <si>
    <t>1500SG</t>
  </si>
  <si>
    <t>Edificio 2</t>
  </si>
  <si>
    <t>1501SG</t>
  </si>
  <si>
    <t>Edificio Integrada</t>
  </si>
  <si>
    <t>1502SG</t>
  </si>
  <si>
    <t>Jardines de la María</t>
  </si>
  <si>
    <t>Consumo Alto</t>
  </si>
  <si>
    <t>1503SG</t>
  </si>
  <si>
    <t>Consumo Bajo</t>
  </si>
  <si>
    <t>1504SG</t>
  </si>
  <si>
    <t>Edificio Turcal de la Palma</t>
  </si>
  <si>
    <t>1505SG</t>
  </si>
  <si>
    <t>Inversor Híbrido Growatt SPH 6000</t>
  </si>
  <si>
    <t>Edificio Eslovaquia</t>
  </si>
  <si>
    <t>Zonas comunes</t>
  </si>
  <si>
    <t>Zonas comunes + apto</t>
  </si>
  <si>
    <t>1506SG</t>
  </si>
  <si>
    <t>1507SG</t>
  </si>
  <si>
    <t>Casa Gualanday</t>
  </si>
  <si>
    <t>1508SG</t>
  </si>
  <si>
    <t>Carnaval CC</t>
  </si>
  <si>
    <t>1509SG</t>
  </si>
  <si>
    <t>1510SG</t>
  </si>
  <si>
    <t>1511SG</t>
  </si>
  <si>
    <t>1512SG</t>
  </si>
  <si>
    <t>Alurack con "L"</t>
  </si>
  <si>
    <t>Contrato</t>
  </si>
  <si>
    <t>1513SG</t>
  </si>
  <si>
    <t>Finca El Arbolito</t>
  </si>
  <si>
    <t>1514SG</t>
  </si>
  <si>
    <t>1515SG</t>
  </si>
  <si>
    <t>1516SG</t>
  </si>
  <si>
    <t>Canteras La Virgen</t>
  </si>
  <si>
    <t>Manizales</t>
  </si>
  <si>
    <t>1517SG</t>
  </si>
  <si>
    <t>1518SG</t>
  </si>
  <si>
    <t>García</t>
  </si>
  <si>
    <t>1519SG</t>
  </si>
  <si>
    <t>Isaac</t>
  </si>
  <si>
    <t>Must Go</t>
  </si>
  <si>
    <t>1520SG</t>
  </si>
  <si>
    <t>Fundación Revivir</t>
  </si>
  <si>
    <t>Canadian Solar - Inversor Central Residencial 9kw 220Vac WIFI</t>
  </si>
  <si>
    <t>1521SG</t>
  </si>
  <si>
    <t>Con Parte Inferior</t>
  </si>
  <si>
    <t>1522SG</t>
  </si>
  <si>
    <t>1523SG</t>
  </si>
  <si>
    <t>Portal del Cerro</t>
  </si>
  <si>
    <t>1524SG</t>
  </si>
  <si>
    <t>Gabriela Ruiz</t>
  </si>
  <si>
    <t>1525SG</t>
  </si>
  <si>
    <t>Astrid</t>
  </si>
  <si>
    <t>Jiménez</t>
  </si>
  <si>
    <t>1526SG</t>
  </si>
  <si>
    <t>1527SG</t>
  </si>
  <si>
    <t xml:space="preserve">Elite de la Moda </t>
  </si>
  <si>
    <t>1528SG</t>
  </si>
  <si>
    <t>Fundación Hogar Revivir</t>
  </si>
  <si>
    <t>Factura Pequeña</t>
  </si>
  <si>
    <t>1529SG</t>
  </si>
  <si>
    <t>1530SG</t>
  </si>
  <si>
    <t>Hogar</t>
  </si>
  <si>
    <t>1531SG</t>
  </si>
  <si>
    <t>1532SG</t>
  </si>
  <si>
    <t>1533SG</t>
  </si>
  <si>
    <t>Juan Jairo</t>
  </si>
  <si>
    <t>García González</t>
  </si>
  <si>
    <t>1534SG</t>
  </si>
  <si>
    <t>Rafael Darío</t>
  </si>
  <si>
    <t>Montoya García</t>
  </si>
  <si>
    <t>1535SG</t>
  </si>
  <si>
    <t>1536SG</t>
  </si>
  <si>
    <t>1537SG</t>
  </si>
  <si>
    <t>1538SG</t>
  </si>
  <si>
    <t>Trámite beneficios tributarios</t>
  </si>
  <si>
    <t>Carepa</t>
  </si>
  <si>
    <t>Esperimental Augura MF</t>
  </si>
  <si>
    <t>1539SG</t>
  </si>
  <si>
    <t>Esperimental Augura TF</t>
  </si>
  <si>
    <t>1540SG</t>
  </si>
  <si>
    <t>Juan David</t>
  </si>
  <si>
    <t>1541SG</t>
  </si>
  <si>
    <t>Casa Ebéjico</t>
  </si>
  <si>
    <t>Ebéjico, Antioquia</t>
  </si>
  <si>
    <t>1542SG</t>
  </si>
  <si>
    <t>Precio venta excedentes</t>
  </si>
  <si>
    <t>Adecuaciones adicionales</t>
  </si>
  <si>
    <t>Beneficio Tributario</t>
  </si>
  <si>
    <t>Beneficio Intereses</t>
  </si>
  <si>
    <t>Amortización Deuda</t>
  </si>
  <si>
    <t>Intereses</t>
  </si>
  <si>
    <t>Saldo</t>
  </si>
  <si>
    <t>Administración</t>
  </si>
  <si>
    <t>TIR 10 años</t>
  </si>
  <si>
    <t>Davivienda</t>
  </si>
  <si>
    <t>Somos EPM</t>
  </si>
  <si>
    <t>Bancolombia</t>
  </si>
  <si>
    <t>Plazo</t>
  </si>
  <si>
    <t>Tasa E.A</t>
  </si>
  <si>
    <t>Cuota Mes</t>
  </si>
  <si>
    <t>Cuota Año</t>
  </si>
  <si>
    <t>Entidad Financiera</t>
  </si>
  <si>
    <t>Cuota primera año</t>
  </si>
  <si>
    <t>Cuota primer año</t>
  </si>
  <si>
    <t>*Entidad*</t>
  </si>
  <si>
    <t>*Plazo*</t>
  </si>
  <si>
    <t>*TasaEA*</t>
  </si>
  <si>
    <t>*Cuota*</t>
  </si>
  <si>
    <t xml:space="preserve">Cindy </t>
  </si>
  <si>
    <t xml:space="preserve">Giraldo </t>
  </si>
  <si>
    <t>Sopetrán, Antioquia</t>
  </si>
  <si>
    <t>1543SG</t>
  </si>
  <si>
    <t>KVA Retie</t>
  </si>
  <si>
    <t>El Retiro, Antioquia</t>
  </si>
  <si>
    <t>1544SG</t>
  </si>
  <si>
    <t>Retiro Cabin</t>
  </si>
  <si>
    <t>1545SG</t>
  </si>
  <si>
    <t>1546SG</t>
  </si>
  <si>
    <t>Juan José</t>
  </si>
  <si>
    <t>Alto de Palmas, Envigado</t>
  </si>
  <si>
    <t>1547SG</t>
  </si>
  <si>
    <t>Juan Fernando</t>
  </si>
  <si>
    <t>Lenis</t>
  </si>
  <si>
    <t>Llanogrande, Antioquia</t>
  </si>
  <si>
    <t>1548SG</t>
  </si>
  <si>
    <t>Ayala</t>
  </si>
  <si>
    <t>Ebéjico</t>
  </si>
  <si>
    <t>1549SG</t>
  </si>
  <si>
    <t>Mesaguamo</t>
  </si>
  <si>
    <t>Pablo Mateo</t>
  </si>
  <si>
    <t>1550SG</t>
  </si>
  <si>
    <t>Deye</t>
  </si>
  <si>
    <t>Mesaguamo Híbrido</t>
  </si>
  <si>
    <t>1551SG</t>
  </si>
  <si>
    <t>1552SG</t>
  </si>
  <si>
    <t>1553SG</t>
  </si>
  <si>
    <t>Martínez</t>
  </si>
  <si>
    <t>Santa Elena, Antioquia</t>
  </si>
  <si>
    <t>Potencia del arreglo [kWp]</t>
  </si>
  <si>
    <t>1554SG</t>
  </si>
  <si>
    <t>1555SG</t>
  </si>
  <si>
    <t>1556SG</t>
  </si>
  <si>
    <t>Santa Elena, Medellín</t>
  </si>
  <si>
    <t>1557SG</t>
  </si>
  <si>
    <t>Trapezoidal tipo sánduich</t>
  </si>
  <si>
    <t>Grafada</t>
  </si>
  <si>
    <t>Teja ondulada o fibrocemento</t>
  </si>
  <si>
    <t>Rocío de la Mañana x1</t>
  </si>
  <si>
    <t>1558SG</t>
  </si>
  <si>
    <t>Rocío de la Mañana x10</t>
  </si>
  <si>
    <t>1559SG</t>
  </si>
  <si>
    <t>Rocío de la Mañana x30</t>
  </si>
  <si>
    <t>1560SG</t>
  </si>
  <si>
    <t>Rocío de la Mañana x50</t>
  </si>
  <si>
    <t>1561SG</t>
  </si>
  <si>
    <t>Rocío de la Mañana x100</t>
  </si>
  <si>
    <t>1562SG</t>
  </si>
  <si>
    <t>Precio proyecto pequeño</t>
  </si>
  <si>
    <t xml:space="preserve">Inversor (Fronius) 1F Primo 3,8 </t>
  </si>
  <si>
    <t>Inversor (Fronius) 1F Primo 5,0</t>
  </si>
  <si>
    <t>Inversor (Fronius) 1F Primo 10,0</t>
  </si>
  <si>
    <t>Inversor (CPS) 1F 5 kW</t>
  </si>
  <si>
    <t>Inversor (CPS) 1F 6 kW</t>
  </si>
  <si>
    <t>Inversor (Canadian Solar) 1F 7kW</t>
  </si>
  <si>
    <t>Inversor (Canadian Solar) 1F 9kW</t>
  </si>
  <si>
    <t>Inversor NextCityLabs 10 kW 3F</t>
  </si>
  <si>
    <t>Inversor (Fronius) Symo 10,0 3F</t>
  </si>
  <si>
    <t>Inversor (Fronius) Symo 15,0 3F</t>
  </si>
  <si>
    <t>Inversor (CPS) 18 kW 3F 208</t>
  </si>
  <si>
    <t>Inversor (CPS) 25 kW 3F 208</t>
  </si>
  <si>
    <t>Inversor (CPS) 30 kW 3F 208</t>
  </si>
  <si>
    <t>Inversor (CPS) 36 kW 3F 208</t>
  </si>
  <si>
    <t>Versión 2020.05.20</t>
  </si>
  <si>
    <t>Colegio Plaza Logística</t>
  </si>
  <si>
    <t>1563SG</t>
  </si>
  <si>
    <t>Estación de Servicio Las Palmas</t>
  </si>
  <si>
    <t>Huila</t>
  </si>
  <si>
    <t>1564SG</t>
  </si>
  <si>
    <t>Gustavo Álvarez</t>
  </si>
  <si>
    <t>Remedios</t>
  </si>
  <si>
    <t>1565SG</t>
  </si>
  <si>
    <t>Metalesco</t>
  </si>
  <si>
    <t>Cambio de techo</t>
  </si>
  <si>
    <t>1566SG</t>
  </si>
  <si>
    <t>1567SG</t>
  </si>
  <si>
    <t>Sin Cambio</t>
  </si>
  <si>
    <t>1568SG</t>
  </si>
  <si>
    <t>EDS Zeuss La Ceja</t>
  </si>
  <si>
    <t>1569SG</t>
  </si>
  <si>
    <t>Dcto</t>
  </si>
  <si>
    <t>1570SG</t>
  </si>
  <si>
    <t>1571SG</t>
  </si>
  <si>
    <t>Oriente Antioqueño</t>
  </si>
  <si>
    <t>Cabañas Hotel (Individual)</t>
  </si>
  <si>
    <t>1572SG</t>
  </si>
  <si>
    <t>Cabañas Hotel (Conjunto)</t>
  </si>
  <si>
    <t>1573SG</t>
  </si>
  <si>
    <t>Nuevo Conquistadores Boreal</t>
  </si>
  <si>
    <t>1574SG</t>
  </si>
  <si>
    <t>1575SG</t>
  </si>
  <si>
    <t>Nuevo Conquistadores</t>
  </si>
  <si>
    <t>1576SG</t>
  </si>
  <si>
    <t>Comportamiento crédito 1er año</t>
  </si>
  <si>
    <t>mes 0</t>
  </si>
  <si>
    <t>mes 1</t>
  </si>
  <si>
    <t>mes 2</t>
  </si>
  <si>
    <t>mes 3</t>
  </si>
  <si>
    <t>mes 4</t>
  </si>
  <si>
    <t>mes 5</t>
  </si>
  <si>
    <t>mes 6</t>
  </si>
  <si>
    <t>mes 7</t>
  </si>
  <si>
    <t>mes 8</t>
  </si>
  <si>
    <t>mes 9</t>
  </si>
  <si>
    <t>mes 10</t>
  </si>
  <si>
    <t>mes 11</t>
  </si>
  <si>
    <t>mes 12</t>
  </si>
  <si>
    <t>Ahorro</t>
  </si>
  <si>
    <t>Pago</t>
  </si>
  <si>
    <t>Flujo de caja</t>
  </si>
  <si>
    <t>Oásis de Los Colores</t>
  </si>
  <si>
    <t>1577SG</t>
  </si>
  <si>
    <t>1578SG</t>
  </si>
  <si>
    <t>Oásis de Los Colores (Int 3)</t>
  </si>
  <si>
    <t>1579SG</t>
  </si>
  <si>
    <t>Fruitday</t>
  </si>
  <si>
    <t>La Unión</t>
  </si>
  <si>
    <t>1580SG</t>
  </si>
  <si>
    <t>La Aldea (kVA)</t>
  </si>
  <si>
    <t>1581SG</t>
  </si>
  <si>
    <t>Cultivos La Ceja</t>
  </si>
  <si>
    <t>1582SG</t>
  </si>
  <si>
    <t>C.I. Cultivos La Ceja</t>
  </si>
  <si>
    <t>1583SG</t>
  </si>
  <si>
    <t>1584SG</t>
  </si>
  <si>
    <t>Stop Jeans</t>
  </si>
  <si>
    <t>1585SG</t>
  </si>
  <si>
    <t>1586SG</t>
  </si>
  <si>
    <t>Industrial - 1216901</t>
  </si>
  <si>
    <t>1587SG</t>
  </si>
  <si>
    <t>Boato</t>
  </si>
  <si>
    <t>Hotel Guatapé CXC</t>
  </si>
  <si>
    <t>Guatapé</t>
  </si>
  <si>
    <t>1588SG</t>
  </si>
  <si>
    <t>1589SG</t>
  </si>
  <si>
    <t>RECAP 149733</t>
  </si>
  <si>
    <t>1590SG</t>
  </si>
  <si>
    <t>Parabólica El Salvador</t>
  </si>
  <si>
    <t>1591SG</t>
  </si>
  <si>
    <t>Flujo de caja libre</t>
  </si>
  <si>
    <t>Valor Total Ahorro</t>
  </si>
  <si>
    <t>Familia Restrepo</t>
  </si>
  <si>
    <t>Tarso, Antioquia</t>
  </si>
  <si>
    <t>Tarso 1</t>
  </si>
  <si>
    <t>1592SG</t>
  </si>
  <si>
    <t>1593SG</t>
  </si>
  <si>
    <t>1594SG</t>
  </si>
  <si>
    <t>AA Metals</t>
  </si>
  <si>
    <t>Panel solar Monocristalino  HalfCell (550W)</t>
  </si>
  <si>
    <t>1595SG</t>
  </si>
  <si>
    <t>1596SG</t>
  </si>
  <si>
    <t>Surtiplaza</t>
  </si>
  <si>
    <t>Roldanillo, Valle</t>
  </si>
  <si>
    <t>1597SG</t>
  </si>
  <si>
    <t>Inversor (Fronius) 1F Primo 15,0</t>
  </si>
  <si>
    <t>Inversor Fronius Primo 15,0-1 208-240</t>
  </si>
  <si>
    <t>Mayorca 1A</t>
  </si>
  <si>
    <t>1598SG</t>
  </si>
  <si>
    <t xml:space="preserve">Mayorca 1 </t>
  </si>
  <si>
    <t>Sin Car-Port 2249759</t>
  </si>
  <si>
    <t>1599SG</t>
  </si>
  <si>
    <t>Ciudadela Premium</t>
  </si>
  <si>
    <t>Piscina 1</t>
  </si>
  <si>
    <t>1600SG</t>
  </si>
  <si>
    <t>1601SG</t>
  </si>
  <si>
    <t>Piscina 2</t>
  </si>
  <si>
    <t>1602SG</t>
  </si>
  <si>
    <t>Citadela Di Aquia</t>
  </si>
  <si>
    <t>1603SG</t>
  </si>
  <si>
    <t xml:space="preserve">Mirador </t>
  </si>
  <si>
    <t>1604SG</t>
  </si>
  <si>
    <t>Arellana</t>
  </si>
  <si>
    <t>1605SG</t>
  </si>
  <si>
    <t>Alberto Giraldo</t>
  </si>
  <si>
    <t>1606SG</t>
  </si>
  <si>
    <t>Juan José Uribe</t>
  </si>
  <si>
    <t>Estudio</t>
  </si>
  <si>
    <t>Envigado, Antioquia</t>
  </si>
  <si>
    <t>1607SG</t>
  </si>
  <si>
    <t>1608SG</t>
  </si>
  <si>
    <t>Tarifa Convencional</t>
  </si>
  <si>
    <t>Tarifa PPA</t>
  </si>
  <si>
    <t>Valor Venta Excedentes</t>
  </si>
  <si>
    <t>Entidades Bancarias Préstamos</t>
  </si>
  <si>
    <t>Datos de entrada (inputs)</t>
  </si>
  <si>
    <t>Dólar</t>
  </si>
  <si>
    <t>Aumento Energía</t>
  </si>
  <si>
    <t>Otras variables</t>
  </si>
  <si>
    <t>% Autoconsumo</t>
  </si>
  <si>
    <t>Saira Buelvas</t>
  </si>
  <si>
    <t>Morroa, Sucre</t>
  </si>
  <si>
    <t>1609SG</t>
  </si>
  <si>
    <t>Evaporador</t>
  </si>
  <si>
    <t xml:space="preserve">KVA </t>
  </si>
  <si>
    <t>Medellín, Antioquia</t>
  </si>
  <si>
    <t>1610SG</t>
  </si>
  <si>
    <t>1611SG</t>
  </si>
  <si>
    <t>1612SG</t>
  </si>
  <si>
    <t>1613SG</t>
  </si>
  <si>
    <t>Cambio Techo</t>
  </si>
  <si>
    <t>1614SG</t>
  </si>
  <si>
    <t>Base</t>
  </si>
  <si>
    <t>1615SG</t>
  </si>
  <si>
    <t>Magdalena de la cuenca</t>
  </si>
  <si>
    <t>1616SG</t>
  </si>
  <si>
    <t>Nicolás Higuita</t>
  </si>
  <si>
    <t>Urrao</t>
  </si>
  <si>
    <t>1617SG</t>
  </si>
  <si>
    <t>Romazino Apartamentos</t>
  </si>
  <si>
    <t>1618SG</t>
  </si>
  <si>
    <t>Restaurante Cañasgordas</t>
  </si>
  <si>
    <t>Cañasgordas, Antioquia</t>
  </si>
  <si>
    <t>1619SG</t>
  </si>
  <si>
    <t>1620SG</t>
  </si>
  <si>
    <t>Belleza Express</t>
  </si>
  <si>
    <t>Jamundí</t>
  </si>
  <si>
    <t>Techos</t>
  </si>
  <si>
    <t>1621SG</t>
  </si>
  <si>
    <t>Terreno</t>
  </si>
  <si>
    <t>1622SG</t>
  </si>
  <si>
    <t>1623SG</t>
  </si>
  <si>
    <t>1624SG</t>
  </si>
  <si>
    <t>Industrias Philae</t>
  </si>
  <si>
    <t>700 m2</t>
  </si>
  <si>
    <t>1625SG</t>
  </si>
  <si>
    <t>1626SG</t>
  </si>
  <si>
    <t>Felipe Guzmán</t>
  </si>
  <si>
    <t>1627SG</t>
  </si>
  <si>
    <t>1628SG</t>
  </si>
  <si>
    <t>Supermercados La 13</t>
  </si>
  <si>
    <t>1629SG</t>
  </si>
  <si>
    <t>EMCS Caribbean</t>
  </si>
  <si>
    <t>kVA Retie</t>
  </si>
  <si>
    <t>1630SG</t>
  </si>
  <si>
    <t>Cañasgordas</t>
  </si>
  <si>
    <t>1631SG</t>
  </si>
  <si>
    <t>Jorge Tabares</t>
  </si>
  <si>
    <t>La Ceja, Antioquia</t>
  </si>
  <si>
    <t>1632SG</t>
  </si>
  <si>
    <t>Casa del Mar</t>
  </si>
  <si>
    <t>20kWp</t>
  </si>
  <si>
    <t>1633SG</t>
  </si>
  <si>
    <t>1634SG</t>
  </si>
  <si>
    <t>1635SG</t>
  </si>
  <si>
    <t>1636SG</t>
  </si>
  <si>
    <t>Sergio Saldarriaga</t>
  </si>
  <si>
    <t>La Siria</t>
  </si>
  <si>
    <t>1637SG</t>
  </si>
  <si>
    <t>Daniel García</t>
  </si>
  <si>
    <t>1638SG</t>
  </si>
  <si>
    <t>Edwin Ayala</t>
  </si>
  <si>
    <t>1639SG</t>
  </si>
  <si>
    <t>Carlos y Nancy</t>
  </si>
  <si>
    <t>Boston, Medellín</t>
  </si>
  <si>
    <t>1640SG</t>
  </si>
  <si>
    <t>1641SG</t>
  </si>
  <si>
    <t>1642SG</t>
  </si>
  <si>
    <t>Prestige 1</t>
  </si>
  <si>
    <t>1643SG</t>
  </si>
  <si>
    <t>1644SG</t>
  </si>
  <si>
    <t>1645SG</t>
  </si>
  <si>
    <t>Prestige 4</t>
  </si>
  <si>
    <t>1646SG</t>
  </si>
  <si>
    <t>1647SG</t>
  </si>
  <si>
    <t>1648SG</t>
  </si>
  <si>
    <t>1649SG</t>
  </si>
  <si>
    <t>José Daniel</t>
  </si>
  <si>
    <t>Ruiz</t>
  </si>
  <si>
    <t>Carmen de Viboral</t>
  </si>
  <si>
    <t>1650SG</t>
  </si>
  <si>
    <t>1651SG</t>
  </si>
  <si>
    <t>1652SG</t>
  </si>
  <si>
    <t>CC Elite de la Moda</t>
  </si>
  <si>
    <t>1653SG</t>
  </si>
  <si>
    <t>1654SG</t>
  </si>
  <si>
    <t>1655SG</t>
  </si>
  <si>
    <t>1656SG</t>
  </si>
  <si>
    <t>Claudia</t>
  </si>
  <si>
    <t>1657SG</t>
  </si>
  <si>
    <t>Santiago</t>
  </si>
  <si>
    <t>Fredonia</t>
  </si>
  <si>
    <t>Fredonia 8277171</t>
  </si>
  <si>
    <t>1658SG</t>
  </si>
  <si>
    <t>Fredonia 8277173</t>
  </si>
  <si>
    <t>1659SG</t>
  </si>
  <si>
    <t>Juan Diego</t>
  </si>
  <si>
    <t>Gómez Marín</t>
  </si>
  <si>
    <t>1660SG</t>
  </si>
  <si>
    <t>Fundación</t>
  </si>
  <si>
    <t>Marinilla</t>
  </si>
  <si>
    <t>1661SG</t>
  </si>
  <si>
    <t>Marinilla (Comparación)</t>
  </si>
  <si>
    <t>1662SG</t>
  </si>
  <si>
    <t>Jack</t>
  </si>
  <si>
    <t>1663SG</t>
  </si>
  <si>
    <t>Diego</t>
  </si>
  <si>
    <t>Echeverri</t>
  </si>
  <si>
    <t>1664SG</t>
  </si>
  <si>
    <t>Roldanillo 75kVA</t>
  </si>
  <si>
    <t>1665SG</t>
  </si>
  <si>
    <t>Maquinamos</t>
  </si>
  <si>
    <t>1666SG</t>
  </si>
  <si>
    <t>SOLCOR</t>
  </si>
  <si>
    <t>1667SG</t>
  </si>
  <si>
    <t>GBQ</t>
  </si>
  <si>
    <t>Cosmética</t>
  </si>
  <si>
    <t>1668SG</t>
  </si>
  <si>
    <t>GBQ - SPA</t>
  </si>
  <si>
    <t>1669SG</t>
  </si>
  <si>
    <t>GBQ - Híbrido</t>
  </si>
  <si>
    <t>1670SG</t>
  </si>
  <si>
    <t>Renault Sanautos</t>
  </si>
  <si>
    <t>1671SG</t>
  </si>
  <si>
    <t>1672SG</t>
  </si>
  <si>
    <t>1673SG</t>
  </si>
  <si>
    <t>1674SG</t>
  </si>
  <si>
    <t>Stop Jeans ADM1</t>
  </si>
  <si>
    <t>1675SG</t>
  </si>
  <si>
    <t>Stop Jeans ADM2</t>
  </si>
  <si>
    <t>1676SG</t>
  </si>
  <si>
    <t>Stop Jeans IND</t>
  </si>
  <si>
    <t>1677SG</t>
  </si>
  <si>
    <t>Fundación El Remanso</t>
  </si>
  <si>
    <t>Marinilla 13kWp</t>
  </si>
  <si>
    <t>1678SG</t>
  </si>
  <si>
    <t>Marinilla 26kWp</t>
  </si>
  <si>
    <t>1679SG</t>
  </si>
  <si>
    <t>Finca Copacabana</t>
  </si>
  <si>
    <t>1680SG</t>
  </si>
  <si>
    <t>Spring Step</t>
  </si>
  <si>
    <t>Urica</t>
  </si>
  <si>
    <t>1681SG</t>
  </si>
  <si>
    <t>Voltaje Minimo</t>
  </si>
  <si>
    <t>Voltaje Panel</t>
  </si>
  <si>
    <t>Voltaje Máximo</t>
  </si>
  <si>
    <t>Voltaje Mínimo Inversor</t>
  </si>
  <si>
    <t>Voltaje String</t>
  </si>
  <si>
    <t>Voltaje Máx Inversor</t>
  </si>
  <si>
    <t>Isc Panel</t>
  </si>
  <si>
    <t>Isc Inversor</t>
  </si>
  <si>
    <t>Cumplimiento Corriente</t>
  </si>
  <si>
    <t>Cumplimiento Vmax</t>
  </si>
  <si>
    <t>Cumplimiento Vmin</t>
  </si>
  <si>
    <t>Hoymiles</t>
  </si>
  <si>
    <t>Precio venta Exp. T2</t>
  </si>
  <si>
    <t>Porcentaje Exp. T2</t>
  </si>
  <si>
    <t>Estudio Juan José</t>
  </si>
  <si>
    <t>Úrica</t>
  </si>
  <si>
    <t>1682SG</t>
  </si>
  <si>
    <t>Canta Piedra</t>
  </si>
  <si>
    <t>1683SG</t>
  </si>
  <si>
    <t>Int 1, 4, 5.</t>
  </si>
  <si>
    <t>1684SG</t>
  </si>
  <si>
    <t>Int 145</t>
  </si>
  <si>
    <t>1685SG</t>
  </si>
  <si>
    <t>1686SG</t>
  </si>
  <si>
    <t>ZC</t>
  </si>
  <si>
    <t>1687SG</t>
  </si>
  <si>
    <t>Las Palmas</t>
  </si>
  <si>
    <t>Iván Zabala</t>
  </si>
  <si>
    <t>1688SG</t>
  </si>
  <si>
    <t>Cantos del Bosque</t>
  </si>
  <si>
    <t>Carolína del Príncipe</t>
  </si>
  <si>
    <t>1689SG</t>
  </si>
  <si>
    <t>Mario Chica</t>
  </si>
  <si>
    <t>4 Paneles</t>
  </si>
  <si>
    <t>1690SG</t>
  </si>
  <si>
    <t>DATOS SALIDA</t>
  </si>
  <si>
    <t>DATOS ENTRADA</t>
  </si>
  <si>
    <t>GENERACIÓN ANUAL</t>
  </si>
  <si>
    <t>GARANTIA EQ</t>
  </si>
  <si>
    <t>GARANTIA PAN</t>
  </si>
  <si>
    <t>GARANTIA INS</t>
  </si>
  <si>
    <t>Meses de la ejecución del proyecto</t>
  </si>
  <si>
    <t>DURACIÓN #</t>
  </si>
  <si>
    <t>DURACIÓN</t>
  </si>
  <si>
    <t>EN LETRAS 3</t>
  </si>
  <si>
    <t>EN LETRAS 2</t>
  </si>
  <si>
    <t>EN LETRAS 1</t>
  </si>
  <si>
    <t>PAGO 3</t>
  </si>
  <si>
    <t>PAGO 2</t>
  </si>
  <si>
    <t>PAGO 1</t>
  </si>
  <si>
    <t>PCT PAGO 3</t>
  </si>
  <si>
    <t>PCT PAGO 2</t>
  </si>
  <si>
    <t>PCT PAGO 1</t>
  </si>
  <si>
    <t>EN LETRAS</t>
  </si>
  <si>
    <t>VALOR CONTRATO</t>
  </si>
  <si>
    <t>UBICACIÓN NOM COMERCIAL</t>
  </si>
  <si>
    <t>Antioquia</t>
  </si>
  <si>
    <t>DEPARTAMENTO</t>
  </si>
  <si>
    <t>MUNICIPIO</t>
  </si>
  <si>
    <t>VEREDA</t>
  </si>
  <si>
    <t>DIRECCIÓN</t>
  </si>
  <si>
    <t>CÉDULA RL</t>
  </si>
  <si>
    <t>APELLIDOS RL</t>
  </si>
  <si>
    <t>NOMBRE RL</t>
  </si>
  <si>
    <t>NIT EMPRESA</t>
  </si>
  <si>
    <t>NOMBRE EMPRESA</t>
  </si>
  <si>
    <t>DATO</t>
  </si>
  <si>
    <t>CÓDIGO</t>
  </si>
  <si>
    <t>REFERENCIA</t>
  </si>
  <si>
    <t>*CANT PAN*</t>
  </si>
  <si>
    <t>*CANT INV*</t>
  </si>
  <si>
    <t>*REF PAN*</t>
  </si>
  <si>
    <t>*REF INV*</t>
  </si>
  <si>
    <t>CANTIDAD PANELES</t>
  </si>
  <si>
    <t>CANTIDAD INVERSORES</t>
  </si>
  <si>
    <t>REFERENCIA PANELES</t>
  </si>
  <si>
    <t>REFERENCIA INVERSORES</t>
  </si>
  <si>
    <t>MANGUERAS Y POLEAS MARIO CHICA S.A.S</t>
  </si>
  <si>
    <t>LUIS MARIO</t>
  </si>
  <si>
    <t>CHICA PÉREZ</t>
  </si>
  <si>
    <t>CALLE 27 SUR #28-131 CASA 115</t>
  </si>
  <si>
    <t>Rocío de la Mañana</t>
  </si>
  <si>
    <t>Dinámica y Desarrollo</t>
  </si>
  <si>
    <t>1691SG</t>
  </si>
  <si>
    <t>Casa Palmas</t>
  </si>
  <si>
    <t>Iván Dario</t>
  </si>
  <si>
    <t>1692SG</t>
  </si>
  <si>
    <t>Frigovalle</t>
  </si>
  <si>
    <t>Zarzal</t>
  </si>
  <si>
    <t>1693SG</t>
  </si>
  <si>
    <t>1694SG</t>
  </si>
  <si>
    <t>Plásticos Truher</t>
  </si>
  <si>
    <t>1695SG</t>
  </si>
  <si>
    <t>Jorge Benítez Upme</t>
  </si>
  <si>
    <t>1696SG</t>
  </si>
  <si>
    <t>Alejandro Zafari UPME</t>
  </si>
  <si>
    <t>1697SG</t>
  </si>
  <si>
    <t>Ernesto Gonzalez</t>
  </si>
  <si>
    <t>Santa Fe de Antioquia</t>
  </si>
  <si>
    <t>1698SG</t>
  </si>
  <si>
    <t>Multivariedades el Hueco</t>
  </si>
  <si>
    <t>EPC</t>
  </si>
  <si>
    <t>1699SG</t>
  </si>
  <si>
    <t>Julián Botero</t>
  </si>
  <si>
    <t>Solita</t>
  </si>
  <si>
    <t>Puerto Nare</t>
  </si>
  <si>
    <t>1700SG</t>
  </si>
  <si>
    <t>Molino Viejo</t>
  </si>
  <si>
    <t>1701SG</t>
  </si>
  <si>
    <t>Mirador de Arboleda</t>
  </si>
  <si>
    <t>1702SG</t>
  </si>
  <si>
    <t>Hermanas Esclavas</t>
  </si>
  <si>
    <t>1703SG</t>
  </si>
  <si>
    <t>Manrique</t>
  </si>
  <si>
    <t>Central</t>
  </si>
  <si>
    <t>1704SG</t>
  </si>
  <si>
    <t>Flujo de Caja Inversionista</t>
  </si>
  <si>
    <t>TIR</t>
  </si>
  <si>
    <t>Factor Retribución</t>
  </si>
  <si>
    <t>Flujo de Caja Inversionista con BT</t>
  </si>
  <si>
    <t>TIR BT</t>
  </si>
  <si>
    <t>Casa Belén</t>
  </si>
  <si>
    <t>1705SG</t>
  </si>
  <si>
    <t>José Luis</t>
  </si>
  <si>
    <t>Cisneros</t>
  </si>
  <si>
    <t>1706SG</t>
  </si>
  <si>
    <t>1707SG</t>
  </si>
  <si>
    <t>1708SG</t>
  </si>
  <si>
    <t>CC Japón</t>
  </si>
  <si>
    <t>Todo en Piso</t>
  </si>
  <si>
    <t>1709SG</t>
  </si>
  <si>
    <t>Todo Elevado</t>
  </si>
  <si>
    <t>1710SG</t>
  </si>
  <si>
    <t>Yussi Gómez</t>
  </si>
  <si>
    <t>1711SG</t>
  </si>
  <si>
    <t>Plásticos Codazzi</t>
  </si>
  <si>
    <t>1712SG</t>
  </si>
  <si>
    <t>Adecuación Techo</t>
  </si>
  <si>
    <t>1713SG</t>
  </si>
  <si>
    <t>CC Pichincha Cúcuta</t>
  </si>
  <si>
    <t>1714SG</t>
  </si>
  <si>
    <t>CC Pichincha Cucuta</t>
  </si>
  <si>
    <t>1715SG</t>
  </si>
  <si>
    <t>1716SG</t>
  </si>
  <si>
    <t>Pichincha Cucuta</t>
  </si>
  <si>
    <t>1717SG</t>
  </si>
  <si>
    <t>Prestige ZC</t>
  </si>
  <si>
    <t>1718SG</t>
  </si>
  <si>
    <t>1719SG</t>
  </si>
  <si>
    <t>1720SG</t>
  </si>
  <si>
    <t>Mecánicos Unidos</t>
  </si>
  <si>
    <t>1721SG</t>
  </si>
  <si>
    <t>1722SG</t>
  </si>
  <si>
    <t>1723SG</t>
  </si>
  <si>
    <t>Ivalum</t>
  </si>
  <si>
    <t>1724SG</t>
  </si>
  <si>
    <t>COMVAL</t>
  </si>
  <si>
    <t>1725SG</t>
  </si>
  <si>
    <t>1726SG</t>
  </si>
  <si>
    <t>Combarranquilla</t>
  </si>
  <si>
    <t>1727SG</t>
  </si>
  <si>
    <t>1728SG</t>
  </si>
  <si>
    <t>1729SG</t>
  </si>
  <si>
    <t>Fruitday 08102022</t>
  </si>
  <si>
    <t>1730SG</t>
  </si>
  <si>
    <t>El Retiro Casa 132</t>
  </si>
  <si>
    <t>1731SG</t>
  </si>
  <si>
    <t>Robinson</t>
  </si>
  <si>
    <t>Jefe More</t>
  </si>
  <si>
    <t>1732SG</t>
  </si>
  <si>
    <t>Gilberto España</t>
  </si>
  <si>
    <t>Papás</t>
  </si>
  <si>
    <t>1733SG</t>
  </si>
  <si>
    <t>Jaime Blandon</t>
  </si>
  <si>
    <t>1734SG</t>
  </si>
  <si>
    <t>Conduluz</t>
  </si>
  <si>
    <t>1735SG</t>
  </si>
  <si>
    <t>Cube</t>
  </si>
  <si>
    <t>1736SG</t>
  </si>
  <si>
    <t>Unión Plaza</t>
  </si>
  <si>
    <t>1737SG</t>
  </si>
  <si>
    <t>Jaime Blandón</t>
  </si>
  <si>
    <t>1738SG</t>
  </si>
  <si>
    <t>Rancho de Occidente</t>
  </si>
  <si>
    <t>1739SG</t>
  </si>
  <si>
    <t>Hidrolavadoras</t>
  </si>
  <si>
    <t>Pablo</t>
  </si>
  <si>
    <t>La Pintada</t>
  </si>
  <si>
    <t>1740SG</t>
  </si>
  <si>
    <t>1741SG</t>
  </si>
  <si>
    <t>Condiciones actuales</t>
  </si>
  <si>
    <t>1742SG</t>
  </si>
  <si>
    <t>1743SG</t>
  </si>
  <si>
    <t>Alberto</t>
  </si>
  <si>
    <t>1744SG</t>
  </si>
  <si>
    <t>Aguamarina</t>
  </si>
  <si>
    <t>Beach Resort</t>
  </si>
  <si>
    <t>Juan de Acosta, Atlántico</t>
  </si>
  <si>
    <t>1745SG</t>
  </si>
  <si>
    <t>1746SG</t>
  </si>
  <si>
    <t>1747SG</t>
  </si>
  <si>
    <t>Interap</t>
  </si>
  <si>
    <t>1748SG</t>
  </si>
  <si>
    <t>SpringStep</t>
  </si>
  <si>
    <t>1749SG</t>
  </si>
  <si>
    <t>1750SG</t>
  </si>
  <si>
    <t>1751SG</t>
  </si>
  <si>
    <t>Soto Mesaguamo</t>
  </si>
  <si>
    <t>1752SG</t>
  </si>
  <si>
    <t>Inversor (Solis) 15 kW 3F</t>
  </si>
  <si>
    <t>Inversor (Solis) 30 kW 3F</t>
  </si>
  <si>
    <t>Inversor (Solis) 50 kW 3F</t>
  </si>
  <si>
    <t>Inversor (Solis) 60 kW 3F</t>
  </si>
  <si>
    <t>Solis</t>
  </si>
  <si>
    <t>1753SG</t>
  </si>
  <si>
    <t>1754SG</t>
  </si>
  <si>
    <t>1755SG</t>
  </si>
  <si>
    <t>1756SG</t>
  </si>
  <si>
    <t>Trilladora</t>
  </si>
  <si>
    <t>Armenia</t>
  </si>
  <si>
    <t>1757SG</t>
  </si>
  <si>
    <t>Bodega La Pradera</t>
  </si>
  <si>
    <t>1758SG</t>
  </si>
  <si>
    <t>1759SG</t>
  </si>
  <si>
    <t>Plaza Vicuña</t>
  </si>
  <si>
    <t>1760SG</t>
  </si>
  <si>
    <t>1761SG</t>
  </si>
  <si>
    <t>1762SG</t>
  </si>
  <si>
    <t>Felipe Casa Amigo</t>
  </si>
  <si>
    <t>1763SG</t>
  </si>
  <si>
    <t>Felipe Marino</t>
  </si>
  <si>
    <t>1764SG</t>
  </si>
  <si>
    <t xml:space="preserve">David </t>
  </si>
  <si>
    <t>Molina 2 Inv</t>
  </si>
  <si>
    <t>1765SG</t>
  </si>
  <si>
    <t>Sofía</t>
  </si>
  <si>
    <t>Uribe</t>
  </si>
  <si>
    <t>1766SG</t>
  </si>
  <si>
    <t>Uribe 2</t>
  </si>
  <si>
    <t>1767SG</t>
  </si>
  <si>
    <t>1768SG</t>
  </si>
  <si>
    <t>Luis Fernando</t>
  </si>
  <si>
    <t>1769SG</t>
  </si>
  <si>
    <t>1770SG</t>
  </si>
  <si>
    <t>Agustín</t>
  </si>
  <si>
    <t>1771SG</t>
  </si>
  <si>
    <t>Pitriza</t>
  </si>
  <si>
    <t>Interior 1</t>
  </si>
  <si>
    <t>1772SG</t>
  </si>
  <si>
    <t>Trigales</t>
  </si>
  <si>
    <t>1773SG</t>
  </si>
  <si>
    <t>Torre Centro</t>
  </si>
  <si>
    <t>1774SG</t>
  </si>
  <si>
    <t>1775SG</t>
  </si>
  <si>
    <t>Torre Ibiza</t>
  </si>
  <si>
    <t>1776SG</t>
  </si>
  <si>
    <t>Edificio Laureles Real</t>
  </si>
  <si>
    <t>1777SG</t>
  </si>
  <si>
    <t>Magdalena de la Cuenca</t>
  </si>
  <si>
    <t>1778SG</t>
  </si>
  <si>
    <t>Escuela</t>
  </si>
  <si>
    <t>La Albania</t>
  </si>
  <si>
    <t>1779SG</t>
  </si>
  <si>
    <t>1780SG</t>
  </si>
  <si>
    <t>Tierra Grata Palmas</t>
  </si>
  <si>
    <t>1781SG</t>
  </si>
  <si>
    <t xml:space="preserve">Juan Esteban </t>
  </si>
  <si>
    <t>1782SG</t>
  </si>
  <si>
    <t>Gabriel</t>
  </si>
  <si>
    <t>Vélez 2</t>
  </si>
  <si>
    <t>1783SG</t>
  </si>
  <si>
    <t>Vélez 4</t>
  </si>
  <si>
    <t>1784SG</t>
  </si>
  <si>
    <t>Jaime</t>
  </si>
  <si>
    <t>Blandón</t>
  </si>
  <si>
    <t>1785SG</t>
  </si>
  <si>
    <t>1786SG</t>
  </si>
  <si>
    <t>1787SG</t>
  </si>
  <si>
    <t>1788SG</t>
  </si>
  <si>
    <t>Caracolí</t>
  </si>
  <si>
    <t>1789SG</t>
  </si>
  <si>
    <t>1790SG</t>
  </si>
  <si>
    <t>1791SG</t>
  </si>
  <si>
    <t>Velez 6</t>
  </si>
  <si>
    <t>1792SG</t>
  </si>
  <si>
    <t>1793SG</t>
  </si>
  <si>
    <t>Velez 8</t>
  </si>
  <si>
    <t>1794SG</t>
  </si>
  <si>
    <t>1795SG</t>
  </si>
  <si>
    <t>1796SG</t>
  </si>
  <si>
    <t>Sofía Uribe</t>
  </si>
  <si>
    <t>INNOVA</t>
  </si>
  <si>
    <t>1797SG</t>
  </si>
  <si>
    <t>David Molina</t>
  </si>
  <si>
    <t>1798SG</t>
  </si>
  <si>
    <t>Panel solar Monocristalino  HalfCell (545W)</t>
  </si>
  <si>
    <t xml:space="preserve">Variador de Potencia Powertek </t>
  </si>
  <si>
    <t>Powetek</t>
  </si>
  <si>
    <t>San Onofre</t>
  </si>
  <si>
    <t>1799SG</t>
  </si>
  <si>
    <t>Lácteos Bomboná</t>
  </si>
  <si>
    <t>Laura Gaviria</t>
  </si>
  <si>
    <t>1800SG</t>
  </si>
  <si>
    <t>Andrés Rivera</t>
  </si>
  <si>
    <t>1801SG</t>
  </si>
  <si>
    <t>1802SG</t>
  </si>
  <si>
    <t>MUGA</t>
  </si>
  <si>
    <t>1803SG</t>
  </si>
  <si>
    <t>Por Torre</t>
  </si>
  <si>
    <t>1804SG</t>
  </si>
  <si>
    <t>Inversor (Solis) 5 kW Singlephase</t>
  </si>
  <si>
    <t>1805SG</t>
  </si>
  <si>
    <t>Maxibienes</t>
  </si>
  <si>
    <t>Consumo Real</t>
  </si>
  <si>
    <t>1806SG</t>
  </si>
  <si>
    <t>1807SG</t>
  </si>
  <si>
    <t>50 pct</t>
  </si>
  <si>
    <t>1808SG</t>
  </si>
  <si>
    <t>Hogar Revivir</t>
  </si>
  <si>
    <t>1809SG</t>
  </si>
  <si>
    <t>Casa Palmas 70 pct</t>
  </si>
  <si>
    <t>1810SG</t>
  </si>
  <si>
    <t>Transporte de materiales</t>
  </si>
  <si>
    <t xml:space="preserve">Instalación, transporte, supervisión, legalización y puesta en marcha del sistema solar fotovoltaico </t>
  </si>
  <si>
    <t>1811SG</t>
  </si>
  <si>
    <t>Inversor (Solis) 10 kW 3F</t>
  </si>
  <si>
    <t>Ciclo Total</t>
  </si>
  <si>
    <t>1812SG</t>
  </si>
  <si>
    <t>1813SG</t>
  </si>
  <si>
    <t>Microinversor (Hoymiles) HMS-2000</t>
  </si>
  <si>
    <t>Laura</t>
  </si>
  <si>
    <t>1814SG</t>
  </si>
  <si>
    <t>César</t>
  </si>
  <si>
    <t>Salazar</t>
  </si>
  <si>
    <t>1815SG</t>
  </si>
  <si>
    <t>Casa de Oración</t>
  </si>
  <si>
    <t>1816SG</t>
  </si>
  <si>
    <t>1817SG</t>
  </si>
  <si>
    <t>1818SG</t>
  </si>
  <si>
    <t>Comercio</t>
  </si>
  <si>
    <t>1819SG</t>
  </si>
  <si>
    <t>Alonso</t>
  </si>
  <si>
    <t>1820SG</t>
  </si>
  <si>
    <t>Camino Verde de los Naranjos</t>
  </si>
  <si>
    <t>1821SG</t>
  </si>
  <si>
    <t>1822SG</t>
  </si>
  <si>
    <t>1823SG</t>
  </si>
  <si>
    <t>Mirador de Guadalcanal</t>
  </si>
  <si>
    <t>1824SG</t>
  </si>
  <si>
    <t>Carolina</t>
  </si>
  <si>
    <t>Sanin</t>
  </si>
  <si>
    <t>1825SG</t>
  </si>
  <si>
    <t>Anya</t>
  </si>
  <si>
    <t>Provenza</t>
  </si>
  <si>
    <t>1826SG</t>
  </si>
  <si>
    <t>London</t>
  </si>
  <si>
    <t>1827SG</t>
  </si>
  <si>
    <t>1828SG</t>
  </si>
  <si>
    <t>Solo Energía</t>
  </si>
  <si>
    <t>1829SG</t>
  </si>
  <si>
    <t>con Líneas de Vida</t>
  </si>
  <si>
    <t>1830SG</t>
  </si>
  <si>
    <t>con Líneas de Vida y cámaras</t>
  </si>
  <si>
    <t>1831SG</t>
  </si>
  <si>
    <t>1832SG</t>
  </si>
  <si>
    <t>Polito</t>
  </si>
  <si>
    <t>1833SG</t>
  </si>
  <si>
    <t>Carlos Moscoso</t>
  </si>
  <si>
    <t>Finca 1 (7235349)</t>
  </si>
  <si>
    <t>1834SG</t>
  </si>
  <si>
    <t>Finca 2 (7235443)</t>
  </si>
  <si>
    <t>1835SG</t>
  </si>
  <si>
    <t>Ed. Guadalupe</t>
  </si>
  <si>
    <t>1836SG</t>
  </si>
  <si>
    <t>Omega de Plásticos</t>
  </si>
  <si>
    <t>1837SG</t>
  </si>
  <si>
    <t>1838SG</t>
  </si>
  <si>
    <t>DV</t>
  </si>
  <si>
    <t>1839SG</t>
  </si>
  <si>
    <t>Villa Fontana</t>
  </si>
  <si>
    <t>Int. 9</t>
  </si>
  <si>
    <t>1840SG</t>
  </si>
  <si>
    <t>Int 12346</t>
  </si>
  <si>
    <t>1841SG</t>
  </si>
  <si>
    <t>Comercializadora</t>
  </si>
  <si>
    <t>1842SG</t>
  </si>
  <si>
    <t>Carlos Alberto</t>
  </si>
  <si>
    <t>Finca El Retiro</t>
  </si>
  <si>
    <t>1843SG</t>
  </si>
  <si>
    <t>Provincia de los Bosques</t>
  </si>
  <si>
    <t>1844SG</t>
  </si>
  <si>
    <t>Restaurante Anclas</t>
  </si>
  <si>
    <t>1845SG</t>
  </si>
  <si>
    <t>Hibrido 5k</t>
  </si>
  <si>
    <t>1846SG</t>
  </si>
  <si>
    <t>Guadalupe</t>
  </si>
  <si>
    <t>2 torres</t>
  </si>
  <si>
    <t>1847SG</t>
  </si>
  <si>
    <t>Ochoa</t>
  </si>
  <si>
    <t>1848SG</t>
  </si>
  <si>
    <t>1849SG</t>
  </si>
  <si>
    <t>Bakancitos</t>
  </si>
  <si>
    <t>Bodega 540</t>
  </si>
  <si>
    <t>1850SG</t>
  </si>
  <si>
    <t>Terrazas de San Michel</t>
  </si>
  <si>
    <t>1851SG</t>
  </si>
  <si>
    <t>Jorge Eliécer</t>
  </si>
  <si>
    <t>Gaitán</t>
  </si>
  <si>
    <t>1852SG</t>
  </si>
  <si>
    <t>Duván</t>
  </si>
  <si>
    <t>Montoya</t>
  </si>
  <si>
    <t>1853SG</t>
  </si>
  <si>
    <t>1854SG</t>
  </si>
  <si>
    <t>Mondragón</t>
  </si>
  <si>
    <t>1855SG</t>
  </si>
  <si>
    <t>1856SG</t>
  </si>
  <si>
    <t>García Manjarrez</t>
  </si>
  <si>
    <t>1857SG</t>
  </si>
  <si>
    <t>Millau</t>
  </si>
  <si>
    <t>1858SG</t>
  </si>
  <si>
    <t>IC Ribon</t>
  </si>
  <si>
    <t>1859SG</t>
  </si>
  <si>
    <t>Brassia</t>
  </si>
  <si>
    <t>1860SG</t>
  </si>
  <si>
    <t>Fernando</t>
  </si>
  <si>
    <t>Roldán (RDLM)</t>
  </si>
  <si>
    <t>1861SG</t>
  </si>
  <si>
    <t>Roldán (El Retiro)</t>
  </si>
  <si>
    <t>1862SG</t>
  </si>
  <si>
    <t>Betancur (Fredonia)</t>
  </si>
  <si>
    <t>1863SG</t>
  </si>
  <si>
    <t>1864SG</t>
  </si>
  <si>
    <t>Betancur (Fredonia 8277173)</t>
  </si>
  <si>
    <t>1865SG</t>
  </si>
  <si>
    <t>*Autocons*</t>
  </si>
  <si>
    <t>*Exp*</t>
  </si>
  <si>
    <t>*Imp*</t>
  </si>
  <si>
    <t>*Tarifa2*</t>
  </si>
  <si>
    <t>*$Autocons*</t>
  </si>
  <si>
    <t>*$Exp*</t>
  </si>
  <si>
    <t>*$Imp*</t>
  </si>
  <si>
    <t>*Pagoant*</t>
  </si>
  <si>
    <t>*Pagoah*</t>
  </si>
  <si>
    <t>*Ahorrofac*</t>
  </si>
  <si>
    <t>*Ahorropct*</t>
  </si>
  <si>
    <t>Yussi</t>
  </si>
  <si>
    <t>1866SG</t>
  </si>
  <si>
    <t>1867SG</t>
  </si>
  <si>
    <t>1868SG</t>
  </si>
  <si>
    <t>Hotel Los Recuerdos</t>
  </si>
  <si>
    <t>1869SG</t>
  </si>
  <si>
    <t>Mayid</t>
  </si>
  <si>
    <t>Alfonso Castillo</t>
  </si>
  <si>
    <t>1870SG</t>
  </si>
  <si>
    <t>1871SG</t>
  </si>
  <si>
    <t>Rincón del Bosque</t>
  </si>
  <si>
    <t>1872SG</t>
  </si>
  <si>
    <t>Destajos</t>
  </si>
  <si>
    <t>Belmira</t>
  </si>
  <si>
    <t>1873SG</t>
  </si>
  <si>
    <t>Kluane</t>
  </si>
  <si>
    <t>1874SG</t>
  </si>
  <si>
    <t>Panel solar Monocristalino  HalfCell (570W)</t>
  </si>
  <si>
    <t>1875SG</t>
  </si>
  <si>
    <t>1876SG</t>
  </si>
  <si>
    <t>Portanova Center</t>
  </si>
  <si>
    <t>1877SG</t>
  </si>
  <si>
    <t>Medical Center</t>
  </si>
  <si>
    <t>1878SG</t>
  </si>
  <si>
    <t>Alzate</t>
  </si>
  <si>
    <t>Tipo Acometida</t>
  </si>
  <si>
    <t>Acometida</t>
  </si>
  <si>
    <t>Bandeja Escalera</t>
  </si>
  <si>
    <t>Subterránea</t>
  </si>
  <si>
    <t>precio/m</t>
  </si>
  <si>
    <t>IMC (Exterior)</t>
  </si>
  <si>
    <t>EMT (Interior)</t>
  </si>
  <si>
    <t>Acometida AC Cable</t>
  </si>
  <si>
    <t>Conducción AC</t>
  </si>
  <si>
    <t>Accesorios proyectos pequeños</t>
  </si>
  <si>
    <t>1879SG</t>
  </si>
  <si>
    <t>Parque Industrial Élite</t>
  </si>
  <si>
    <t>1880SG</t>
  </si>
  <si>
    <t>1881SG</t>
  </si>
  <si>
    <t>1882SG</t>
  </si>
  <si>
    <t>1883SG</t>
  </si>
  <si>
    <t>Ciudadela del Parque</t>
  </si>
  <si>
    <t>Int 1</t>
  </si>
  <si>
    <t>1884SG</t>
  </si>
  <si>
    <t>Int 2</t>
  </si>
  <si>
    <t>1885SG</t>
  </si>
  <si>
    <t>int 2</t>
  </si>
  <si>
    <t>1886SG</t>
  </si>
  <si>
    <t>int 3</t>
  </si>
  <si>
    <t>1887SG</t>
  </si>
  <si>
    <t>1888SG</t>
  </si>
  <si>
    <t>int 1</t>
  </si>
  <si>
    <t>1889SG</t>
  </si>
  <si>
    <t>int 0</t>
  </si>
  <si>
    <t>1890SG</t>
  </si>
  <si>
    <t>1891SG</t>
  </si>
  <si>
    <t>int 4</t>
  </si>
  <si>
    <t>1892SG</t>
  </si>
  <si>
    <t>1893SG</t>
  </si>
  <si>
    <t>Juan Santiago</t>
  </si>
  <si>
    <t>Betancur Corrección</t>
  </si>
  <si>
    <t>1894SG</t>
  </si>
  <si>
    <t>Santa Cecilia</t>
  </si>
  <si>
    <t>1895SG</t>
  </si>
  <si>
    <t>1896SG</t>
  </si>
  <si>
    <t>1897SG</t>
  </si>
  <si>
    <t>Luz Elena</t>
  </si>
  <si>
    <t>Cuervo</t>
  </si>
  <si>
    <t>1898SG</t>
  </si>
  <si>
    <t>Hector</t>
  </si>
  <si>
    <t>Raigoza Original</t>
  </si>
  <si>
    <t>1899SG</t>
  </si>
  <si>
    <t>1900SG</t>
  </si>
  <si>
    <t>Encicla</t>
  </si>
  <si>
    <t>1901SG</t>
  </si>
  <si>
    <t>MUNDO SOS
Simón García</t>
  </si>
  <si>
    <t>Mayorca Pt. 2</t>
  </si>
  <si>
    <t>Contra Celsia</t>
  </si>
  <si>
    <t>1902SG</t>
  </si>
  <si>
    <t>Contra EPM 11251941</t>
  </si>
  <si>
    <t>1903SG</t>
  </si>
  <si>
    <t>1904SG</t>
  </si>
  <si>
    <t>2 cuentas</t>
  </si>
  <si>
    <t>1905SG</t>
  </si>
  <si>
    <t>1906SG</t>
  </si>
  <si>
    <t>Teleeficaz</t>
  </si>
  <si>
    <t>1907SG</t>
  </si>
  <si>
    <t>Juan Bautista</t>
  </si>
  <si>
    <t>1908SG</t>
  </si>
  <si>
    <t>1909SG</t>
  </si>
  <si>
    <t>TIR 12</t>
  </si>
  <si>
    <t>Flujo de Caja PPA 12 años</t>
  </si>
  <si>
    <t>PPA 12 años</t>
  </si>
  <si>
    <t>1910SG</t>
  </si>
  <si>
    <t>1911SG</t>
  </si>
  <si>
    <t>1912SG</t>
  </si>
  <si>
    <t>1913SG</t>
  </si>
  <si>
    <t>1914SG</t>
  </si>
  <si>
    <t>Torres 345</t>
  </si>
  <si>
    <t>1915SG</t>
  </si>
  <si>
    <t>1916SG</t>
  </si>
  <si>
    <t>20 paneles</t>
  </si>
  <si>
    <t>1917SG</t>
  </si>
  <si>
    <t>1918SG</t>
  </si>
  <si>
    <t>veinte</t>
  </si>
  <si>
    <t>1919SG</t>
  </si>
  <si>
    <t>1920SG</t>
  </si>
  <si>
    <t>cuarenta</t>
  </si>
  <si>
    <t>1921SG</t>
  </si>
  <si>
    <t>TL Eficaz</t>
  </si>
  <si>
    <t>1922SG</t>
  </si>
  <si>
    <t>Ana María</t>
  </si>
  <si>
    <t>Orozco</t>
  </si>
  <si>
    <t>Meta</t>
  </si>
  <si>
    <t>1923SG</t>
  </si>
  <si>
    <t>1924SG</t>
  </si>
  <si>
    <t>Gerardo</t>
  </si>
  <si>
    <t>1925SG</t>
  </si>
  <si>
    <t>Camila Medina</t>
  </si>
  <si>
    <t>Parque Residencial La Campiña</t>
  </si>
  <si>
    <t xml:space="preserve">Medellín </t>
  </si>
  <si>
    <t>1926CM</t>
  </si>
  <si>
    <t>1927CM</t>
  </si>
  <si>
    <t>1928CM</t>
  </si>
  <si>
    <t>Urbanización La Reserva</t>
  </si>
  <si>
    <t>1929CM</t>
  </si>
  <si>
    <t>1930CM</t>
  </si>
  <si>
    <t>1931CM</t>
  </si>
  <si>
    <t>Edison Moncada</t>
  </si>
  <si>
    <t>1932CM</t>
  </si>
  <si>
    <t xml:space="preserve">León García </t>
  </si>
  <si>
    <t>Caldas</t>
  </si>
  <si>
    <t>1933CM</t>
  </si>
  <si>
    <t>1934CM</t>
  </si>
  <si>
    <t>1935CM</t>
  </si>
  <si>
    <t>1936CM</t>
  </si>
  <si>
    <t>1937CM</t>
  </si>
  <si>
    <t>1938CM</t>
  </si>
  <si>
    <t>EDS Terpel Marinilla</t>
  </si>
  <si>
    <t>1939CM</t>
  </si>
  <si>
    <t>1940CM</t>
  </si>
  <si>
    <t xml:space="preserve">Torreselva apartamentos PH </t>
  </si>
  <si>
    <t>1941CM</t>
  </si>
  <si>
    <t>Felix Moscoso</t>
  </si>
  <si>
    <t xml:space="preserve">Barranquilla </t>
  </si>
  <si>
    <t>1942CM</t>
  </si>
  <si>
    <t>Dorchester</t>
  </si>
  <si>
    <t>1943CM</t>
  </si>
  <si>
    <t>Martinique</t>
  </si>
  <si>
    <t>1944CM</t>
  </si>
  <si>
    <t>Luis Tobio</t>
  </si>
  <si>
    <t>Morroa</t>
  </si>
  <si>
    <t>1945CM</t>
  </si>
  <si>
    <t>1946CM</t>
  </si>
  <si>
    <t>Pot minima</t>
  </si>
  <si>
    <t>Pot maxima</t>
  </si>
  <si>
    <t xml:space="preserve">Liliana Duque </t>
  </si>
  <si>
    <t>1947CM</t>
  </si>
  <si>
    <t xml:space="preserve">Ivan </t>
  </si>
  <si>
    <t>1948CM</t>
  </si>
  <si>
    <t>PTAR Aguas Claras</t>
  </si>
  <si>
    <t>1949CM</t>
  </si>
  <si>
    <t>Ivan Gomez</t>
  </si>
  <si>
    <t>Retiro</t>
  </si>
  <si>
    <t>1950CM</t>
  </si>
  <si>
    <t>Humberto Florez</t>
  </si>
  <si>
    <t xml:space="preserve">Angostura </t>
  </si>
  <si>
    <t>1951CM</t>
  </si>
  <si>
    <t>Mirador Mountain Park</t>
  </si>
  <si>
    <t>1952CM</t>
  </si>
  <si>
    <t>Mirador de San Felix</t>
  </si>
  <si>
    <t>1953CM</t>
  </si>
  <si>
    <t>1954CM</t>
  </si>
  <si>
    <t>Orlando Urrea</t>
  </si>
  <si>
    <t xml:space="preserve">Urbanización Reloj de Arena </t>
  </si>
  <si>
    <t>1955CM</t>
  </si>
  <si>
    <t>San Rafael</t>
  </si>
  <si>
    <t>1956CM</t>
  </si>
  <si>
    <t>1957CM</t>
  </si>
  <si>
    <t>Ivan Roncari</t>
  </si>
  <si>
    <t xml:space="preserve">Medellin </t>
  </si>
  <si>
    <t>1958CM</t>
  </si>
  <si>
    <t>1959CM</t>
  </si>
  <si>
    <t>Bizancio</t>
  </si>
  <si>
    <t>1960CM</t>
  </si>
  <si>
    <t>1961CM</t>
  </si>
  <si>
    <t>Reloj de Arena</t>
  </si>
  <si>
    <t>1962CM</t>
  </si>
  <si>
    <t>Ana Teresa Velasquez</t>
  </si>
  <si>
    <t>1963CM</t>
  </si>
  <si>
    <t>1964CM</t>
  </si>
  <si>
    <t>Hector Oñate Bermudez</t>
  </si>
  <si>
    <t>Valledupar</t>
  </si>
  <si>
    <t>1965CM</t>
  </si>
  <si>
    <t>1966CM</t>
  </si>
  <si>
    <t>1967CM</t>
  </si>
  <si>
    <t>1968CM</t>
  </si>
  <si>
    <t>María Vallejo</t>
  </si>
  <si>
    <t>1969CM</t>
  </si>
  <si>
    <t>1970CM</t>
  </si>
  <si>
    <t>Jose Reyes</t>
  </si>
  <si>
    <t>La Dorada</t>
  </si>
  <si>
    <t>1971CM</t>
  </si>
  <si>
    <t>Fernando Venegas</t>
  </si>
  <si>
    <t>Soacha, cundinamarca</t>
  </si>
  <si>
    <t>1972CM</t>
  </si>
  <si>
    <t>Natalia Montes</t>
  </si>
  <si>
    <t>1973CM</t>
  </si>
  <si>
    <t>Cabaña</t>
  </si>
  <si>
    <t>amalfi</t>
  </si>
  <si>
    <t>1974CM</t>
  </si>
  <si>
    <t>1975CM</t>
  </si>
  <si>
    <t>Glamping</t>
  </si>
  <si>
    <t>Amalfi</t>
  </si>
  <si>
    <t>1976CM</t>
  </si>
  <si>
    <t>1977CM</t>
  </si>
  <si>
    <t>Erick Pico</t>
  </si>
  <si>
    <t>1978CM</t>
  </si>
  <si>
    <t xml:space="preserve">Luis Carlos Henao </t>
  </si>
  <si>
    <t>1979CM</t>
  </si>
  <si>
    <t>1980CM</t>
  </si>
  <si>
    <t xml:space="preserve">Luis Pimentel </t>
  </si>
  <si>
    <t>Apartadó</t>
  </si>
  <si>
    <t>1981CM</t>
  </si>
  <si>
    <t>Soraya Ramirez</t>
  </si>
  <si>
    <t>1982CM</t>
  </si>
  <si>
    <t xml:space="preserve">Ciudad Central </t>
  </si>
  <si>
    <t>1983CM</t>
  </si>
  <si>
    <t>1984CM</t>
  </si>
  <si>
    <t>1985CM</t>
  </si>
  <si>
    <t>Luis Guillermo Salazar</t>
  </si>
  <si>
    <t>1986CM</t>
  </si>
  <si>
    <t xml:space="preserve">Milagros </t>
  </si>
  <si>
    <t>1987CM</t>
  </si>
  <si>
    <t>Puerta Madera</t>
  </si>
  <si>
    <t>1988CM</t>
  </si>
  <si>
    <t>1989CM</t>
  </si>
  <si>
    <t>1990CM</t>
  </si>
  <si>
    <t>Felipe Cardona</t>
  </si>
  <si>
    <t xml:space="preserve">Cartagena </t>
  </si>
  <si>
    <t>1991CM</t>
  </si>
  <si>
    <t>1992CM</t>
  </si>
  <si>
    <t xml:space="preserve">Santa Elena </t>
  </si>
  <si>
    <t>Dayana</t>
  </si>
  <si>
    <t>1993CM</t>
  </si>
  <si>
    <t>Fernando Gomez</t>
  </si>
  <si>
    <t>1994CM</t>
  </si>
  <si>
    <t>Margarita Arango</t>
  </si>
  <si>
    <t>Gomez Plata</t>
  </si>
  <si>
    <t>1995CM</t>
  </si>
  <si>
    <t>Andrés García</t>
  </si>
  <si>
    <t>1996CM</t>
  </si>
  <si>
    <t>Bernardo</t>
  </si>
  <si>
    <t>1997CM</t>
  </si>
  <si>
    <t>Francisco Montoya</t>
  </si>
  <si>
    <t>1998CM</t>
  </si>
  <si>
    <t>Clinica Santillana</t>
  </si>
  <si>
    <t>1999CM</t>
  </si>
  <si>
    <t xml:space="preserve">Jose Chamorro </t>
  </si>
  <si>
    <t xml:space="preserve">Santafe de Antioquia </t>
  </si>
  <si>
    <t>2000CM</t>
  </si>
  <si>
    <t>2001CM</t>
  </si>
  <si>
    <t>Sara Cure</t>
  </si>
  <si>
    <t>2002CM</t>
  </si>
  <si>
    <t>Andrés Ospina</t>
  </si>
  <si>
    <t>2003CM</t>
  </si>
  <si>
    <t>Supermercado Los Ruices</t>
  </si>
  <si>
    <t>2004CM</t>
  </si>
  <si>
    <t xml:space="preserve">El Tucan </t>
  </si>
  <si>
    <t xml:space="preserve">Capurgana </t>
  </si>
  <si>
    <t>2005CM</t>
  </si>
  <si>
    <t>Mauro Gonzales</t>
  </si>
  <si>
    <t>2006CM</t>
  </si>
  <si>
    <t>2007CM</t>
  </si>
  <si>
    <t>Arquividrios y aluminios del caribe</t>
  </si>
  <si>
    <t>2008CM</t>
  </si>
  <si>
    <t>Lubricantes el Carmelo</t>
  </si>
  <si>
    <t>2009CM</t>
  </si>
  <si>
    <t>2010CM</t>
  </si>
  <si>
    <t>2011CM</t>
  </si>
  <si>
    <t>IPS Maicao</t>
  </si>
  <si>
    <t>Maicao, Guajira</t>
  </si>
  <si>
    <t>2012CM</t>
  </si>
  <si>
    <t>Hotel Jardín del Río</t>
  </si>
  <si>
    <t>Betania, Antioquia</t>
  </si>
  <si>
    <t>2013CM</t>
  </si>
  <si>
    <t>2014CM</t>
  </si>
  <si>
    <t>2015CM</t>
  </si>
  <si>
    <t>2016CM</t>
  </si>
  <si>
    <t>Urbanización La reserva</t>
  </si>
  <si>
    <t>2017CM</t>
  </si>
  <si>
    <t>Casa de retiro Lazos de Amor Mariano</t>
  </si>
  <si>
    <t>Malagana</t>
  </si>
  <si>
    <t>2018CM</t>
  </si>
  <si>
    <t>2019CM</t>
  </si>
  <si>
    <t>2020CM</t>
  </si>
  <si>
    <t>MEMCO</t>
  </si>
  <si>
    <t>2021CM</t>
  </si>
  <si>
    <t>2022CM</t>
  </si>
  <si>
    <t>Cosmos (Perpetuo Socorro)</t>
  </si>
  <si>
    <t>2023CM</t>
  </si>
  <si>
    <t>Cosmos (Cristo Rey)</t>
  </si>
  <si>
    <t>2024CM</t>
  </si>
  <si>
    <t>Cosmos (Belen la Palma)</t>
  </si>
  <si>
    <t>2025CM</t>
  </si>
  <si>
    <t>2026CM</t>
  </si>
  <si>
    <t>Cosmos (Barrio Colombia)</t>
  </si>
  <si>
    <t>2027CM</t>
  </si>
  <si>
    <t>Cosmos (Centro)</t>
  </si>
  <si>
    <t>2028CM</t>
  </si>
  <si>
    <t>Cosmos (Envigado)</t>
  </si>
  <si>
    <t>2029CM</t>
  </si>
  <si>
    <t>Hernán Sánchez</t>
  </si>
  <si>
    <t>2030CM</t>
  </si>
  <si>
    <t>Terret</t>
  </si>
  <si>
    <t>2031CM</t>
  </si>
  <si>
    <t xml:space="preserve">Cordoba </t>
  </si>
  <si>
    <t>2032CM</t>
  </si>
  <si>
    <t>Norberto Sanchez</t>
  </si>
  <si>
    <t>Cocorná</t>
  </si>
  <si>
    <t>2033CM</t>
  </si>
  <si>
    <t>2034CM</t>
  </si>
  <si>
    <t>Carlos Manrique</t>
  </si>
  <si>
    <t>2035CM</t>
  </si>
  <si>
    <t>Maceo, Antioquia</t>
  </si>
  <si>
    <t>2036CM</t>
  </si>
  <si>
    <t>Duvier</t>
  </si>
  <si>
    <t>2037CM</t>
  </si>
  <si>
    <t>2038CM</t>
  </si>
  <si>
    <t>208/220/241</t>
  </si>
  <si>
    <t>2039CM</t>
  </si>
  <si>
    <t>2040CM</t>
  </si>
  <si>
    <t>2041CM</t>
  </si>
  <si>
    <t>Juan</t>
  </si>
  <si>
    <t>Bedoya Ferreira</t>
  </si>
  <si>
    <t>2042CM</t>
  </si>
  <si>
    <t>2043CM</t>
  </si>
  <si>
    <t>2044CM</t>
  </si>
  <si>
    <t>Flastra</t>
  </si>
  <si>
    <t>2045CM</t>
  </si>
  <si>
    <t>Fernando Romero</t>
  </si>
  <si>
    <t>San Luis</t>
  </si>
  <si>
    <t>2046CM</t>
  </si>
  <si>
    <t>2047CM</t>
  </si>
  <si>
    <t>Jorge Maya</t>
  </si>
  <si>
    <t>2048CM</t>
  </si>
  <si>
    <t>Luis Alfonso Manjarrés</t>
  </si>
  <si>
    <t>2049CM</t>
  </si>
  <si>
    <t>2050CM</t>
  </si>
  <si>
    <t>Bibiana</t>
  </si>
  <si>
    <t>2051CM</t>
  </si>
  <si>
    <t xml:space="preserve">San Luis </t>
  </si>
  <si>
    <t>2052CM</t>
  </si>
  <si>
    <t>2053CM</t>
  </si>
  <si>
    <t>2054CM</t>
  </si>
  <si>
    <t>Hernan Paniagua</t>
  </si>
  <si>
    <t>2055CM</t>
  </si>
  <si>
    <t>Samuel Quintero</t>
  </si>
  <si>
    <t>2056CM</t>
  </si>
  <si>
    <t>Alejandro Raigosa</t>
  </si>
  <si>
    <t>2057CM</t>
  </si>
  <si>
    <t>Bombas</t>
  </si>
  <si>
    <t>2058CM</t>
  </si>
  <si>
    <t>Plasticos Codazzi</t>
  </si>
  <si>
    <t>2059CM</t>
  </si>
  <si>
    <t>Luis Kowua</t>
  </si>
  <si>
    <t>2060CM</t>
  </si>
  <si>
    <t>Jhon Giraldo</t>
  </si>
  <si>
    <t>2061CM</t>
  </si>
  <si>
    <t xml:space="preserve">Juan Bedoya </t>
  </si>
  <si>
    <t>2062CM</t>
  </si>
  <si>
    <t>2063CM</t>
  </si>
  <si>
    <t xml:space="preserve">Hernán Hurtado </t>
  </si>
  <si>
    <t>2064CM</t>
  </si>
  <si>
    <t>Alfredo</t>
  </si>
  <si>
    <t>Finlandia</t>
  </si>
  <si>
    <t>2065CM</t>
  </si>
  <si>
    <t>Juan Bedoya</t>
  </si>
  <si>
    <t>2066CM</t>
  </si>
  <si>
    <t>Ruben Dario Ramirez</t>
  </si>
  <si>
    <t xml:space="preserve">Envigado </t>
  </si>
  <si>
    <t>2067CM</t>
  </si>
  <si>
    <t>Maricela Torres</t>
  </si>
  <si>
    <t xml:space="preserve">Apartadó </t>
  </si>
  <si>
    <t>2068CM</t>
  </si>
  <si>
    <t>2069CM</t>
  </si>
  <si>
    <t>Hugo Arismendi</t>
  </si>
  <si>
    <t xml:space="preserve">San Rafael </t>
  </si>
  <si>
    <t>2070CM</t>
  </si>
  <si>
    <t>2071CM</t>
  </si>
  <si>
    <t>Conexiones AC</t>
  </si>
  <si>
    <t>Wilmar Rios</t>
  </si>
  <si>
    <t>Amalfí</t>
  </si>
  <si>
    <t>2072CM</t>
  </si>
  <si>
    <t>2073CM</t>
  </si>
  <si>
    <t>Mary Ruiz</t>
  </si>
  <si>
    <t>2074CM</t>
  </si>
  <si>
    <t>Gumbia</t>
  </si>
  <si>
    <t>2075CM</t>
  </si>
  <si>
    <t>Eduardo</t>
  </si>
  <si>
    <t>2076CM</t>
  </si>
  <si>
    <t>Universidad Autónoma del Caribe (Polideportivo)</t>
  </si>
  <si>
    <t>2077CM</t>
  </si>
  <si>
    <t xml:space="preserve">Universidad Autónoma del Caribe </t>
  </si>
  <si>
    <t>2078CM</t>
  </si>
  <si>
    <t>Universidad Autónoma del Caribe (4900106)</t>
  </si>
  <si>
    <t>2079CM</t>
  </si>
  <si>
    <t>2080CM</t>
  </si>
  <si>
    <t xml:space="preserve">Sebastian Osorio </t>
  </si>
  <si>
    <t>2081CM</t>
  </si>
  <si>
    <t>SerVid</t>
  </si>
  <si>
    <t>El Carmen</t>
  </si>
  <si>
    <t>2082CM</t>
  </si>
  <si>
    <t>2083CM</t>
  </si>
  <si>
    <t>Casa del Tejido</t>
  </si>
  <si>
    <t>2084CM</t>
  </si>
  <si>
    <t>Antonio Ruiz</t>
  </si>
  <si>
    <t>2085CM</t>
  </si>
  <si>
    <t>2086CM</t>
  </si>
  <si>
    <t>2087CM</t>
  </si>
  <si>
    <t>2088CM</t>
  </si>
  <si>
    <t>2089CM</t>
  </si>
  <si>
    <t>Carro hibrido</t>
  </si>
  <si>
    <t xml:space="preserve">Juan </t>
  </si>
  <si>
    <t>2090CM</t>
  </si>
  <si>
    <t>Silvia Loaiza</t>
  </si>
  <si>
    <t>Coveñas</t>
  </si>
  <si>
    <t>2091CM</t>
  </si>
  <si>
    <t>Gilberto Zapata</t>
  </si>
  <si>
    <t>2092CM</t>
  </si>
  <si>
    <t>Mauricio Gaviria</t>
  </si>
  <si>
    <t>2093CM</t>
  </si>
  <si>
    <t>Sebastian Osorio</t>
  </si>
  <si>
    <t>2094CM</t>
  </si>
  <si>
    <t>2095CM</t>
  </si>
  <si>
    <t>Kelly Vargas</t>
  </si>
  <si>
    <t>2096CM</t>
  </si>
  <si>
    <t>2097CM</t>
  </si>
  <si>
    <t>2098CM</t>
  </si>
  <si>
    <t>F&amp;D Arquitectura</t>
  </si>
  <si>
    <t>2099CM</t>
  </si>
  <si>
    <t>Urb Nativo Madera</t>
  </si>
  <si>
    <t>2100CM</t>
  </si>
  <si>
    <t xml:space="preserve">Janeth </t>
  </si>
  <si>
    <t>2101CM</t>
  </si>
  <si>
    <t>Universidad Autónoma del Caribe</t>
  </si>
  <si>
    <t>2102CM</t>
  </si>
  <si>
    <t>2103CM</t>
  </si>
  <si>
    <t>2104CM</t>
  </si>
  <si>
    <t>Colegio Santa Maria del Rosario</t>
  </si>
  <si>
    <t>2105CM</t>
  </si>
  <si>
    <t>Oscar Ramirez</t>
  </si>
  <si>
    <t>2106CM</t>
  </si>
  <si>
    <t>Luis Fernando Perez</t>
  </si>
  <si>
    <t>2107CM</t>
  </si>
  <si>
    <t>Acueducto</t>
  </si>
  <si>
    <t>2108CM</t>
  </si>
  <si>
    <t>2109CM</t>
  </si>
  <si>
    <t>Jhonier Trujullo</t>
  </si>
  <si>
    <t xml:space="preserve">Bosconia </t>
  </si>
  <si>
    <t>2110CM</t>
  </si>
  <si>
    <t>2111CM</t>
  </si>
  <si>
    <t>2112CM</t>
  </si>
  <si>
    <t xml:space="preserve">Margarita Moron </t>
  </si>
  <si>
    <t>2113CM</t>
  </si>
  <si>
    <t xml:space="preserve">Marielena </t>
  </si>
  <si>
    <t>2114CM</t>
  </si>
  <si>
    <t>2115CM</t>
  </si>
  <si>
    <t>Sara Escobar</t>
  </si>
  <si>
    <t xml:space="preserve">La Floresta </t>
  </si>
  <si>
    <t>2116CM</t>
  </si>
  <si>
    <t>Panel solar Monocristalino  HalfCell (585W)</t>
  </si>
  <si>
    <t>Eduardo Jácome</t>
  </si>
  <si>
    <t>2117CM</t>
  </si>
  <si>
    <t>2118CM</t>
  </si>
  <si>
    <t>2119CM</t>
  </si>
  <si>
    <t>Catalina Velez</t>
  </si>
  <si>
    <t>San Jeronimo</t>
  </si>
  <si>
    <t>2120CM</t>
  </si>
  <si>
    <t>2121CM</t>
  </si>
  <si>
    <t>Maria Paula Madrigal</t>
  </si>
  <si>
    <t>2122CM</t>
  </si>
  <si>
    <t>2123CM</t>
  </si>
  <si>
    <t>Calcepunto SAS</t>
  </si>
  <si>
    <t>2124CM</t>
  </si>
  <si>
    <t>David Barrera</t>
  </si>
  <si>
    <t>2125CM</t>
  </si>
  <si>
    <t>Jorge Gil</t>
  </si>
  <si>
    <t>2126CM</t>
  </si>
  <si>
    <t>2127CM</t>
  </si>
  <si>
    <t>Soledad, Atlántico</t>
  </si>
  <si>
    <t>Humberto Gonzalez</t>
  </si>
  <si>
    <t>2128CM</t>
  </si>
  <si>
    <t>2129CM</t>
  </si>
  <si>
    <t>Barbosa, Antioquia</t>
  </si>
  <si>
    <t>2130CM</t>
  </si>
  <si>
    <t>Silvia Toro Loaiza</t>
  </si>
  <si>
    <t>2131CM</t>
  </si>
  <si>
    <t>Necoclí</t>
  </si>
  <si>
    <t>2132CM</t>
  </si>
  <si>
    <t xml:space="preserve">David Mejia </t>
  </si>
  <si>
    <t>2133CM</t>
  </si>
  <si>
    <t>HUAWEI</t>
  </si>
  <si>
    <t>120 Vac / 208 Vac, 3W/N+PE</t>
  </si>
  <si>
    <t>230 Vac / 400 Vac, 3W/N+PE</t>
  </si>
  <si>
    <t>231 Vac / 400 Vac, 3W/N+PE</t>
  </si>
  <si>
    <t>232 Vac / 400 Vac, 3W/N+PE</t>
  </si>
  <si>
    <t>400 Vac / 480 Vac, 3W+(N) + PE</t>
  </si>
  <si>
    <t>220 V / 380 V, 230 V / 400 V, por defecto 3W + N + PE; 3W + PE opcional en configuraciones;
277 V / 480 V, 3W + PE</t>
  </si>
  <si>
    <t>480 V/ 400 V/ 380 V, 3W+(N)+PE</t>
  </si>
  <si>
    <t>800 V, 3W + PE</t>
  </si>
  <si>
    <t>Costo por watio</t>
  </si>
  <si>
    <t>HUAWEI SUN2000-2KTL-L1 208V</t>
  </si>
  <si>
    <t>HUAWEI SUN2000-3KTL-L1 208V</t>
  </si>
  <si>
    <t>HUAWEI SUN2000-4KTL-L1 208V</t>
  </si>
  <si>
    <t>HUAWEI SUN2000-5KTL-L1 208V</t>
  </si>
  <si>
    <t>HUAWEI SUN2000-6KTL-L1 208V</t>
  </si>
  <si>
    <t>HUAWEI SUN2000-20KTL-M3 208V</t>
  </si>
  <si>
    <t>HUAWEI SUN2000-30KTL-M3 230/400V</t>
  </si>
  <si>
    <t>HUAWEI SUN2000-36KTL-M3 230/400V</t>
  </si>
  <si>
    <t>HUAWEI SUN2000-40KTL-M3 230/400V</t>
  </si>
  <si>
    <t>HUAWEI SUN2000-50KTL-M3 400/480V</t>
  </si>
  <si>
    <t>HUAWEI SUN2000-60KTL-M0 230 V / 400 V</t>
  </si>
  <si>
    <t>HUAWEI SUN2000-100KTL-M2 480 V/ 400 V/ 380 V</t>
  </si>
  <si>
    <t>HUAWEI SUN2000-215KTL-H0 800V</t>
  </si>
  <si>
    <t>Evelio Palacio</t>
  </si>
  <si>
    <t>2134CM</t>
  </si>
  <si>
    <t>2135CM</t>
  </si>
  <si>
    <t>Marisol</t>
  </si>
  <si>
    <t>2136CM</t>
  </si>
  <si>
    <t>Luis Villegas</t>
  </si>
  <si>
    <t>2137CM</t>
  </si>
  <si>
    <t xml:space="preserve">Casa hotel Gechalon </t>
  </si>
  <si>
    <t>2138CM</t>
  </si>
  <si>
    <t>2139CM</t>
  </si>
  <si>
    <t>2140CM</t>
  </si>
  <si>
    <t>2141CM</t>
  </si>
  <si>
    <t>2142CM</t>
  </si>
  <si>
    <t>2143CM</t>
  </si>
  <si>
    <t>Maria Eugenia</t>
  </si>
  <si>
    <t>2144CM</t>
  </si>
  <si>
    <t>Ezequiel Murgas</t>
  </si>
  <si>
    <t>2145CM</t>
  </si>
  <si>
    <t>PVG Arquitectos</t>
  </si>
  <si>
    <t>2146CM</t>
  </si>
  <si>
    <t>Mauricio</t>
  </si>
  <si>
    <t>2147CM</t>
  </si>
  <si>
    <t>El Rancho de Emilio</t>
  </si>
  <si>
    <t xml:space="preserve">El Carmen de Viboral </t>
  </si>
  <si>
    <t>2148CM</t>
  </si>
  <si>
    <t>Platinum Airbnb</t>
  </si>
  <si>
    <t>2149CM</t>
  </si>
  <si>
    <t>Pacho Manrique</t>
  </si>
  <si>
    <t>2150CM</t>
  </si>
  <si>
    <t>Marcos Restrepo</t>
  </si>
  <si>
    <t>2151CM</t>
  </si>
  <si>
    <t>Victor Molano</t>
  </si>
  <si>
    <t>2152CM</t>
  </si>
  <si>
    <t>2153CM</t>
  </si>
  <si>
    <t>2154CM</t>
  </si>
  <si>
    <t>2155CM</t>
  </si>
  <si>
    <t>2156CM</t>
  </si>
  <si>
    <t>Thomas Pedraza</t>
  </si>
  <si>
    <t>El Bagre, Antioquia</t>
  </si>
  <si>
    <t>2157CM</t>
  </si>
  <si>
    <t>Andrés Mejía</t>
  </si>
  <si>
    <t>Sabaneta, Antioquia</t>
  </si>
  <si>
    <t>2158CM</t>
  </si>
  <si>
    <t>David Barraza</t>
  </si>
  <si>
    <t>2159CM</t>
  </si>
  <si>
    <t>Adolfo Rodriguez</t>
  </si>
  <si>
    <t>2160CM</t>
  </si>
  <si>
    <t>2161CM</t>
  </si>
  <si>
    <t>Libro Arte</t>
  </si>
  <si>
    <t>2162CM</t>
  </si>
  <si>
    <t>Libro Arte 2</t>
  </si>
  <si>
    <t>2163CM</t>
  </si>
  <si>
    <t xml:space="preserve">Arquimedes Duran </t>
  </si>
  <si>
    <t>2164CM</t>
  </si>
  <si>
    <t>Carlos Pineda</t>
  </si>
  <si>
    <t>2165CM</t>
  </si>
  <si>
    <t>Andrés Zorro</t>
  </si>
  <si>
    <t>2166CM</t>
  </si>
  <si>
    <t>German Ballesteros</t>
  </si>
  <si>
    <t>2167CM</t>
  </si>
  <si>
    <t xml:space="preserve">Luis Fernando Espinal </t>
  </si>
  <si>
    <t>2168CM</t>
  </si>
  <si>
    <t>2169CM</t>
  </si>
  <si>
    <t xml:space="preserve">Dario Valencia </t>
  </si>
  <si>
    <t>2170CM</t>
  </si>
  <si>
    <t>Dario Gutierrez</t>
  </si>
  <si>
    <t>2171CM</t>
  </si>
  <si>
    <t>2172CM</t>
  </si>
  <si>
    <t>Dairo Gutierrez</t>
  </si>
  <si>
    <t>2173CM</t>
  </si>
  <si>
    <t>Jaime Gallego</t>
  </si>
  <si>
    <t>Itagui</t>
  </si>
  <si>
    <t>2174CM</t>
  </si>
  <si>
    <t>Leonardo meza</t>
  </si>
  <si>
    <t>2175CM</t>
  </si>
  <si>
    <t>Moni Calle</t>
  </si>
  <si>
    <t>Concepción, Antioquia</t>
  </si>
  <si>
    <t>2176CM</t>
  </si>
  <si>
    <t>Turbaco</t>
  </si>
  <si>
    <t>Ruby Rodriguez</t>
  </si>
  <si>
    <t>2177CM</t>
  </si>
  <si>
    <t>Puerto Colombia</t>
  </si>
  <si>
    <t>2178CM</t>
  </si>
  <si>
    <t>Jorge Henao</t>
  </si>
  <si>
    <t>2179CM</t>
  </si>
  <si>
    <t xml:space="preserve">Froilan Rios </t>
  </si>
  <si>
    <t>2180CM</t>
  </si>
  <si>
    <t>2181CM</t>
  </si>
  <si>
    <t>2182CM</t>
  </si>
  <si>
    <t>2183CM</t>
  </si>
  <si>
    <t>2184CM</t>
  </si>
  <si>
    <t xml:space="preserve">Fernando Roldán </t>
  </si>
  <si>
    <t>2185CM</t>
  </si>
  <si>
    <t xml:space="preserve">Computador </t>
  </si>
  <si>
    <t>2186CM</t>
  </si>
  <si>
    <t>2187CM</t>
  </si>
  <si>
    <t>2188CM</t>
  </si>
  <si>
    <t>Rochy Acosta</t>
  </si>
  <si>
    <t>2189CM</t>
  </si>
  <si>
    <t>2190CM</t>
  </si>
  <si>
    <t xml:space="preserve">Santo Tomás, Atlantico </t>
  </si>
  <si>
    <t>2191CM</t>
  </si>
  <si>
    <t>Wilson</t>
  </si>
  <si>
    <t>2192CM</t>
  </si>
  <si>
    <t xml:space="preserve">Amaury </t>
  </si>
  <si>
    <t>2193CM</t>
  </si>
  <si>
    <t>Jorge (Casa)</t>
  </si>
  <si>
    <t>2194CM</t>
  </si>
  <si>
    <t>2195CM</t>
  </si>
  <si>
    <t>Galapa, Atlántico</t>
  </si>
  <si>
    <t xml:space="preserve">Karen </t>
  </si>
  <si>
    <t>2196CM</t>
  </si>
  <si>
    <t>Mutatá</t>
  </si>
  <si>
    <t>Carlos Daniel</t>
  </si>
  <si>
    <t>2197CM</t>
  </si>
  <si>
    <t>Geronimo</t>
  </si>
  <si>
    <t>2198CM</t>
  </si>
  <si>
    <t>IMPERMEABILIZACIONES Y CUBIERTAS S.A.S.</t>
  </si>
  <si>
    <t>2199CM</t>
  </si>
  <si>
    <t xml:space="preserve">Franklin Villarreal </t>
  </si>
  <si>
    <t>2200CM</t>
  </si>
  <si>
    <t>Roxana</t>
  </si>
  <si>
    <t>2201CM</t>
  </si>
  <si>
    <t xml:space="preserve">Mario </t>
  </si>
  <si>
    <t>2202CM</t>
  </si>
  <si>
    <t>Jesus Escobar</t>
  </si>
  <si>
    <t>2203CM</t>
  </si>
  <si>
    <t xml:space="preserve">Henry </t>
  </si>
  <si>
    <t>2204CM</t>
  </si>
  <si>
    <t>2205CM</t>
  </si>
  <si>
    <t>Francisco Restrepo</t>
  </si>
  <si>
    <t>2206CM</t>
  </si>
  <si>
    <t>Henry Forero</t>
  </si>
  <si>
    <t>2207CM</t>
  </si>
  <si>
    <t>Armando Benedetti</t>
  </si>
  <si>
    <t>2208CM</t>
  </si>
  <si>
    <t>2209CM</t>
  </si>
  <si>
    <t>Tomas Muñoz</t>
  </si>
  <si>
    <t>2210CM</t>
  </si>
  <si>
    <t>2211CM</t>
  </si>
  <si>
    <t>Motel In Vegas</t>
  </si>
  <si>
    <t>2212CM</t>
  </si>
  <si>
    <t>Luisa Balza</t>
  </si>
  <si>
    <t>2213CM</t>
  </si>
  <si>
    <t>2214CM</t>
  </si>
  <si>
    <t>Yussy Brito</t>
  </si>
  <si>
    <t>2215CM</t>
  </si>
  <si>
    <t>2216CM</t>
  </si>
  <si>
    <t>Santander</t>
  </si>
  <si>
    <t>Arboletes</t>
  </si>
  <si>
    <t>2217CM</t>
  </si>
  <si>
    <t>2218CM</t>
  </si>
  <si>
    <t>2219CM</t>
  </si>
  <si>
    <t>Brandt Baute</t>
  </si>
  <si>
    <t>2220CM</t>
  </si>
  <si>
    <t>Dario Valencia</t>
  </si>
  <si>
    <t>2221CM</t>
  </si>
  <si>
    <t>2222CM</t>
  </si>
  <si>
    <t>Alberto Ballestas</t>
  </si>
  <si>
    <t>2223CM</t>
  </si>
  <si>
    <t>Oscar Romero</t>
  </si>
  <si>
    <t>Riohacha</t>
  </si>
  <si>
    <t>2224CM</t>
  </si>
  <si>
    <t>Rodrigo Ocampo</t>
  </si>
  <si>
    <t>2225CM</t>
  </si>
  <si>
    <t>Humberto Cuesta</t>
  </si>
  <si>
    <t>2226CM</t>
  </si>
  <si>
    <t>Edier</t>
  </si>
  <si>
    <t>2227CM</t>
  </si>
  <si>
    <t>Lacteos Todo Quesos El Pizzero</t>
  </si>
  <si>
    <t>Sincé</t>
  </si>
  <si>
    <t>2228CM</t>
  </si>
  <si>
    <t>Gabriel Espinoza</t>
  </si>
  <si>
    <t>2229CM</t>
  </si>
  <si>
    <t>Frontino</t>
  </si>
  <si>
    <t>Jaime De Jesus Moreno</t>
  </si>
  <si>
    <t>2230CM</t>
  </si>
  <si>
    <t>Jaime  Moreno</t>
  </si>
  <si>
    <t>(Lechería)</t>
  </si>
  <si>
    <t>2231CM</t>
  </si>
  <si>
    <t>mmibanez</t>
  </si>
  <si>
    <t>2232CM</t>
  </si>
  <si>
    <t>Hotel Platinum Airbnb</t>
  </si>
  <si>
    <t>2233CM</t>
  </si>
  <si>
    <t>Tomas Morales</t>
  </si>
  <si>
    <t>2234CM</t>
  </si>
  <si>
    <t>2235CM</t>
  </si>
  <si>
    <t>2236CM</t>
  </si>
  <si>
    <t>Luciano Velez</t>
  </si>
  <si>
    <t>2237CM</t>
  </si>
  <si>
    <t>Casa Vitall</t>
  </si>
  <si>
    <t>2238CM</t>
  </si>
  <si>
    <t>2239CM</t>
  </si>
  <si>
    <t>Fernando Mesa</t>
  </si>
  <si>
    <t>2240CM</t>
  </si>
  <si>
    <t>2241CM</t>
  </si>
  <si>
    <t>Juan Fernando Uribe</t>
  </si>
  <si>
    <t>2242CM</t>
  </si>
  <si>
    <t>Hyco SAS</t>
  </si>
  <si>
    <t xml:space="preserve">Cali </t>
  </si>
  <si>
    <t>2243CM</t>
  </si>
  <si>
    <t>2244CM</t>
  </si>
  <si>
    <t>Eduardo Torres</t>
  </si>
  <si>
    <t>2245CM</t>
  </si>
  <si>
    <t>Natalia Sanchez</t>
  </si>
  <si>
    <t>2246CM</t>
  </si>
  <si>
    <t>2247CM</t>
  </si>
  <si>
    <t>Jose Guillermo Aristizabal</t>
  </si>
  <si>
    <t>2248CM</t>
  </si>
  <si>
    <t>Meyer</t>
  </si>
  <si>
    <t>2249CM</t>
  </si>
  <si>
    <t xml:space="preserve">Edwin Moreno </t>
  </si>
  <si>
    <t>2250CM</t>
  </si>
  <si>
    <t>2251CM</t>
  </si>
  <si>
    <t>Michel Ciro Palma</t>
  </si>
  <si>
    <t>Bucaramanga</t>
  </si>
  <si>
    <t>2252CM</t>
  </si>
  <si>
    <t>2253CM</t>
  </si>
  <si>
    <t>Isabel Romero</t>
  </si>
  <si>
    <t>2254CM</t>
  </si>
  <si>
    <t>2255CM</t>
  </si>
  <si>
    <t>ED Tempus</t>
  </si>
  <si>
    <t>2256CM</t>
  </si>
  <si>
    <t>ED Concorde</t>
  </si>
  <si>
    <t>2257CM</t>
  </si>
  <si>
    <t>2258CM</t>
  </si>
  <si>
    <t>ED San Diego</t>
  </si>
  <si>
    <t>2259CM</t>
  </si>
  <si>
    <t>CR Los Cerezos</t>
  </si>
  <si>
    <t>2260CM</t>
  </si>
  <si>
    <t>ED Ribeira</t>
  </si>
  <si>
    <t>2261CM</t>
  </si>
  <si>
    <t>ED Torre Real</t>
  </si>
  <si>
    <t>2262CM</t>
  </si>
  <si>
    <t>ED Grace</t>
  </si>
  <si>
    <t>2263CM</t>
  </si>
  <si>
    <t>ED Tiberiades</t>
  </si>
  <si>
    <t>2264CM</t>
  </si>
  <si>
    <t>ED Don Felix</t>
  </si>
  <si>
    <t>2265CM</t>
  </si>
  <si>
    <t>Comfasucre Sede Ppal</t>
  </si>
  <si>
    <t>2266CM</t>
  </si>
  <si>
    <t>2267CM</t>
  </si>
  <si>
    <t>Parque</t>
  </si>
  <si>
    <t>Televisor</t>
  </si>
  <si>
    <t>Entrerrios</t>
  </si>
  <si>
    <t>Alejandro Velez</t>
  </si>
  <si>
    <t>2268CM</t>
  </si>
  <si>
    <t>2269CM</t>
  </si>
  <si>
    <t>Juliana Quijano</t>
  </si>
  <si>
    <t>2270CM</t>
  </si>
  <si>
    <t xml:space="preserve">Rodrigo Ocampo </t>
  </si>
  <si>
    <t xml:space="preserve">La Ceja </t>
  </si>
  <si>
    <t>2271CM</t>
  </si>
  <si>
    <t>Conrado Duque</t>
  </si>
  <si>
    <t xml:space="preserve">Carolina del príncipe </t>
  </si>
  <si>
    <t>2272CM</t>
  </si>
  <si>
    <t>Yaneth Calderón</t>
  </si>
  <si>
    <t>2273CM</t>
  </si>
  <si>
    <t>Lina Raigosa</t>
  </si>
  <si>
    <t>2274CM</t>
  </si>
  <si>
    <t>2275CM</t>
  </si>
  <si>
    <t>Tomás Morales</t>
  </si>
  <si>
    <t xml:space="preserve">La Estrella </t>
  </si>
  <si>
    <t>2276CM</t>
  </si>
  <si>
    <t>Yair Villa</t>
  </si>
  <si>
    <t xml:space="preserve">Santa fe de Antioquia </t>
  </si>
  <si>
    <t>2277CM</t>
  </si>
  <si>
    <t>Hogar San Lucas</t>
  </si>
  <si>
    <t>2278CM</t>
  </si>
  <si>
    <t>2279CM</t>
  </si>
  <si>
    <t>Julián Zapata</t>
  </si>
  <si>
    <t>2280CM</t>
  </si>
  <si>
    <t>Alservir S.a.s</t>
  </si>
  <si>
    <t>2281CM</t>
  </si>
  <si>
    <t>2282CM</t>
  </si>
  <si>
    <t>Gloria Osorno</t>
  </si>
  <si>
    <t>2283CM</t>
  </si>
  <si>
    <t xml:space="preserve">Luis  Miguel Restrepo </t>
  </si>
  <si>
    <t>2284CM</t>
  </si>
  <si>
    <t>2285CM</t>
  </si>
  <si>
    <t>Maria Isabel Castro</t>
  </si>
  <si>
    <t>2286CM</t>
  </si>
  <si>
    <t>2287CM</t>
  </si>
  <si>
    <t>Molina Administraciones</t>
  </si>
  <si>
    <t>2288CM</t>
  </si>
  <si>
    <t>2289CM</t>
  </si>
  <si>
    <t xml:space="preserve">Valledupar </t>
  </si>
  <si>
    <t>2290CM</t>
  </si>
  <si>
    <t>Publiarte</t>
  </si>
  <si>
    <t>2291CM</t>
  </si>
  <si>
    <t>2292CM</t>
  </si>
  <si>
    <t>Stikers &amp; Stands</t>
  </si>
  <si>
    <t>2293CM</t>
  </si>
  <si>
    <t>2294CM</t>
  </si>
  <si>
    <t>Eduardo Rocha</t>
  </si>
  <si>
    <t>2295CM</t>
  </si>
  <si>
    <t>Kelvin Pitre</t>
  </si>
  <si>
    <t>2296CM</t>
  </si>
  <si>
    <t>2297CM</t>
  </si>
  <si>
    <t xml:space="preserve">Diego Maldonado </t>
  </si>
  <si>
    <t>2298CM</t>
  </si>
  <si>
    <t>Yolima Moreno</t>
  </si>
  <si>
    <t>Don Matias</t>
  </si>
  <si>
    <t>2299CM</t>
  </si>
  <si>
    <t>Pedro Sanchez</t>
  </si>
  <si>
    <t>2300CM</t>
  </si>
  <si>
    <t xml:space="preserve">Jose </t>
  </si>
  <si>
    <t>2301CM</t>
  </si>
  <si>
    <t>Francisco Jesus Ovalle</t>
  </si>
  <si>
    <t>2302CM</t>
  </si>
  <si>
    <t>2303CM</t>
  </si>
  <si>
    <t>La ceja</t>
  </si>
  <si>
    <t>Pedro Vallejo</t>
  </si>
  <si>
    <t>2304CM</t>
  </si>
  <si>
    <t>Miguel Martinez</t>
  </si>
  <si>
    <t>Melgar</t>
  </si>
  <si>
    <t>2305CM</t>
  </si>
  <si>
    <t>2306CM</t>
  </si>
  <si>
    <t xml:space="preserve">Federico </t>
  </si>
  <si>
    <t>San Felix</t>
  </si>
  <si>
    <t>2307CM</t>
  </si>
  <si>
    <t>2308CM</t>
  </si>
  <si>
    <t>Matha Jaramillo</t>
  </si>
  <si>
    <t xml:space="preserve">Copacabana </t>
  </si>
  <si>
    <t>2309CM</t>
  </si>
  <si>
    <t xml:space="preserve">Parcelación el Capiro </t>
  </si>
  <si>
    <t>2310CM</t>
  </si>
  <si>
    <t>Lina Margarita</t>
  </si>
  <si>
    <t>2311CM</t>
  </si>
  <si>
    <t>José Martinez</t>
  </si>
  <si>
    <t>2312CM</t>
  </si>
  <si>
    <t>Jaime Sincelejo</t>
  </si>
  <si>
    <t>2313CM</t>
  </si>
  <si>
    <t>2314CM</t>
  </si>
  <si>
    <t>Wiston</t>
  </si>
  <si>
    <t>2315CM</t>
  </si>
  <si>
    <t>Ruben Gonzalez</t>
  </si>
  <si>
    <t>2316CM</t>
  </si>
  <si>
    <t xml:space="preserve">Freddy Sampayo </t>
  </si>
  <si>
    <t>2317CM</t>
  </si>
  <si>
    <t>Iván Idarraga</t>
  </si>
  <si>
    <t>2318CM</t>
  </si>
  <si>
    <t>Heli Fernando Sierra</t>
  </si>
  <si>
    <t>2319CM</t>
  </si>
  <si>
    <t xml:space="preserve">Buenavista </t>
  </si>
  <si>
    <t>2320CM</t>
  </si>
  <si>
    <t xml:space="preserve">Ibeth Arrieta </t>
  </si>
  <si>
    <t>2321CM</t>
  </si>
  <si>
    <t xml:space="preserve">Gustavo Gonzalez </t>
  </si>
  <si>
    <t>2322CM</t>
  </si>
  <si>
    <t>2323CM</t>
  </si>
  <si>
    <t>Amaury Puello</t>
  </si>
  <si>
    <t>2324CM</t>
  </si>
  <si>
    <t xml:space="preserve">Geo Holman </t>
  </si>
  <si>
    <t xml:space="preserve">Sincelejo </t>
  </si>
  <si>
    <t>2325CM</t>
  </si>
  <si>
    <t>2326CM</t>
  </si>
  <si>
    <t>2327CM</t>
  </si>
  <si>
    <t>2328CM</t>
  </si>
  <si>
    <t>2329CM</t>
  </si>
  <si>
    <t>Francisco Echavarría</t>
  </si>
  <si>
    <t>2330CM</t>
  </si>
  <si>
    <t>2331CM</t>
  </si>
  <si>
    <t>2332CM</t>
  </si>
  <si>
    <t>Platinium Home</t>
  </si>
  <si>
    <t>2333CM</t>
  </si>
  <si>
    <t>2334CM</t>
  </si>
  <si>
    <t>2335HG</t>
  </si>
  <si>
    <t>2336HG</t>
  </si>
  <si>
    <t>Paradero Santa Rosa Tradición y Sabor</t>
  </si>
  <si>
    <t>Santa rosa de Osos</t>
  </si>
  <si>
    <t>2337HG</t>
  </si>
  <si>
    <t>Laureles</t>
  </si>
  <si>
    <t>2338HG</t>
  </si>
  <si>
    <t>2339HG</t>
  </si>
  <si>
    <t>Belen</t>
  </si>
  <si>
    <t>Luis Obando</t>
  </si>
  <si>
    <t>2340HG</t>
  </si>
  <si>
    <t>Carlos Enrique Manrique Chica</t>
  </si>
  <si>
    <t xml:space="preserve">Alicante,Maceo Vereda la Susana </t>
  </si>
  <si>
    <t>2341HG</t>
  </si>
  <si>
    <t>Edificio Torre Epresarial Davivienda PH</t>
  </si>
  <si>
    <t>alvaro.arango.rpo@gmail.com</t>
  </si>
  <si>
    <t>Carrera 43A calle 1 sur 188</t>
  </si>
  <si>
    <t>2342HG</t>
  </si>
  <si>
    <t>Wilmar Alexander Castillon</t>
  </si>
  <si>
    <t>2343HG</t>
  </si>
  <si>
    <t>2344HG</t>
  </si>
  <si>
    <t>Ivan Restrepo</t>
  </si>
  <si>
    <t>2345HG</t>
  </si>
  <si>
    <t>2346HG</t>
  </si>
  <si>
    <t>Panel solar Monocristalino  HalfCell (575W)</t>
  </si>
  <si>
    <t>Panel solar Monocristalino  HalfCell (580W)</t>
  </si>
  <si>
    <t>Cr 43 # 47 - 53</t>
  </si>
  <si>
    <t>Julian Botero</t>
  </si>
  <si>
    <t xml:space="preserve">               </t>
  </si>
  <si>
    <t>2347HG</t>
  </si>
  <si>
    <t>Ultima actualización de costos</t>
  </si>
  <si>
    <t>Kms del proyecto a Medellín</t>
  </si>
  <si>
    <t>Comisión adicional o descuento</t>
  </si>
  <si>
    <t>Estructura Elevada (Columnetas por el cliente)</t>
  </si>
  <si>
    <t>Losa (Contrapesos)</t>
  </si>
  <si>
    <t>Columna2</t>
  </si>
  <si>
    <t>Inversor (Solis) 6 kW 3F</t>
  </si>
  <si>
    <t>Inversor (Solis) 5 kW 3F</t>
  </si>
  <si>
    <t>3/N/PE, 220/380V, 230/400V</t>
  </si>
  <si>
    <t>FibraAndina</t>
  </si>
  <si>
    <t>Baywa</t>
  </si>
  <si>
    <t>Hotel Puerta del sol</t>
  </si>
  <si>
    <t>2348HG</t>
  </si>
  <si>
    <t>2349HG</t>
  </si>
  <si>
    <t>2350HG</t>
  </si>
  <si>
    <t>Dr. Amado Aramendiz</t>
  </si>
  <si>
    <t>2351HG</t>
  </si>
  <si>
    <t>2352HG</t>
  </si>
  <si>
    <t>Daniel Medina LUP</t>
  </si>
  <si>
    <t>2353HG</t>
  </si>
  <si>
    <t>2354HG</t>
  </si>
  <si>
    <t>2355HG</t>
  </si>
  <si>
    <t>2356HG</t>
  </si>
  <si>
    <t>2357HG</t>
  </si>
  <si>
    <t>2358HG</t>
  </si>
  <si>
    <t>2359HG</t>
  </si>
  <si>
    <t>2360HG</t>
  </si>
  <si>
    <t>2361HG</t>
  </si>
  <si>
    <t>Diego Castaño</t>
  </si>
  <si>
    <t>Casa 1308 - La Argentina</t>
  </si>
  <si>
    <t>2362SC</t>
  </si>
  <si>
    <t>Jhon Fredy</t>
  </si>
  <si>
    <t>Román</t>
  </si>
  <si>
    <t>2363SC</t>
  </si>
  <si>
    <t>2364SC</t>
  </si>
  <si>
    <t xml:space="preserve">Diego </t>
  </si>
  <si>
    <t>Castaño</t>
  </si>
  <si>
    <t>2365SC</t>
  </si>
  <si>
    <t>Senderos de piamonte</t>
  </si>
  <si>
    <t>Machetá - Cundinamarca</t>
  </si>
  <si>
    <t>2366SC</t>
  </si>
  <si>
    <t>Barón</t>
  </si>
  <si>
    <t>2367SC</t>
  </si>
  <si>
    <t>Costos en peajes por trayecto</t>
  </si>
  <si>
    <t>hospedaje /persona</t>
  </si>
  <si>
    <t>$ de ing/kwp</t>
  </si>
  <si>
    <t>$ de tecnico/día</t>
  </si>
  <si>
    <t>Costos de gasolina por trayecto</t>
  </si>
  <si>
    <t>Hidratación día/persona</t>
  </si>
  <si>
    <t>Precio de gasolina y gas por km</t>
  </si>
  <si>
    <t>2368SC</t>
  </si>
  <si>
    <t>Costo de tiquetes promedio</t>
  </si>
  <si>
    <t>Proyectos anteriores</t>
  </si>
  <si>
    <t>98 - Medellín - Liliana Duque</t>
  </si>
  <si>
    <t>Retie</t>
  </si>
  <si>
    <t>Mano de obra y viaticos (gasolina, peajes,etc)</t>
  </si>
  <si>
    <t>Fletes</t>
  </si>
  <si>
    <t>impuesto de renta</t>
  </si>
  <si>
    <t>autorretención</t>
  </si>
  <si>
    <t>regalo</t>
  </si>
  <si>
    <t>mantenimiento</t>
  </si>
  <si>
    <t>imprevistos</t>
  </si>
  <si>
    <t># paneles</t>
  </si>
  <si>
    <t>Potencia pico</t>
  </si>
  <si>
    <t>Precio de venta teorico</t>
  </si>
  <si>
    <t>.</t>
  </si>
  <si>
    <t>Precio real</t>
  </si>
  <si>
    <t>97 - Rionegro - Rodrigo Prado</t>
  </si>
  <si>
    <t>96 - Sta Elena - Santiago Mondr</t>
  </si>
  <si>
    <t>95 - Rionegro - Roberto Turizo</t>
  </si>
  <si>
    <t>Rentab Real</t>
  </si>
  <si>
    <t>90 - Santa Fe - Lina Sarah</t>
  </si>
  <si>
    <t>89 - Medellín - Juan David Gome</t>
  </si>
  <si>
    <t>Promedios micros</t>
  </si>
  <si>
    <t>Promedios inversor</t>
  </si>
  <si>
    <t>$ -</t>
  </si>
  <si>
    <t>88 - Buenavista - Hector Raigoza</t>
  </si>
  <si>
    <t>87 - Sabanalarga - ganaderia so</t>
  </si>
  <si>
    <t>86 - Medellín - Molino Viejo</t>
  </si>
  <si>
    <t>85 - Sta Elena - Andrés Rivera</t>
  </si>
  <si>
    <t>Acometida 150m y tablero</t>
  </si>
  <si>
    <t>Comentarios de anomalias</t>
  </si>
  <si>
    <t>Hibrido</t>
  </si>
  <si>
    <t>Promedios hibridos</t>
  </si>
  <si>
    <t>84 - Cali - Elite</t>
  </si>
  <si>
    <t>Acometida 45m</t>
  </si>
  <si>
    <t>83 - Envigado - Corosión y Prot</t>
  </si>
  <si>
    <t>Mano de obra y viaticos</t>
  </si>
  <si>
    <t>Gasolina y peajes</t>
  </si>
  <si>
    <t>Condicional de ida y regreso o estadia</t>
  </si>
  <si>
    <t>Costo de peajes del viaje</t>
  </si>
  <si>
    <t>Costo de gasolina del viaje</t>
  </si>
  <si>
    <t>Precio kWp</t>
  </si>
  <si>
    <t>Polizas</t>
  </si>
  <si>
    <t>Mano de obra/kWp</t>
  </si>
  <si>
    <t>Formula costo de RETIE</t>
  </si>
  <si>
    <t>Peso</t>
  </si>
  <si>
    <t>Comisión o descuento</t>
  </si>
  <si>
    <t>Referencia de inversor</t>
  </si>
  <si>
    <t>Área (m2)</t>
  </si>
  <si>
    <t>Potencia (VA)</t>
  </si>
  <si>
    <t>Mppt's de entrada (A)</t>
  </si>
  <si>
    <t>Voltaje de entrada maximo  (V)</t>
  </si>
  <si>
    <t>Voltaje salida nominal  (V)</t>
  </si>
  <si>
    <t>Microinversor (APSystem) DS3D Bifásico</t>
  </si>
  <si>
    <t>Microinversor (APSystem) QT2-208 Trifásico</t>
  </si>
  <si>
    <t>Inversor Híbrido (Deye) Sun 5kW Split phase</t>
  </si>
  <si>
    <t>Inversor (Solis) 6 kW Split phase</t>
  </si>
  <si>
    <t>Inversor (Solis) 1F 3,6 kW Split phase</t>
  </si>
  <si>
    <t xml:space="preserve">Inversor (Solis) 8 kW Split phase </t>
  </si>
  <si>
    <t>Inversor Híbrido (Deye) Sun 8kW Split phase</t>
  </si>
  <si>
    <t>Inversor (Solis) 10 kW Split phase</t>
  </si>
  <si>
    <t>Inversor (Solis) 36 kW 3F</t>
  </si>
  <si>
    <t>Inversor (Growatt) 3F MAC 30kW  TL3-XL</t>
  </si>
  <si>
    <t>127V/220V(101.6-139.7V)</t>
  </si>
  <si>
    <t>Inversor (Growatt) 3F MAC 36kW  TL3-XL</t>
  </si>
  <si>
    <t>Inversor (Growatt) 3F MAC 10kW  TL3-XL</t>
  </si>
  <si>
    <t>220V/101.6-139.7V</t>
  </si>
  <si>
    <t>Inversor (Growatt) 3F MAC 15kW  TL3-XL</t>
  </si>
  <si>
    <t>Inversor (Growatt) 3F MAC 20kW  TL3-XL</t>
  </si>
  <si>
    <t>Microinversor (Hoymiles) HMS-800</t>
  </si>
  <si>
    <t>120-90/150</t>
  </si>
  <si>
    <t>Microinversor (Hoymiles) HMS-1600</t>
  </si>
  <si>
    <t>Inversor (Growatt) 1F MIN 3kW TL-X Split phase</t>
  </si>
  <si>
    <t>230 (180-280)</t>
  </si>
  <si>
    <t xml:space="preserve">Inversor (Growatt) 1F MIN 3,6kW TL-X Split phase </t>
  </si>
  <si>
    <t>Inversor (Growatt) 1F MIN 5kW - TL-X Split phase</t>
  </si>
  <si>
    <t>Inversor (Growatt) 1F MIN 6kW TL-X Split phase</t>
  </si>
  <si>
    <t>27.2</t>
  </si>
  <si>
    <t>Inversor (Growatt) 1F MIN 10kW TL-X Split phase</t>
  </si>
  <si>
    <t>240 split phase</t>
  </si>
  <si>
    <t>Inversor (Growatt) 3F MAX 60kW TL3- LV</t>
  </si>
  <si>
    <t>220V/380V, 230V/400V (340-440V)</t>
  </si>
  <si>
    <t>Inversor (Growatt) 3F MAX 70kW TL3- LV</t>
  </si>
  <si>
    <t>Inversores y Microinversores Descontinuados o de baja rotación</t>
  </si>
  <si>
    <t>Acometida AC Conducción</t>
  </si>
  <si>
    <t>2369HG</t>
  </si>
  <si>
    <t>Mariana Duque</t>
  </si>
  <si>
    <t>Patricia</t>
  </si>
  <si>
    <t>Rojas</t>
  </si>
  <si>
    <t>lpaty15@hotmail.com</t>
  </si>
  <si>
    <t>CR 1 J 62-46</t>
  </si>
  <si>
    <t>2370MD</t>
  </si>
  <si>
    <t xml:space="preserve"> Juan David </t>
  </si>
  <si>
    <t>Ríos Ochoa</t>
  </si>
  <si>
    <t>vereda Chaparral</t>
  </si>
  <si>
    <t xml:space="preserve">San Vicente Ferrer </t>
  </si>
  <si>
    <t>mavid8@gmail.com</t>
  </si>
  <si>
    <t>2421MD</t>
  </si>
  <si>
    <t>2422MD</t>
  </si>
  <si>
    <t xml:space="preserve">German </t>
  </si>
  <si>
    <t>Ballesteros Camacho</t>
  </si>
  <si>
    <t xml:space="preserve">El prado </t>
  </si>
  <si>
    <t>2423MD</t>
  </si>
  <si>
    <t xml:space="preserve">La vega </t>
  </si>
  <si>
    <t>Cundinamarca</t>
  </si>
  <si>
    <t>Rafael Torres Matiz</t>
  </si>
  <si>
    <t>313 4834830</t>
  </si>
  <si>
    <t>2424MD</t>
  </si>
  <si>
    <t>Blanca Mariana</t>
  </si>
  <si>
    <t xml:space="preserve"> Duque Montoya</t>
  </si>
  <si>
    <t>VDA SAN JOSE KM 41 ESCUELA</t>
  </si>
  <si>
    <t xml:space="preserve"> 317 7720395</t>
  </si>
  <si>
    <t>Neira</t>
  </si>
  <si>
    <t>2425MD</t>
  </si>
  <si>
    <t>Obando, valle del cauca.</t>
  </si>
  <si>
    <t xml:space="preserve">Cristian Camilo </t>
  </si>
  <si>
    <t>Colorado</t>
  </si>
  <si>
    <t>2426MD</t>
  </si>
  <si>
    <t xml:space="preserve">Rogelio de Jesus </t>
  </si>
  <si>
    <t>Los Cedros</t>
  </si>
  <si>
    <t>2427MD</t>
  </si>
  <si>
    <t xml:space="preserve">Andres </t>
  </si>
  <si>
    <t xml:space="preserve">Eduardo Gil </t>
  </si>
  <si>
    <t>Caucasia Antioquia</t>
  </si>
  <si>
    <t>2428MD</t>
  </si>
  <si>
    <t>Gabriel Angel</t>
  </si>
  <si>
    <t>2429MD</t>
  </si>
  <si>
    <t>Rina</t>
  </si>
  <si>
    <t xml:space="preserve">Jinete Rios </t>
  </si>
  <si>
    <t>Cartagena- Buenos Aires</t>
  </si>
  <si>
    <t>2430MD</t>
  </si>
  <si>
    <t xml:space="preserve">Robinson </t>
  </si>
  <si>
    <t xml:space="preserve">Garcia Ferro </t>
  </si>
  <si>
    <t>2431MD</t>
  </si>
  <si>
    <t>Eliana Viloria</t>
  </si>
  <si>
    <t>2432MD</t>
  </si>
  <si>
    <t>Alvaro Bautista</t>
  </si>
  <si>
    <t>2433MD</t>
  </si>
  <si>
    <t>2434MD</t>
  </si>
  <si>
    <t>2435MD</t>
  </si>
  <si>
    <t>2436MD</t>
  </si>
  <si>
    <t>2437MD</t>
  </si>
  <si>
    <t xml:space="preserve">Carlos Enrique </t>
  </si>
  <si>
    <t>2438MD</t>
  </si>
  <si>
    <t>2439MD</t>
  </si>
  <si>
    <t>Octavio Hoyos</t>
  </si>
  <si>
    <t>316 8330188</t>
  </si>
  <si>
    <t>2440MD</t>
  </si>
  <si>
    <t>David Franco</t>
  </si>
  <si>
    <t>2441MD</t>
  </si>
  <si>
    <t>2442MD</t>
  </si>
  <si>
    <t>Americo</t>
  </si>
  <si>
    <t>Villavicencio</t>
  </si>
  <si>
    <t>2443MD</t>
  </si>
  <si>
    <t>Jose Fester</t>
  </si>
  <si>
    <t>Jazmin</t>
  </si>
  <si>
    <t>Tulua</t>
  </si>
  <si>
    <t>2444MD</t>
  </si>
  <si>
    <t>2445MD</t>
  </si>
  <si>
    <t>2446MD</t>
  </si>
  <si>
    <t>2447MD</t>
  </si>
  <si>
    <t>2448MD</t>
  </si>
  <si>
    <t>2449MD</t>
  </si>
  <si>
    <t>2450MD</t>
  </si>
  <si>
    <t>2451MD</t>
  </si>
  <si>
    <t>2452MD</t>
  </si>
  <si>
    <t xml:space="preserve">Manuel Antonio </t>
  </si>
  <si>
    <t>Arrieta</t>
  </si>
  <si>
    <t>2453MD</t>
  </si>
  <si>
    <t xml:space="preserve"> Medellin On Grid</t>
  </si>
  <si>
    <t>2454MD</t>
  </si>
  <si>
    <t>Juan Ochoa</t>
  </si>
  <si>
    <t>2455MD</t>
  </si>
  <si>
    <t>Xavier</t>
  </si>
  <si>
    <t>NIC  2058536</t>
  </si>
  <si>
    <t>2456MD</t>
  </si>
  <si>
    <t>NIC  6531380</t>
  </si>
  <si>
    <t>2457MD</t>
  </si>
  <si>
    <t xml:space="preserve">Fernando Alberto </t>
  </si>
  <si>
    <t>2458MD</t>
  </si>
  <si>
    <t>Carlos Wilches</t>
  </si>
  <si>
    <t>2459SC</t>
  </si>
  <si>
    <t>2460SC</t>
  </si>
  <si>
    <t>2461SC</t>
  </si>
  <si>
    <t>Carlos Mario Bedoya</t>
  </si>
  <si>
    <t>2462SC</t>
  </si>
  <si>
    <t>2463SC</t>
  </si>
  <si>
    <t>2464SC</t>
  </si>
  <si>
    <t>Andrés Guerra</t>
  </si>
  <si>
    <t>2465SC</t>
  </si>
  <si>
    <t>2466SC</t>
  </si>
  <si>
    <t>2467SC</t>
  </si>
  <si>
    <t>Alejandro Uribe</t>
  </si>
  <si>
    <t>2468SC</t>
  </si>
  <si>
    <t>San Gil, Bucaramanga</t>
  </si>
  <si>
    <t>Andrés López</t>
  </si>
  <si>
    <t>2469SC</t>
  </si>
  <si>
    <t xml:space="preserve">Juan Manuel </t>
  </si>
  <si>
    <t>Cardona</t>
  </si>
  <si>
    <t>2470SC</t>
  </si>
  <si>
    <t>2471SC</t>
  </si>
  <si>
    <t>Daniel Esteban</t>
  </si>
  <si>
    <t>Quinchía</t>
  </si>
  <si>
    <t>Campoalegre Huila</t>
  </si>
  <si>
    <t>2472SC</t>
  </si>
  <si>
    <t>Meribeth</t>
  </si>
  <si>
    <t>Chasman</t>
  </si>
  <si>
    <t>2473SC</t>
  </si>
  <si>
    <t>Grupo Reditos</t>
  </si>
  <si>
    <t>2474SC</t>
  </si>
  <si>
    <t>Antonio</t>
  </si>
  <si>
    <t>CR 65 B CL 32 D -48</t>
  </si>
  <si>
    <t>Campuzano</t>
  </si>
  <si>
    <t>2475SC</t>
  </si>
  <si>
    <t>El Santuario</t>
  </si>
  <si>
    <t>Gómez - 11880778</t>
  </si>
  <si>
    <t>2476SC</t>
  </si>
  <si>
    <t>Diana Ramos</t>
  </si>
  <si>
    <t>2477SC</t>
  </si>
  <si>
    <t>Joel Diaz</t>
  </si>
  <si>
    <t>2478SC</t>
  </si>
  <si>
    <t>Joel Díaz</t>
  </si>
  <si>
    <t>2479SC</t>
  </si>
  <si>
    <t>2480SC</t>
  </si>
  <si>
    <t>Mauricio Angel</t>
  </si>
  <si>
    <t>2481SC</t>
  </si>
  <si>
    <t>2482SC</t>
  </si>
  <si>
    <t>Monica Borja Oquendo</t>
  </si>
  <si>
    <t>2483SC</t>
  </si>
  <si>
    <t>2484SC</t>
  </si>
  <si>
    <t>Mónica Borja Oquendo</t>
  </si>
  <si>
    <t>2485SC</t>
  </si>
  <si>
    <t>Rafael Velásquez</t>
  </si>
  <si>
    <t>2486SC</t>
  </si>
  <si>
    <t>Hogar Santa María de los Laureles</t>
  </si>
  <si>
    <t>2487SC</t>
  </si>
  <si>
    <t>2488SC</t>
  </si>
  <si>
    <t>Hogar Santa María del parque</t>
  </si>
  <si>
    <t>2489SC</t>
  </si>
  <si>
    <t>Hogares Santa María</t>
  </si>
  <si>
    <t>2490SC</t>
  </si>
  <si>
    <t>La Apartada</t>
  </si>
  <si>
    <t>Victor Manuel Oviedo</t>
  </si>
  <si>
    <t>2491SC</t>
  </si>
  <si>
    <t>Cosmo - Colegio Centro</t>
  </si>
  <si>
    <t>Carrera 47 calle 43 48</t>
  </si>
  <si>
    <t>2492SC</t>
  </si>
  <si>
    <t>2493SC</t>
  </si>
  <si>
    <t>Madrid, Cundinamarca</t>
  </si>
  <si>
    <t>2494SC</t>
  </si>
  <si>
    <t>2495SC</t>
  </si>
  <si>
    <t>Edificio 11.11</t>
  </si>
  <si>
    <t>2496SC</t>
  </si>
  <si>
    <t>Jhoner Trujillo Pabón</t>
  </si>
  <si>
    <t>Bosconia</t>
  </si>
  <si>
    <t>2497SC</t>
  </si>
  <si>
    <t>Reencauchadora La Huella</t>
  </si>
  <si>
    <t>El Bosque, Cartagena</t>
  </si>
  <si>
    <t>2498SC</t>
  </si>
  <si>
    <t>2499SC</t>
  </si>
  <si>
    <t xml:space="preserve">Jhoner Trujillo Pabón </t>
  </si>
  <si>
    <t>2500SC</t>
  </si>
  <si>
    <t>Jaime Pineda</t>
  </si>
  <si>
    <t>2501SC</t>
  </si>
  <si>
    <t>Caucasia</t>
  </si>
  <si>
    <t>Cambia tu vida IPS</t>
  </si>
  <si>
    <t>2502SC</t>
  </si>
  <si>
    <t>Chía, Cundinamarca</t>
  </si>
  <si>
    <t>Anamaría Torres</t>
  </si>
  <si>
    <t>2503SC</t>
  </si>
  <si>
    <t>Cl 52 Cr 74 -74</t>
  </si>
  <si>
    <t>Conjunto residencial Estadio de la plaza</t>
  </si>
  <si>
    <t>2504SC</t>
  </si>
  <si>
    <t>Gloria Gaviria</t>
  </si>
  <si>
    <t>2505SC</t>
  </si>
  <si>
    <t>Conjunto Residencial Estadio de la Plaza</t>
  </si>
  <si>
    <t>2506SC</t>
  </si>
  <si>
    <t>Marco Trivino</t>
  </si>
  <si>
    <t>Calarcá, Quindió</t>
  </si>
  <si>
    <t>2507SC</t>
  </si>
  <si>
    <t>Julián Osorio</t>
  </si>
  <si>
    <t>Luisa Fernanda Álvarez</t>
  </si>
  <si>
    <t>2508SC</t>
  </si>
  <si>
    <t>2509SC</t>
  </si>
  <si>
    <t>Alfonso Enrique</t>
  </si>
  <si>
    <t>2510SC</t>
  </si>
  <si>
    <t>Mirador de los Bernal 10630287</t>
  </si>
  <si>
    <t>2511SC</t>
  </si>
  <si>
    <t>Mirador de los Bernal 9779693</t>
  </si>
  <si>
    <t>2512SC</t>
  </si>
  <si>
    <t>2513SC</t>
  </si>
  <si>
    <t>Mirador de los Bernal 9911689</t>
  </si>
  <si>
    <t>2514SC</t>
  </si>
  <si>
    <t>Mirador de los Bernal 10872929</t>
  </si>
  <si>
    <t>2515SC</t>
  </si>
  <si>
    <t>San Sebastian del Tonusco - 11174004</t>
  </si>
  <si>
    <t>2516SC</t>
  </si>
  <si>
    <t>Fernando Barajas</t>
  </si>
  <si>
    <t>2517SC</t>
  </si>
  <si>
    <t>Charles</t>
  </si>
  <si>
    <t>2518SC</t>
  </si>
  <si>
    <t>2519SC</t>
  </si>
  <si>
    <t>Promedio Consumo dia</t>
  </si>
  <si>
    <t>kWh</t>
  </si>
  <si>
    <t>Cantidad de paneles</t>
  </si>
  <si>
    <t>Almacenamiento Bartería</t>
  </si>
  <si>
    <t>Energía necesaria</t>
  </si>
  <si>
    <t>Potencia inversor</t>
  </si>
  <si>
    <t>MultiPlus 12/2000/80-50 120V VE.Bus Victron Energy</t>
  </si>
  <si>
    <t>MultiPlus 24/2000/50-50 120V VE.Bus Victron Energy</t>
  </si>
  <si>
    <t>MultiPlus-II 48/3000/35-50 120V Victron Energy</t>
  </si>
  <si>
    <t>MultiPlus 48/2000/25-50 120V VE.Bus Victron Energy</t>
  </si>
  <si>
    <t>MultiPlus-II</t>
  </si>
  <si>
    <t>BlueSolar MPPT 100/20 (up to 48V) Retail Victron Energy</t>
  </si>
  <si>
    <t>BlueSolar MPPT 150/45 Victron Energy</t>
  </si>
  <si>
    <t>BlueSolar MPPT 150/100-Tr VE.Can Victron Energy</t>
  </si>
  <si>
    <t>BlueSolar MPPT 250/70-Tr VE.Can Victron Energy</t>
  </si>
  <si>
    <t>BlueSolar MPPT 250/100-Tr VE.Can Victron Energy</t>
  </si>
  <si>
    <t>SmartSolar MPPT 100/20 (up to 48V) Retail Victron Energy</t>
  </si>
  <si>
    <t>SmartSolar MPPT 150/45 Victron Energy</t>
  </si>
  <si>
    <t>SmartSolar MPPT 150/70-MC4 VE.Can Victron Energy</t>
  </si>
  <si>
    <t>SmartSolar MPPT 150/85-Tr VE.Can Victron Energy</t>
  </si>
  <si>
    <t>SmartSolar MPPT 150/85-MC4 VE.Can Victron Energy</t>
  </si>
  <si>
    <t>SmartSolar MPPT 150/100-MC4 VE.Can Victron Energy</t>
  </si>
  <si>
    <t>SmartSolar MPPT 250/70-MC4 VE.Can Victron Energy</t>
  </si>
  <si>
    <t>SmartSolar MPPT 250/85-MC4 VE.Can Victron Energy</t>
  </si>
  <si>
    <t>SmartSolar MPPT 250/100-MC4 VE.Can Victron Energy</t>
  </si>
  <si>
    <t>Victron</t>
  </si>
  <si>
    <t>Descuento</t>
  </si>
  <si>
    <t>Soplador de 100hp, trifásico-</t>
  </si>
  <si>
    <t>Compresor de 10hp trifásico</t>
  </si>
  <si>
    <t>Motor puente 5hp.</t>
  </si>
  <si>
    <t>Tornillo lodos de 10kW</t>
  </si>
  <si>
    <t>bombas de 15hp trifasicas</t>
  </si>
  <si>
    <t>Gabriel Aguinaga</t>
  </si>
  <si>
    <t>2520HG</t>
  </si>
  <si>
    <t>Berenice</t>
  </si>
  <si>
    <t>2521HG</t>
  </si>
  <si>
    <t>Girón, Santander</t>
  </si>
  <si>
    <t>Jose Yesid</t>
  </si>
  <si>
    <t>2522HG</t>
  </si>
  <si>
    <t>Liliana Duque</t>
  </si>
  <si>
    <t>2523HG</t>
  </si>
  <si>
    <t>2524HG</t>
  </si>
  <si>
    <t>Parcelación Los Cedros</t>
  </si>
  <si>
    <t>2525SC</t>
  </si>
  <si>
    <t>2526SC</t>
  </si>
  <si>
    <t>2527SC</t>
  </si>
  <si>
    <t>2528SC</t>
  </si>
  <si>
    <t>2529SC</t>
  </si>
  <si>
    <t>2530SC</t>
  </si>
  <si>
    <t>2531SC</t>
  </si>
  <si>
    <t>David Uribe</t>
  </si>
  <si>
    <t>2532SC</t>
  </si>
  <si>
    <t>2533SC</t>
  </si>
  <si>
    <t xml:space="preserve">Unidad vecinal Manrique horizontal </t>
  </si>
  <si>
    <t>2534SC</t>
  </si>
  <si>
    <t>Maria Alejandra</t>
  </si>
  <si>
    <t>2535SC</t>
  </si>
  <si>
    <t>Estadio de la plaza</t>
  </si>
  <si>
    <t>2536SC</t>
  </si>
  <si>
    <t>2537SC</t>
  </si>
  <si>
    <t>2538SC</t>
  </si>
  <si>
    <t>Francisco</t>
  </si>
  <si>
    <t>2539SC</t>
  </si>
  <si>
    <t>2540SC</t>
  </si>
  <si>
    <t>2541SC</t>
  </si>
  <si>
    <t>Tintatex - Bodega</t>
  </si>
  <si>
    <t>2542SC</t>
  </si>
  <si>
    <t>Tintatex - PTARnD</t>
  </si>
  <si>
    <t>2543SC</t>
  </si>
  <si>
    <t>2544SC</t>
  </si>
  <si>
    <t>2545SC</t>
  </si>
  <si>
    <t>Soplador de 100 hp (trifásico)</t>
  </si>
  <si>
    <t>Bombas de 15 hp (trifásicas)</t>
  </si>
  <si>
    <t>Potencia Unit [W]</t>
  </si>
  <si>
    <t>Corriente [A]</t>
  </si>
  <si>
    <t>2546SC</t>
  </si>
  <si>
    <t>2547SC</t>
  </si>
  <si>
    <t>Chum Burguers</t>
  </si>
  <si>
    <t>2548SC</t>
  </si>
  <si>
    <t>2549SC</t>
  </si>
  <si>
    <t>2550SC</t>
  </si>
  <si>
    <t xml:space="preserve">                                                                                               </t>
  </si>
  <si>
    <t>Adriana Castaño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</si>
  <si>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</si>
  <si>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2551SC</t>
  </si>
  <si>
    <t>2552SC</t>
  </si>
  <si>
    <t>2553SC</t>
  </si>
  <si>
    <t>Nevera</t>
  </si>
  <si>
    <t>Ppico</t>
  </si>
  <si>
    <t>potencia</t>
  </si>
  <si>
    <t># baterías</t>
  </si>
  <si>
    <t>Cimitarra</t>
  </si>
  <si>
    <t>w/día</t>
  </si>
  <si>
    <t>585w</t>
  </si>
  <si>
    <t>US5000</t>
  </si>
  <si>
    <t>2554SC</t>
  </si>
  <si>
    <t>2555SC</t>
  </si>
  <si>
    <t>Edificio Millau Ph</t>
  </si>
  <si>
    <t>2556SC</t>
  </si>
  <si>
    <t>Juan David Murillo</t>
  </si>
  <si>
    <t>Vereda Las Cuchillas</t>
  </si>
  <si>
    <t>2557SC</t>
  </si>
  <si>
    <t>2558SC</t>
  </si>
  <si>
    <t>Balcones de la Abadía 3</t>
  </si>
  <si>
    <t>2559SC</t>
  </si>
  <si>
    <t>2560SC</t>
  </si>
  <si>
    <t>Yolombó</t>
  </si>
  <si>
    <t>Walter Barrera</t>
  </si>
  <si>
    <t>2561SC</t>
  </si>
  <si>
    <t>Dany Bastidas</t>
  </si>
  <si>
    <t>2562SC</t>
  </si>
  <si>
    <t>Conjunto Inmobiliario La Gran Esquina</t>
  </si>
  <si>
    <t>2563SC</t>
  </si>
  <si>
    <t>2564SC</t>
  </si>
  <si>
    <t>Victor Hernández</t>
  </si>
  <si>
    <t>2565SC</t>
  </si>
  <si>
    <t>Arjona, Bolivar</t>
  </si>
  <si>
    <t>2566SC</t>
  </si>
  <si>
    <t>Emiro Anaya</t>
  </si>
  <si>
    <t>2567SC</t>
  </si>
  <si>
    <t>San Martín, Cesar</t>
  </si>
  <si>
    <t>José Ricardo Diaz</t>
  </si>
  <si>
    <t>2568SC</t>
  </si>
  <si>
    <t>Pamplona</t>
  </si>
  <si>
    <t>Karanakoa Glamping</t>
  </si>
  <si>
    <t>2569SC</t>
  </si>
  <si>
    <t>Enrique González</t>
  </si>
  <si>
    <t>2570SC</t>
  </si>
  <si>
    <t>2571SC</t>
  </si>
  <si>
    <t>Conjunto Residencial Reservas de San Jorge - 6355452</t>
  </si>
  <si>
    <t>2572SC</t>
  </si>
  <si>
    <t>Castellana del mar</t>
  </si>
  <si>
    <t>2573SC</t>
  </si>
  <si>
    <t>2574SC</t>
  </si>
  <si>
    <t>Parcelación campestre Buenaventura</t>
  </si>
  <si>
    <t>2575SC</t>
  </si>
  <si>
    <t>Cristian Borda</t>
  </si>
  <si>
    <t>2576SC</t>
  </si>
  <si>
    <t>Antony Galvis</t>
  </si>
  <si>
    <t>2577SC</t>
  </si>
  <si>
    <t>2578SC</t>
  </si>
  <si>
    <t>Edificio Aluna P.h.</t>
  </si>
  <si>
    <t>2579SC</t>
  </si>
  <si>
    <t>Cesar Romero</t>
  </si>
  <si>
    <t>2580SC</t>
  </si>
  <si>
    <t>Ayapel, Códoba</t>
  </si>
  <si>
    <t>Paula</t>
  </si>
  <si>
    <t>2581SC</t>
  </si>
  <si>
    <t>2582SC</t>
  </si>
  <si>
    <t>2583SC</t>
  </si>
  <si>
    <t>David Vasquez</t>
  </si>
  <si>
    <t>2584SC</t>
  </si>
  <si>
    <t>Henry Gómez</t>
  </si>
  <si>
    <t>2585SC</t>
  </si>
  <si>
    <t>Fabio Restrepo</t>
  </si>
  <si>
    <t>2586SC</t>
  </si>
  <si>
    <t>Luis Quintero</t>
  </si>
  <si>
    <t>2587SC</t>
  </si>
  <si>
    <t>San Antonio de Prado</t>
  </si>
  <si>
    <t>SOLOBUS - 12357316</t>
  </si>
  <si>
    <t>2588SC</t>
  </si>
  <si>
    <t>SEGURYPRO</t>
  </si>
  <si>
    <t>2589SC</t>
  </si>
  <si>
    <t>Guillermo Quintero</t>
  </si>
  <si>
    <t>2590SC</t>
  </si>
  <si>
    <t>2591SC</t>
  </si>
  <si>
    <t>2592SC</t>
  </si>
  <si>
    <t>Montería</t>
  </si>
  <si>
    <t>IE LA PRADERA</t>
  </si>
  <si>
    <t>2593SC</t>
  </si>
  <si>
    <t>IE LA PRADERA - 20 kW</t>
  </si>
  <si>
    <t>2594SC</t>
  </si>
  <si>
    <t>MERCADO POPULAR DEL ORIENTE - 75 kWp</t>
  </si>
  <si>
    <t>2595SC</t>
  </si>
  <si>
    <t>MERCADO POPULAR DEL ORIENTE 660 PANELES</t>
  </si>
  <si>
    <t>2596SC</t>
  </si>
  <si>
    <t>2597SC</t>
  </si>
  <si>
    <t>IE JOSE MARIA CORDOBA</t>
  </si>
  <si>
    <t>2598SC</t>
  </si>
  <si>
    <t>2599SC</t>
  </si>
  <si>
    <t>CASA DE JUSTICIA  - 20 kW AC</t>
  </si>
  <si>
    <t>2600SC</t>
  </si>
  <si>
    <t>CASA DE JUSTICIA - Todos los paneles</t>
  </si>
  <si>
    <t>2601SC</t>
  </si>
  <si>
    <t>2602SC</t>
  </si>
  <si>
    <t>HOSPITAL LA GLORIA - 100 kW AC</t>
  </si>
  <si>
    <t>2603SC</t>
  </si>
  <si>
    <t>2604SC</t>
  </si>
  <si>
    <t>2605SC</t>
  </si>
  <si>
    <t>CASA DE JUSTICIA - Sin adecuaciones estructurales</t>
  </si>
  <si>
    <t>2606SC</t>
  </si>
  <si>
    <t>2607SC</t>
  </si>
  <si>
    <t>IE MERCEDES ABREGO</t>
  </si>
  <si>
    <t>2608SC</t>
  </si>
  <si>
    <t>2609SC</t>
  </si>
  <si>
    <t>2610SC</t>
  </si>
  <si>
    <t>HOSPITAL LA GRANJA</t>
  </si>
  <si>
    <t>2611SC</t>
  </si>
  <si>
    <t>HOSPITAL LA GRANJA - 150 kW AC</t>
  </si>
  <si>
    <t>2612SC</t>
  </si>
  <si>
    <t>2613SC</t>
  </si>
  <si>
    <t>IE CRISTOBAL COLON - 20 kW AC</t>
  </si>
  <si>
    <t>2614SC</t>
  </si>
  <si>
    <t>2615SC</t>
  </si>
  <si>
    <t>UNIDAD DE VICTIMAS - 20 kW AC</t>
  </si>
  <si>
    <t>2616SC</t>
  </si>
  <si>
    <t>2617SC</t>
  </si>
  <si>
    <t>2618SC</t>
  </si>
  <si>
    <t>UNIDAD DE VICTIMAS - Todos los paneles</t>
  </si>
  <si>
    <t>2619SC</t>
  </si>
  <si>
    <t>2620SC</t>
  </si>
  <si>
    <t>IE ANTONIA SANTOS - 50 kW AC</t>
  </si>
  <si>
    <t>2621SC</t>
  </si>
  <si>
    <t>2622SC</t>
  </si>
  <si>
    <t xml:space="preserve">CENTRO INTEGRADO DE SERVICIOS </t>
  </si>
  <si>
    <t>2623SC</t>
  </si>
  <si>
    <t>HOSPITAL COMUNA 6</t>
  </si>
  <si>
    <t>2624SC</t>
  </si>
  <si>
    <t>2625SC</t>
  </si>
  <si>
    <t>HOSPITAL COMUNA 6 - Con cambio de transformador</t>
  </si>
  <si>
    <t>2626SC</t>
  </si>
  <si>
    <t>2627SC</t>
  </si>
  <si>
    <t>2628SC</t>
  </si>
  <si>
    <t>HOSPITAL COMUNA 6 - Con obras adicionales</t>
  </si>
  <si>
    <t>2629SC</t>
  </si>
  <si>
    <t>2630SC</t>
  </si>
  <si>
    <t>2631SC</t>
  </si>
  <si>
    <t>CENTRO VERDE - Sin obras estructurales</t>
  </si>
  <si>
    <t>2632SC</t>
  </si>
  <si>
    <t>2633SC</t>
  </si>
  <si>
    <t>HOSPITAL EL AMPARO - 50 kW AC</t>
  </si>
  <si>
    <t>2634SC</t>
  </si>
  <si>
    <t>2635SC</t>
  </si>
  <si>
    <t>HOSPITAL EL AMPARO - Paneles que caben</t>
  </si>
  <si>
    <t>2636SC</t>
  </si>
  <si>
    <t>2637SC</t>
  </si>
  <si>
    <t>2638SC</t>
  </si>
  <si>
    <t>IE NORMAL SUPERIOR - 50 kW AC</t>
  </si>
  <si>
    <t>2639SC</t>
  </si>
  <si>
    <t>2640SC</t>
  </si>
  <si>
    <t>CIC - 72 kW AC</t>
  </si>
  <si>
    <t>2641SC</t>
  </si>
  <si>
    <t>2642SC</t>
  </si>
  <si>
    <t>HOSPITAL CAMILO TORRES - 20 kW AC</t>
  </si>
  <si>
    <t>2643SC</t>
  </si>
  <si>
    <t>HOSPITAL CAMILO TORRES - 141 paneles que caben</t>
  </si>
  <si>
    <t>2644SC</t>
  </si>
  <si>
    <t>MEGACOLEGIO LOS COLORES - 15 kW AC</t>
  </si>
  <si>
    <t>2645SC</t>
  </si>
  <si>
    <t>2646SC</t>
  </si>
  <si>
    <t xml:space="preserve">IE INEM LORENZO MARIA LLERAS </t>
  </si>
  <si>
    <t>2647SC</t>
  </si>
  <si>
    <t>TINTATEX - Bodega 11 Guarne</t>
  </si>
  <si>
    <t>2648SC</t>
  </si>
  <si>
    <t>Carlos Sierra</t>
  </si>
  <si>
    <t>2649SC</t>
  </si>
  <si>
    <t>Catalina Atehortúa</t>
  </si>
  <si>
    <t>2650SC</t>
  </si>
  <si>
    <t>Albert</t>
  </si>
  <si>
    <t>2651SC</t>
  </si>
  <si>
    <t>El Aguila, Valle</t>
  </si>
  <si>
    <t>2652SC</t>
  </si>
  <si>
    <t>2653SC</t>
  </si>
  <si>
    <t>Andrea Espinosa</t>
  </si>
  <si>
    <t>2654SC</t>
  </si>
  <si>
    <t>Carlos Mario Bedoya - Casa</t>
  </si>
  <si>
    <t>2655SC</t>
  </si>
  <si>
    <t>2656SC</t>
  </si>
  <si>
    <t>Carlos Mario Bedoya - Finca</t>
  </si>
  <si>
    <t>2657SC</t>
  </si>
  <si>
    <t>2658SC</t>
  </si>
  <si>
    <t>Rosmery Contreras</t>
  </si>
  <si>
    <t>2659SC</t>
  </si>
  <si>
    <t>Lactosano</t>
  </si>
  <si>
    <t>Mijuanas - Payuco</t>
  </si>
  <si>
    <t>Formulas</t>
  </si>
  <si>
    <t>2660SC</t>
  </si>
  <si>
    <t>2661SC</t>
  </si>
  <si>
    <t>2662SC</t>
  </si>
  <si>
    <t>Puerto Triunfo</t>
  </si>
  <si>
    <t>2663SC</t>
  </si>
  <si>
    <t>Congeladores</t>
  </si>
  <si>
    <t>Licuadoras</t>
  </si>
  <si>
    <t>Cámara con DVR</t>
  </si>
  <si>
    <t>Celulares</t>
  </si>
  <si>
    <t>Portatiles</t>
  </si>
  <si>
    <t>Monitor para cámaras</t>
  </si>
  <si>
    <t>Walkie talkies</t>
  </si>
  <si>
    <t xml:space="preserve">Bomba de agua </t>
  </si>
  <si>
    <t>Madres Carmelitas</t>
  </si>
  <si>
    <t>Finca La Albania</t>
  </si>
  <si>
    <t>2664SC</t>
  </si>
  <si>
    <t>2665SC</t>
  </si>
  <si>
    <t>2666SC</t>
  </si>
  <si>
    <t>Ximena Flórez</t>
  </si>
  <si>
    <t>2667SC</t>
  </si>
  <si>
    <t>Juan Velez</t>
  </si>
  <si>
    <t>2668SC</t>
  </si>
  <si>
    <t>Israel Medina Vargas</t>
  </si>
  <si>
    <t>Carepa, Antioquia</t>
  </si>
  <si>
    <t>2669SC</t>
  </si>
  <si>
    <t>Cristina Londoño</t>
  </si>
  <si>
    <t>2670SC</t>
  </si>
  <si>
    <t>Mónica Arango</t>
  </si>
  <si>
    <t>2671SC</t>
  </si>
  <si>
    <t>Solobus - 12357316</t>
  </si>
  <si>
    <t>2672SC</t>
  </si>
  <si>
    <t>Solobus unificado</t>
  </si>
  <si>
    <t>2673SC</t>
  </si>
  <si>
    <t>Reservas de San Jorge</t>
  </si>
  <si>
    <t>2674SC</t>
  </si>
  <si>
    <t>2675SC</t>
  </si>
  <si>
    <t>Erika Senejoa</t>
  </si>
  <si>
    <t>2676SC</t>
  </si>
  <si>
    <t>Juan Mazo</t>
  </si>
  <si>
    <t>2677SC</t>
  </si>
  <si>
    <t>Inversiones Alianza Maestra</t>
  </si>
  <si>
    <t>2678SC</t>
  </si>
  <si>
    <t>José Castaño</t>
  </si>
  <si>
    <t>2679SC</t>
  </si>
  <si>
    <t>Sebastián Aristizábal C</t>
  </si>
  <si>
    <t>2680SC</t>
  </si>
  <si>
    <t>Ivan Urrego</t>
  </si>
  <si>
    <t>2681SC</t>
  </si>
  <si>
    <t>Don Matías</t>
  </si>
  <si>
    <t>Adriana</t>
  </si>
  <si>
    <t>2682SC</t>
  </si>
  <si>
    <t>2683SC</t>
  </si>
  <si>
    <t>Andrés Salazar</t>
  </si>
  <si>
    <t>2684SC</t>
  </si>
  <si>
    <t>Campus Verde P.h.</t>
  </si>
  <si>
    <t>2685SC</t>
  </si>
  <si>
    <t>2686SC</t>
  </si>
  <si>
    <t>Segovia</t>
  </si>
  <si>
    <t>Gabriel Jaime Valencia</t>
  </si>
  <si>
    <t>2687SC</t>
  </si>
  <si>
    <t>Aluna Apartamentos</t>
  </si>
  <si>
    <t>2688SC</t>
  </si>
  <si>
    <t>2689SC</t>
  </si>
  <si>
    <t>San Vicente Ferrer</t>
  </si>
  <si>
    <t>Gladys Mesa</t>
  </si>
  <si>
    <t>2690SC</t>
  </si>
  <si>
    <t>Reserva de San Jorge</t>
  </si>
  <si>
    <t>2691SC</t>
  </si>
  <si>
    <t>2692SC</t>
  </si>
  <si>
    <t>2693SC</t>
  </si>
  <si>
    <t xml:space="preserve">Fernando </t>
  </si>
  <si>
    <t>2694SC</t>
  </si>
  <si>
    <t>Liliana Jimenez Arango</t>
  </si>
  <si>
    <t>2695SC</t>
  </si>
  <si>
    <t>Liliana Jimenez Arango - Hibrido</t>
  </si>
  <si>
    <t>2696SC</t>
  </si>
  <si>
    <t>Solobus Consumo unificado - Actualizada</t>
  </si>
  <si>
    <t>2697SC</t>
  </si>
  <si>
    <t xml:space="preserve">Jesus Alberto Ríos </t>
  </si>
  <si>
    <t>2698SC</t>
  </si>
  <si>
    <t>Ferrara del río</t>
  </si>
  <si>
    <t>PPA 20 años</t>
  </si>
  <si>
    <t>TIR 20</t>
  </si>
  <si>
    <t>Venta de energía</t>
  </si>
  <si>
    <t>Inversión</t>
  </si>
  <si>
    <t>Repotenciación</t>
  </si>
  <si>
    <t>Ingreso promedio al año</t>
  </si>
  <si>
    <t>2699SC</t>
  </si>
  <si>
    <t>Henry Ocampo</t>
  </si>
  <si>
    <t>James Puerta</t>
  </si>
  <si>
    <t>2700SC</t>
  </si>
  <si>
    <t>Alcira Tapia</t>
  </si>
  <si>
    <t>2701SC</t>
  </si>
  <si>
    <t>2702SC</t>
  </si>
  <si>
    <t>2703SC</t>
  </si>
  <si>
    <t>2704SC</t>
  </si>
  <si>
    <t>2705SC</t>
  </si>
  <si>
    <t>Reinaldo Seguro</t>
  </si>
  <si>
    <t>2706SC</t>
  </si>
  <si>
    <t>2707SC</t>
  </si>
  <si>
    <t>Mauel Soto</t>
  </si>
  <si>
    <t>2708SC</t>
  </si>
  <si>
    <t>Jamundí, Valle</t>
  </si>
  <si>
    <t>Estruacero SAS</t>
  </si>
  <si>
    <t>2709SC</t>
  </si>
  <si>
    <t>Luis Felipe Cataño</t>
  </si>
  <si>
    <t>2710SC</t>
  </si>
  <si>
    <t>Villa Nina</t>
  </si>
  <si>
    <t>2711SC</t>
  </si>
  <si>
    <t>Villa Cristina</t>
  </si>
  <si>
    <t>2712SC</t>
  </si>
  <si>
    <t>Tolú</t>
  </si>
  <si>
    <t>Santiago Molina - 6652336</t>
  </si>
  <si>
    <t>2713SC</t>
  </si>
  <si>
    <t>Santiago Molina - 5063949</t>
  </si>
  <si>
    <t>2714SC</t>
  </si>
  <si>
    <t>Santiago Molina - 5107124</t>
  </si>
  <si>
    <t>2715SC</t>
  </si>
  <si>
    <t>Santiago Molina - 5107123</t>
  </si>
  <si>
    <t>2716SC</t>
  </si>
  <si>
    <t>Andrés Aguirre - Bodega 500 y Pesquera</t>
  </si>
  <si>
    <t>2717SC</t>
  </si>
  <si>
    <t>Andrés Aguirre - Pueblo nuevo</t>
  </si>
  <si>
    <t>2718SC</t>
  </si>
  <si>
    <t>2719SC</t>
  </si>
  <si>
    <t xml:space="preserve">El Retiro </t>
  </si>
  <si>
    <t>Liliana Jimenez Arango -Híbrido</t>
  </si>
  <si>
    <t>2720SC</t>
  </si>
  <si>
    <t>2721SC</t>
  </si>
  <si>
    <t>UP2500 - Batería de litio 2840Wh 24V Pylontech</t>
  </si>
  <si>
    <t>US2000C - Batería de litio 2400Wh 48V Pylontech</t>
  </si>
  <si>
    <t>US3000C - Batería de litio 3552Wh 48V Pylontech</t>
  </si>
  <si>
    <t>UP5000 - Batería de Ion litio 48V 4,8Kwh 4500 ciclos Pylontech</t>
  </si>
  <si>
    <t>US5000 - Batería de Ion litio 48V 4,8Kwh 6000 ciclos Pylontech</t>
  </si>
  <si>
    <t>RV12100 - Batería de litio LiFePO4 12V 100Ah Pylontech</t>
  </si>
  <si>
    <t>GB-LM4K - Batería de litio GB-LM 4KWH ALTO VOLTAJE Deye</t>
  </si>
  <si>
    <t>SE-G5.1 Pro-B - Bateria de litio LiFePO4 5.12 kWH Rackable type Deye</t>
  </si>
  <si>
    <t>SmartSolar MPPT RS 450/100-MC4 Victron Energy</t>
  </si>
  <si>
    <t>SmartSolar MPPT RS 450/200-MC4 Victron Energy</t>
  </si>
  <si>
    <t>MultiPlus Compact 12/2000/80-50 120V VE.Bus (UL) Victron Energy</t>
  </si>
  <si>
    <t>MultiPlus-II 12/3000/120-50 120V Victron Energy</t>
  </si>
  <si>
    <t>MultiPlus-II 12/3000/120-50 120V (UL) Victron Energy</t>
  </si>
  <si>
    <t>MultiPlus-II 12/3000/120-50 2x120V (UL) Victron Energy</t>
  </si>
  <si>
    <t>Quattro-II 12/3000/120-50/50 2x120V Victron Energy</t>
  </si>
  <si>
    <t>MultiPlus 24/2000/50-50 120V VE.Bus (UL) Victron Energy</t>
  </si>
  <si>
    <t>MultiPlus-II 24/3000/70-50 120V (UL) Victron Energy</t>
  </si>
  <si>
    <t>MultiPlus-II 24/3000/70-50 2x120V Victron Energy</t>
  </si>
  <si>
    <t>MultiPlus-II 24/3000/70-50 2x120V (UL) Victron Energy</t>
  </si>
  <si>
    <t>Quattro-II 24/3000/70-50/50 2x120V Victron Energy</t>
  </si>
  <si>
    <t>MultiPlus-II 48/3000/35-50 120V (UL) Victron Energy</t>
  </si>
  <si>
    <t>MultiPlus-II 48/5000/70-95 120V Victron Energy</t>
  </si>
  <si>
    <t>Quattro 48/15000/200-100/100 277V VE.Bus Victron Energy</t>
  </si>
  <si>
    <t>Quattro-ll</t>
  </si>
  <si>
    <t>Panel Solar Policristalino 40W</t>
  </si>
  <si>
    <t>Panel Solar Policristalino 60W</t>
  </si>
  <si>
    <t>Panel Solar Policristalino 80W</t>
  </si>
  <si>
    <t>Panel Solar Policristalino 100W</t>
  </si>
  <si>
    <t>Panel Solar Policristalino 140W</t>
  </si>
  <si>
    <t>Panel Solar Policristalino 200W</t>
  </si>
  <si>
    <t>Panel Solar Policristalino 310W</t>
  </si>
  <si>
    <t>Microinversor 800</t>
  </si>
  <si>
    <t>Microinversor 1600</t>
  </si>
  <si>
    <t>Microinversor 2000</t>
  </si>
  <si>
    <t>Microinversor 1728 Trifásico</t>
  </si>
  <si>
    <t>Microinversor 2000 Bifásico</t>
  </si>
  <si>
    <t>Inversor 3000 1F Split phase</t>
  </si>
  <si>
    <t>Inversor Híbrido 3000 Split phase</t>
  </si>
  <si>
    <t>Inversor 3,6 kW 1F Split phase</t>
  </si>
  <si>
    <t>Inversor 5 kW 3F</t>
  </si>
  <si>
    <t>Inversor Híbrido 5 kW Split phase</t>
  </si>
  <si>
    <t>Inversor 5 kW 1F Split phase</t>
  </si>
  <si>
    <t>Inversor 6 kW 3F</t>
  </si>
  <si>
    <t>Inversor 6 kW 1F Split phase</t>
  </si>
  <si>
    <t>Inversor 6 kW Split phase</t>
  </si>
  <si>
    <t>Inversor 5 kW 1F Singlephase</t>
  </si>
  <si>
    <t>Inversor 8 kW Singlephase</t>
  </si>
  <si>
    <t>Inversor Híbrido 8 kW Split phase</t>
  </si>
  <si>
    <t>Inversor 10 kW Singlephase</t>
  </si>
  <si>
    <t>Inversor 10 kW 3F</t>
  </si>
  <si>
    <t>Inversor 10 kW 1F Split phase</t>
  </si>
  <si>
    <t>Inversor 15 kW 3F</t>
  </si>
  <si>
    <t>Inversor 20 kW 3F</t>
  </si>
  <si>
    <t>Inversor 30 kW 3F</t>
  </si>
  <si>
    <t>Inversor 36 kW 3F</t>
  </si>
  <si>
    <t>Inversor 50 kW 3F</t>
  </si>
  <si>
    <t>Inversor 60 kW 3F</t>
  </si>
  <si>
    <t>Inversor 70 kW 3F</t>
  </si>
  <si>
    <t>Inversor 100 kW 3F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</si>
</sst>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7">
    <numFmt numFmtId="164" formatCode="_-&quot;XDR&quot;* #,##0.00_-;\-&quot;XDR&quot;* #,##0.00_-;_-&quot;XDR&quot;* &quot;-&quot;??_-;_-@_-"/>
    <numFmt numFmtId="165" formatCode="&quot;$&quot;#,##0;[Red]\-&quot;$&quot;#,##0"/>
    <numFmt numFmtId="166" formatCode="&quot;$&quot;#,##0.00;[Red]\-&quot;$&quot;#,##0.00"/>
    <numFmt numFmtId="167" formatCode="_(&quot;$&quot;* #,##0.00_);_(&quot;$&quot;* \(#,##0.00\);_(&quot;$&quot;* &quot;-&quot;??_);_(@_)"/>
    <numFmt numFmtId="168" formatCode="&quot;$&quot;#,##0_);[Red]\(&quot;$&quot;#,##0\)"/>
    <numFmt numFmtId="169" formatCode="_(&quot;$&quot;* #,##0_);_(&quot;$&quot;* \(#,##0\);_(&quot;$&quot;* &quot;-&quot;_);_(@_)"/>
    <numFmt numFmtId="170" formatCode="_(* #,##0_);_(* \(#,##0\);_(* &quot;-&quot;_);_(@_)"/>
    <numFmt numFmtId="171" formatCode="_(* #,##0.00_);_(* \(#,##0.00\);_(* &quot;-&quot;??_);_(@_)"/>
    <numFmt numFmtId="172" formatCode="_-&quot;$&quot;\ * #,##0_-;\-&quot;$&quot;\ * #,##0_-;_-&quot;$&quot;\ * &quot;-&quot;_-;_-@"/>
    <numFmt numFmtId="173" formatCode="_-&quot;$&quot;* #,##0.00_-;_-&quot;$&quot;* \-#,##0.00_-;_-&quot;$&quot;* &quot;-&quot;??_-;_-@"/>
    <numFmt numFmtId="174" formatCode="&quot;$&quot;#,##0.00"/>
    <numFmt numFmtId="175" formatCode="0.000"/>
    <numFmt numFmtId="176" formatCode="_-[$$-240A]\ * #,##0.00_-;\-[$$-240A]\ * #,##0.00_-;_-[$$-240A]\ * &quot;-&quot;??_-;_-@_-"/>
    <numFmt numFmtId="177" formatCode="_-[$$-2C0A]\ * #,##0.00_-;\-[$$-2C0A]\ * #,##0.00_-;_-[$$-2C0A]\ * &quot;-&quot;??_-;_-@_-"/>
    <numFmt numFmtId="178" formatCode="_-[$$-2C0A]\ * #,##0_-;\-[$$-2C0A]\ * #,##0_-;_-[$$-2C0A]\ * &quot;-&quot;??_-;_-@_-"/>
    <numFmt numFmtId="179" formatCode="_(* #,##0_);_(* \(#,##0\);_(* &quot;-&quot;??_);_(@_)"/>
    <numFmt numFmtId="180" formatCode="0.0%"/>
    <numFmt numFmtId="181" formatCode="_(* #,##0_);_(* \(#,##0\);_(* &quot;-&quot;?_);_(@_)"/>
    <numFmt numFmtId="182" formatCode="_(&quot;$&quot;* #,##0_);_(&quot;$&quot;* \(#,##0\);_(&quot;$&quot;* &quot;-&quot;??_);_(@_)"/>
    <numFmt numFmtId="183" formatCode="0.0"/>
    <numFmt numFmtId="184" formatCode="_-[$$-240A]\ * #,##0_-;\-[$$-240A]\ * #,##0_-;_-[$$-240A]\ * &quot;-&quot;??_-;_-@_-"/>
    <numFmt numFmtId="185" formatCode="[$-F800]dddd\,\ mmmm\ dd\,\ yyyy"/>
    <numFmt numFmtId="186" formatCode="&quot;$&quot;#,##0"/>
    <numFmt numFmtId="187" formatCode="_-&quot;$&quot;* #,##0_-;_-&quot;$&quot;* \-#,##0_-;_-&quot;$&quot;* &quot;-&quot;??_-;_-@"/>
    <numFmt numFmtId="188" formatCode="&quot;$&quot;\ #,##0"/>
    <numFmt numFmtId="189" formatCode="&quot;$&quot;\ #,##0.00"/>
    <numFmt numFmtId="190" formatCode="_-* #,##0_-;\-* #,##0_-;_-* &quot;-&quot;??_-;_-@_-"/>
    <numFmt numFmtId="191" formatCode="0.0000"/>
    <numFmt numFmtId="192" formatCode="_(* #,##0.00_);_(* \(#,##0.00\);_(* &quot;-&quot;_);_(@_)"/>
    <numFmt numFmtId="193" formatCode="[$-240A]d&quot; de &quot;mmmm&quot; de &quot;yyyy;@"/>
    <numFmt numFmtId="194" formatCode="0.000%"/>
    <numFmt numFmtId="195" formatCode="_(&quot;$&quot;\ * #,##0.00_);_(&quot;$&quot;\ * \(#,##0.00\);_(&quot;$&quot;\ * &quot;-&quot;??_);_(@_)"/>
    <numFmt numFmtId="196" formatCode="_(&quot;$&quot;\ * #,##0_);_(&quot;$&quot;\ * \(#,##0\);_(&quot;$&quot;\ * &quot;-&quot;??_);_(@_)"/>
    <numFmt numFmtId="197" formatCode="_(* #,##0.0_);_(* \(#,##0.0\);_(* &quot;-&quot;_);_(@_)"/>
    <numFmt numFmtId="198" formatCode="&quot;$&quot;#,##0.000"/>
    <numFmt numFmtId="199" formatCode="#,##0.00[$USD]"/>
    <numFmt numFmtId="200" formatCode="0.00[$USD]"/>
  </numFmts>
  <fonts count="101">
    <font>
      <sz val="11"/>
      <color theme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name val="Arial"/>
      <family val="2"/>
    </font>
    <font>
      <b/>
      <sz val="16"/>
      <color theme="1"/>
      <name val="Calibri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0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ajor"/>
    </font>
    <font>
      <b/>
      <sz val="11"/>
      <color theme="1"/>
      <name val="Calibri"/>
      <family val="2"/>
      <scheme val="major"/>
    </font>
    <font>
      <sz val="10"/>
      <color rgb="FF000000"/>
      <name val="Arial"/>
      <family val="2"/>
    </font>
    <font>
      <sz val="11"/>
      <color rgb="FFFF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Calibri"/>
      <family val="2"/>
      <scheme val="minor"/>
    </font>
    <font>
      <b/>
      <sz val="11"/>
      <color rgb="FFFF0000"/>
      <name val="Arial"/>
      <family val="2"/>
    </font>
    <font>
      <sz val="11"/>
      <color theme="1"/>
      <name val="Helvetica"/>
      <family val="2"/>
    </font>
    <font>
      <sz val="11"/>
      <color theme="1"/>
      <name val="Arial"/>
      <family val="2"/>
    </font>
    <font>
      <sz val="8"/>
      <name val="Arial"/>
      <family val="2"/>
    </font>
    <font>
      <b/>
      <sz val="10.5"/>
      <color theme="0"/>
      <name val="Montserrat"/>
      <family val="3"/>
    </font>
    <font>
      <b/>
      <sz val="10"/>
      <color theme="1"/>
      <name val="Montserrat"/>
      <family val="3"/>
    </font>
    <font>
      <sz val="11"/>
      <color theme="1"/>
      <name val="Montserrat"/>
      <family val="3"/>
    </font>
    <font>
      <sz val="10"/>
      <color theme="1"/>
      <name val="Montserrat"/>
      <family val="3"/>
    </font>
    <font>
      <sz val="11"/>
      <color theme="1"/>
      <name val="Arial"/>
      <family val="2"/>
    </font>
    <font>
      <sz val="14"/>
      <color theme="1"/>
      <name val="Calibri"/>
      <family val="2"/>
    </font>
    <font>
      <b/>
      <sz val="11"/>
      <color theme="0"/>
      <name val="Montserrat"/>
      <family val="3"/>
    </font>
    <font>
      <b/>
      <sz val="11"/>
      <color theme="1"/>
      <name val="Montserrat"/>
      <family val="3"/>
    </font>
    <font>
      <vertAlign val="superscript"/>
      <sz val="11"/>
      <color theme="1"/>
      <name val="Montserrat"/>
      <family val="3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u/>
      <sz val="10"/>
      <color theme="10"/>
      <name val="Arial"/>
      <family val="2"/>
    </font>
    <font>
      <b/>
      <sz val="10"/>
      <color theme="2"/>
      <name val="Lovelo Black"/>
      <family val="3"/>
    </font>
    <font>
      <b/>
      <sz val="10"/>
      <color theme="1"/>
      <name val="Lovelo Black"/>
      <family val="3"/>
    </font>
    <font>
      <b/>
      <sz val="16"/>
      <color theme="1"/>
      <name val="Lovelo Black"/>
      <family val="3"/>
    </font>
    <font>
      <sz val="10"/>
      <color rgb="FF000000"/>
      <name val="Montserrat"/>
      <family val="3"/>
    </font>
    <font>
      <b/>
      <sz val="10"/>
      <color rgb="FF000000"/>
      <name val="Montserrat"/>
      <family val="3"/>
    </font>
    <font>
      <b/>
      <sz val="11"/>
      <color theme="1"/>
      <name val="Lovelo Black"/>
      <family val="3"/>
    </font>
    <font>
      <b/>
      <sz val="11"/>
      <color theme="1"/>
      <name val="Montserrat Medium"/>
      <family val="3"/>
    </font>
    <font>
      <b/>
      <sz val="11"/>
      <color rgb="FF000000"/>
      <name val="Montserrat Medium"/>
      <family val="3"/>
    </font>
    <font>
      <b/>
      <sz val="11"/>
      <name val="Montserrat Medium"/>
      <family val="3"/>
    </font>
    <font>
      <sz val="10"/>
      <color theme="1"/>
      <name val="Montserrat Medium"/>
      <family val="3"/>
    </font>
    <font>
      <b/>
      <sz val="10"/>
      <color theme="1"/>
      <name val="Montserrat Medium"/>
      <family val="3"/>
    </font>
    <font>
      <sz val="10"/>
      <color rgb="FF000000"/>
      <name val="Montserrat Medium"/>
      <family val="3"/>
    </font>
    <font>
      <b/>
      <sz val="10"/>
      <color rgb="FF000000"/>
      <name val="Montserrat Medium"/>
      <family val="3"/>
    </font>
    <font>
      <sz val="10"/>
      <name val="Montserrat Medium"/>
      <family val="3"/>
    </font>
    <font>
      <u/>
      <sz val="10"/>
      <color theme="10"/>
      <name val="Montserrat Medium"/>
      <family val="3"/>
    </font>
    <font>
      <b/>
      <sz val="10"/>
      <name val="Montserrat Medium"/>
      <family val="3"/>
    </font>
    <font>
      <b/>
      <sz val="12"/>
      <color theme="1"/>
      <name val="Lovelo Black"/>
      <family val="3"/>
    </font>
    <font>
      <b/>
      <sz val="14"/>
      <color theme="1"/>
      <name val="Lovelo Black"/>
      <family val="3"/>
    </font>
    <font>
      <sz val="11"/>
      <color theme="1"/>
      <name val="Lovelo Black"/>
      <family val="3"/>
    </font>
    <font>
      <sz val="11"/>
      <color theme="0"/>
      <name val="Lovelo Black"/>
      <family val="3"/>
    </font>
    <font>
      <b/>
      <sz val="9"/>
      <color rgb="FF000000"/>
      <name val="Tahoma"/>
      <family val="2"/>
    </font>
    <font>
      <u/>
      <sz val="10"/>
      <color theme="1"/>
      <name val="Montserrat Medium"/>
      <family val="3"/>
    </font>
    <font>
      <sz val="12"/>
      <color theme="1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Calibri"/>
      <family val="2"/>
    </font>
    <font>
      <b/>
      <sz val="10"/>
      <name val="Montserrat"/>
      <family val="3"/>
    </font>
    <font>
      <u/>
      <sz val="11"/>
      <color theme="10"/>
      <name val="Calibri"/>
      <family val="2"/>
    </font>
    <font>
      <sz val="11"/>
      <name val="Calibri"/>
      <family val="2"/>
    </font>
    <font>
      <b/>
      <i/>
      <sz val="26"/>
      <color rgb="FF003366"/>
      <name val="Calibri"/>
      <family val="2"/>
    </font>
    <font>
      <b/>
      <i/>
      <sz val="24"/>
      <color rgb="FF000080"/>
      <name val="Calibri"/>
      <family val="2"/>
    </font>
    <font>
      <b/>
      <i/>
      <sz val="24"/>
      <color rgb="FF333399"/>
      <name val="Calibri"/>
      <family val="2"/>
    </font>
    <font>
      <b/>
      <sz val="14"/>
      <color rgb="FF003366"/>
      <name val="Avenir Next LT Pro Light"/>
      <family val="2"/>
    </font>
    <font>
      <sz val="8"/>
      <name val="Arial"/>
      <family val="2"/>
    </font>
    <font>
      <b/>
      <sz val="10"/>
      <color theme="1"/>
      <name val="Calibri"/>
      <family val="2"/>
      <scheme val="major"/>
    </font>
    <font>
      <sz val="9"/>
      <color theme="1"/>
      <name val="Montserrat"/>
      <family val="3"/>
    </font>
    <font>
      <b/>
      <sz val="12"/>
      <color theme="1"/>
      <name val="Montserrat"/>
      <family val="3"/>
    </font>
    <font>
      <b/>
      <sz val="14"/>
      <color rgb="FF003366"/>
      <name val="Lovelo Black"/>
    </font>
    <font>
      <b/>
      <sz val="16"/>
      <color rgb="FF003366"/>
      <name val="Lovelo Black"/>
    </font>
    <font>
      <b/>
      <sz val="14"/>
      <color rgb="FF0066CC"/>
      <name val="Lovelo Black"/>
    </font>
    <font>
      <b/>
      <sz val="18"/>
      <color rgb="FF003366"/>
      <name val="Lovelo Black"/>
    </font>
    <font>
      <sz val="12"/>
      <color rgb="FF000080"/>
      <name val="Lovelo Black"/>
    </font>
  </fonts>
  <fills count="58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1C232"/>
        <bgColor rgb="FFF1C232"/>
      </patternFill>
    </fill>
    <fill>
      <patternFill patternType="solid">
        <fgColor rgb="FF45818E"/>
        <bgColor rgb="FF45818E"/>
      </patternFill>
    </fill>
    <fill>
      <patternFill patternType="solid">
        <fgColor rgb="FF6AA84F"/>
        <bgColor rgb="FF6AA84F"/>
      </patternFill>
    </fill>
    <fill>
      <patternFill patternType="solid">
        <fgColor rgb="FFFFFFFF"/>
        <bgColor rgb="FFFFFFFF"/>
      </patternFill>
    </fill>
    <fill>
      <patternFill patternType="solid">
        <fgColor rgb="FF38761D"/>
        <bgColor rgb="FF38761D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rgb="FFF1C232"/>
      </patternFill>
    </fill>
    <fill>
      <patternFill patternType="solid">
        <fgColor theme="0"/>
        <bgColor rgb="FFBFBFBF"/>
      </patternFill>
    </fill>
    <fill>
      <patternFill patternType="solid">
        <fgColor theme="0"/>
        <bgColor rgb="FF45818E"/>
      </patternFill>
    </fill>
    <fill>
      <patternFill patternType="solid">
        <fgColor theme="6" tint="0.79998168889431442"/>
        <bgColor rgb="FFD8D8D8"/>
      </patternFill>
    </fill>
    <fill>
      <patternFill patternType="solid">
        <fgColor theme="6" tint="0.59999389629810485"/>
        <bgColor rgb="FFBFBFBF"/>
      </patternFill>
    </fill>
    <fill>
      <patternFill patternType="solid">
        <fgColor rgb="FFD2AB06"/>
        <bgColor indexed="64"/>
      </patternFill>
    </fill>
    <fill>
      <patternFill patternType="solid">
        <fgColor rgb="FFD2AB06"/>
        <bgColor rgb="FFF1C232"/>
      </patternFill>
    </fill>
    <fill>
      <patternFill patternType="solid">
        <fgColor rgb="FFD2AB06"/>
        <bgColor rgb="FF45818E"/>
      </patternFill>
    </fill>
    <fill>
      <patternFill patternType="solid">
        <fgColor rgb="FFD2AB06"/>
        <bgColor rgb="FF6AA84F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rgb="FFBFBFBF"/>
      </patternFill>
    </fill>
    <fill>
      <patternFill patternType="solid">
        <fgColor theme="6" tint="0.39997558519241921"/>
        <bgColor rgb="FFD8D8D8"/>
      </patternFill>
    </fill>
    <fill>
      <patternFill patternType="solid">
        <fgColor rgb="FFD2AB06"/>
        <bgColor rgb="FFD8D8D8"/>
      </patternFill>
    </fill>
    <fill>
      <patternFill patternType="solid">
        <fgColor rgb="FFFFC000"/>
        <bgColor indexed="64"/>
      </patternFill>
    </fill>
    <fill>
      <patternFill patternType="solid">
        <fgColor rgb="FFD2AB06"/>
        <bgColor theme="0"/>
      </patternFill>
    </fill>
    <fill>
      <patternFill patternType="solid">
        <fgColor theme="6" tint="0.79998168889431442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rgb="FFF1C232"/>
      </patternFill>
    </fill>
    <fill>
      <patternFill patternType="solid">
        <fgColor theme="2" tint="-0.34998626667073579"/>
        <bgColor rgb="FFF1C232"/>
      </patternFill>
    </fill>
    <fill>
      <patternFill patternType="solid">
        <fgColor theme="0"/>
        <bgColor rgb="FF6AA84F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2"/>
        <bgColor indexed="64"/>
      </patternFill>
    </fill>
    <fill>
      <patternFill patternType="solid">
        <fgColor theme="2"/>
        <bgColor theme="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6" tint="0.59999389629810485"/>
        <bgColor rgb="FFD8D8D8"/>
      </patternFill>
    </fill>
    <fill>
      <patternFill patternType="solid">
        <fgColor theme="0" tint="-0.14999847407452621"/>
        <bgColor rgb="FFBFBFBF"/>
      </patternFill>
    </fill>
    <fill>
      <patternFill patternType="solid">
        <fgColor theme="2"/>
        <bgColor rgb="FF45818E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rgb="FF45818E"/>
      </patternFill>
    </fill>
    <fill>
      <patternFill patternType="solid">
        <fgColor rgb="FFD8D8D8"/>
        <bgColor indexed="64"/>
      </patternFill>
    </fill>
    <fill>
      <patternFill patternType="solid">
        <fgColor rgb="FFFFC7CE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499984740745262"/>
        <bgColor indexed="64"/>
      </patternFill>
    </fill>
  </fills>
  <borders count="1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ECECEC"/>
      </left>
      <right/>
      <top/>
      <bottom style="medium">
        <color rgb="FFECECEC"/>
      </bottom>
      <diagonal/>
    </border>
    <border>
      <left style="medium">
        <color rgb="FFECECEC"/>
      </left>
      <right style="medium">
        <color rgb="FFECECEC"/>
      </right>
      <top/>
      <bottom style="medium">
        <color rgb="FFECECEC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rgb="FF000000"/>
      </bottom>
      <diagonal/>
    </border>
  </borders>
  <cellStyleXfs count="31">
    <xf numFmtId="0" fontId="0" fillId="0" borderId="0"/>
    <xf numFmtId="0" fontId="24" fillId="0" borderId="0" applyNumberFormat="0" applyFill="0" applyBorder="0" applyAlignment="0" applyProtection="0"/>
    <xf numFmtId="9" fontId="25" fillId="0" borderId="0" applyFont="0" applyFill="0" applyBorder="0" applyAlignment="0" applyProtection="0"/>
    <xf numFmtId="164" fontId="26" fillId="0" borderId="0" applyFont="0" applyFill="0" applyBorder="0" applyAlignment="0" applyProtection="0"/>
    <xf numFmtId="0" fontId="27" fillId="0" borderId="3"/>
    <xf numFmtId="171" fontId="27" fillId="0" borderId="3" applyFont="0" applyFill="0" applyBorder="0" applyAlignment="0" applyProtection="0"/>
    <xf numFmtId="9" fontId="27" fillId="0" borderId="3" applyFont="0" applyFill="0" applyBorder="0" applyAlignment="0" applyProtection="0"/>
    <xf numFmtId="167" fontId="27" fillId="0" borderId="3" applyFont="0" applyFill="0" applyBorder="0" applyAlignment="0" applyProtection="0"/>
    <xf numFmtId="0" fontId="12" fillId="0" borderId="3"/>
    <xf numFmtId="169" fontId="12" fillId="0" borderId="3" applyFont="0" applyFill="0" applyBorder="0" applyAlignment="0" applyProtection="0"/>
    <xf numFmtId="169" fontId="30" fillId="0" borderId="0" applyFont="0" applyFill="0" applyBorder="0" applyAlignment="0" applyProtection="0"/>
    <xf numFmtId="0" fontId="24" fillId="0" borderId="3" applyNumberFormat="0" applyFill="0" applyBorder="0" applyAlignment="0" applyProtection="0"/>
    <xf numFmtId="171" fontId="41" fillId="0" borderId="0" applyFont="0" applyFill="0" applyBorder="0" applyAlignment="0" applyProtection="0"/>
    <xf numFmtId="170" fontId="47" fillId="0" borderId="0" applyFont="0" applyFill="0" applyBorder="0" applyAlignment="0" applyProtection="0"/>
    <xf numFmtId="0" fontId="7" fillId="0" borderId="3"/>
    <xf numFmtId="171" fontId="7" fillId="0" borderId="3" applyFont="0" applyFill="0" applyBorder="0" applyAlignment="0" applyProtection="0"/>
    <xf numFmtId="9" fontId="7" fillId="0" borderId="3" applyFont="0" applyFill="0" applyBorder="0" applyAlignment="0" applyProtection="0"/>
    <xf numFmtId="9" fontId="21" fillId="0" borderId="3" applyFont="0" applyFill="0" applyBorder="0" applyAlignment="0" applyProtection="0"/>
    <xf numFmtId="167" fontId="7" fillId="0" borderId="3" applyFont="0" applyFill="0" applyBorder="0" applyAlignment="0" applyProtection="0"/>
    <xf numFmtId="0" fontId="11" fillId="0" borderId="3"/>
    <xf numFmtId="169" fontId="7" fillId="0" borderId="3" applyFont="0" applyFill="0" applyBorder="0" applyAlignment="0" applyProtection="0"/>
    <xf numFmtId="169" fontId="11" fillId="0" borderId="3" applyFont="0" applyFill="0" applyBorder="0" applyAlignment="0" applyProtection="0"/>
    <xf numFmtId="170" fontId="7" fillId="0" borderId="3" applyFont="0" applyFill="0" applyBorder="0" applyAlignment="0" applyProtection="0"/>
    <xf numFmtId="0" fontId="37" fillId="0" borderId="3"/>
    <xf numFmtId="0" fontId="58" fillId="0" borderId="3" applyNumberFormat="0" applyFill="0" applyBorder="0" applyAlignment="0" applyProtection="0"/>
    <xf numFmtId="9" fontId="37" fillId="0" borderId="3" applyFont="0" applyFill="0" applyBorder="0" applyAlignment="0" applyProtection="0"/>
    <xf numFmtId="195" fontId="37" fillId="0" borderId="3" applyFont="0" applyFill="0" applyBorder="0" applyAlignment="0" applyProtection="0"/>
    <xf numFmtId="171" fontId="37" fillId="0" borderId="3" applyFont="0" applyFill="0" applyBorder="0" applyAlignment="0" applyProtection="0"/>
    <xf numFmtId="0" fontId="3" fillId="0" borderId="3"/>
    <xf numFmtId="0" fontId="82" fillId="54" borderId="0" applyNumberFormat="0" applyBorder="0" applyAlignment="0" applyProtection="0"/>
    <xf numFmtId="0" fontId="21" fillId="0" borderId="3"/>
  </cellStyleXfs>
  <cellXfs count="1433">
    <xf numFmtId="0" fontId="0" fillId="0" borderId="0" xfId="0"/>
    <xf numFmtId="0" fontId="13" fillId="0" borderId="0" xfId="0" applyFont="1"/>
    <xf numFmtId="0" fontId="13" fillId="0" borderId="1" xfId="0" applyFont="1" applyBorder="1"/>
    <xf numFmtId="0" fontId="14" fillId="0" borderId="1" xfId="0" applyFont="1" applyBorder="1" applyAlignment="1">
      <alignment horizontal="center" wrapText="1"/>
    </xf>
    <xf numFmtId="0" fontId="14" fillId="0" borderId="1" xfId="0" applyFont="1" applyBorder="1"/>
    <xf numFmtId="0" fontId="16" fillId="6" borderId="1" xfId="0" applyFont="1" applyFill="1" applyBorder="1"/>
    <xf numFmtId="0" fontId="17" fillId="0" borderId="1" xfId="0" applyFont="1" applyBorder="1"/>
    <xf numFmtId="0" fontId="17" fillId="0" borderId="1" xfId="0" applyFont="1" applyBorder="1" applyAlignment="1">
      <alignment horizontal="center"/>
    </xf>
    <xf numFmtId="0" fontId="13" fillId="2" borderId="3" xfId="0" applyFont="1" applyFill="1" applyBorder="1"/>
    <xf numFmtId="0" fontId="14" fillId="4" borderId="1" xfId="0" applyFont="1" applyFill="1" applyBorder="1" applyAlignment="1">
      <alignment horizontal="left"/>
    </xf>
    <xf numFmtId="0" fontId="13" fillId="0" borderId="1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1" fontId="13" fillId="0" borderId="1" xfId="0" applyNumberFormat="1" applyFont="1" applyBorder="1" applyAlignment="1">
      <alignment horizontal="center" vertical="center"/>
    </xf>
    <xf numFmtId="9" fontId="13" fillId="0" borderId="1" xfId="0" applyNumberFormat="1" applyFont="1" applyBorder="1" applyAlignment="1">
      <alignment horizontal="center" vertical="center"/>
    </xf>
    <xf numFmtId="0" fontId="13" fillId="0" borderId="6" xfId="0" applyFont="1" applyBorder="1"/>
    <xf numFmtId="0" fontId="0" fillId="0" borderId="3" xfId="0" applyBorder="1"/>
    <xf numFmtId="0" fontId="21" fillId="0" borderId="0" xfId="0" applyFont="1"/>
    <xf numFmtId="0" fontId="0" fillId="0" borderId="6" xfId="0" applyBorder="1"/>
    <xf numFmtId="0" fontId="21" fillId="0" borderId="6" xfId="0" applyFont="1" applyBorder="1"/>
    <xf numFmtId="0" fontId="23" fillId="0" borderId="6" xfId="0" applyFont="1" applyBorder="1"/>
    <xf numFmtId="0" fontId="0" fillId="0" borderId="0" xfId="0" applyAlignment="1">
      <alignment wrapText="1"/>
    </xf>
    <xf numFmtId="178" fontId="0" fillId="0" borderId="0" xfId="0" applyNumberFormat="1"/>
    <xf numFmtId="0" fontId="0" fillId="10" borderId="6" xfId="0" applyFill="1" applyBorder="1"/>
    <xf numFmtId="0" fontId="0" fillId="11" borderId="6" xfId="0" applyFill="1" applyBorder="1"/>
    <xf numFmtId="9" fontId="0" fillId="12" borderId="6" xfId="2" applyFont="1" applyFill="1" applyBorder="1" applyAlignment="1"/>
    <xf numFmtId="0" fontId="21" fillId="0" borderId="3" xfId="0" applyFont="1" applyBorder="1"/>
    <xf numFmtId="178" fontId="0" fillId="0" borderId="3" xfId="0" applyNumberFormat="1" applyBorder="1"/>
    <xf numFmtId="178" fontId="13" fillId="10" borderId="6" xfId="0" applyNumberFormat="1" applyFont="1" applyFill="1" applyBorder="1"/>
    <xf numFmtId="0" fontId="27" fillId="0" borderId="25" xfId="4" applyBorder="1" applyAlignment="1">
      <alignment horizontal="left"/>
    </xf>
    <xf numFmtId="0" fontId="27" fillId="0" borderId="37" xfId="4" applyBorder="1" applyAlignment="1">
      <alignment horizontal="center"/>
    </xf>
    <xf numFmtId="0" fontId="27" fillId="0" borderId="3" xfId="4"/>
    <xf numFmtId="0" fontId="27" fillId="0" borderId="27" xfId="4" applyBorder="1" applyAlignment="1">
      <alignment horizontal="left"/>
    </xf>
    <xf numFmtId="0" fontId="27" fillId="0" borderId="6" xfId="4" applyBorder="1" applyAlignment="1">
      <alignment horizontal="center"/>
    </xf>
    <xf numFmtId="0" fontId="27" fillId="0" borderId="29" xfId="4" applyBorder="1" applyAlignment="1">
      <alignment horizontal="left"/>
    </xf>
    <xf numFmtId="0" fontId="27" fillId="0" borderId="33" xfId="4" applyBorder="1" applyAlignment="1">
      <alignment horizontal="center"/>
    </xf>
    <xf numFmtId="0" fontId="27" fillId="0" borderId="3" xfId="4" applyAlignment="1">
      <alignment horizontal="left"/>
    </xf>
    <xf numFmtId="0" fontId="27" fillId="0" borderId="3" xfId="4" applyAlignment="1">
      <alignment horizontal="center"/>
    </xf>
    <xf numFmtId="179" fontId="27" fillId="0" borderId="28" xfId="4" applyNumberFormat="1" applyBorder="1"/>
    <xf numFmtId="181" fontId="27" fillId="0" borderId="28" xfId="4" applyNumberFormat="1" applyBorder="1"/>
    <xf numFmtId="9" fontId="27" fillId="0" borderId="3" xfId="4" applyNumberFormat="1"/>
    <xf numFmtId="182" fontId="0" fillId="0" borderId="3" xfId="7" applyNumberFormat="1" applyFont="1"/>
    <xf numFmtId="179" fontId="27" fillId="0" borderId="45" xfId="4" applyNumberFormat="1" applyBorder="1"/>
    <xf numFmtId="0" fontId="27" fillId="0" borderId="45" xfId="4" applyBorder="1"/>
    <xf numFmtId="0" fontId="27" fillId="0" borderId="46" xfId="4" applyBorder="1"/>
    <xf numFmtId="0" fontId="27" fillId="0" borderId="6" xfId="4" applyBorder="1"/>
    <xf numFmtId="179" fontId="27" fillId="0" borderId="6" xfId="4" applyNumberFormat="1" applyBorder="1"/>
    <xf numFmtId="183" fontId="27" fillId="0" borderId="6" xfId="4" applyNumberFormat="1" applyBorder="1"/>
    <xf numFmtId="171" fontId="27" fillId="0" borderId="6" xfId="4" applyNumberFormat="1" applyBorder="1"/>
    <xf numFmtId="0" fontId="27" fillId="0" borderId="28" xfId="4" applyBorder="1"/>
    <xf numFmtId="181" fontId="27" fillId="0" borderId="6" xfId="4" applyNumberFormat="1" applyBorder="1"/>
    <xf numFmtId="0" fontId="27" fillId="0" borderId="35" xfId="4" applyBorder="1"/>
    <xf numFmtId="0" fontId="27" fillId="0" borderId="36" xfId="4" applyBorder="1"/>
    <xf numFmtId="178" fontId="0" fillId="0" borderId="6" xfId="0" applyNumberFormat="1" applyBorder="1"/>
    <xf numFmtId="0" fontId="0" fillId="0" borderId="6" xfId="0" applyBorder="1" applyAlignment="1">
      <alignment horizontal="center"/>
    </xf>
    <xf numFmtId="0" fontId="21" fillId="0" borderId="6" xfId="0" applyFont="1" applyBorder="1" applyAlignment="1">
      <alignment horizontal="left" vertical="center"/>
    </xf>
    <xf numFmtId="176" fontId="0" fillId="0" borderId="6" xfId="0" applyNumberFormat="1" applyBorder="1"/>
    <xf numFmtId="169" fontId="0" fillId="0" borderId="0" xfId="10" applyFont="1" applyAlignment="1"/>
    <xf numFmtId="180" fontId="17" fillId="0" borderId="51" xfId="2" applyNumberFormat="1" applyFont="1" applyBorder="1"/>
    <xf numFmtId="9" fontId="0" fillId="0" borderId="6" xfId="2" applyFont="1" applyBorder="1" applyAlignment="1"/>
    <xf numFmtId="0" fontId="17" fillId="0" borderId="53" xfId="0" applyFont="1" applyBorder="1"/>
    <xf numFmtId="0" fontId="17" fillId="0" borderId="2" xfId="0" applyFont="1" applyBorder="1" applyAlignment="1">
      <alignment horizontal="center"/>
    </xf>
    <xf numFmtId="180" fontId="17" fillId="0" borderId="58" xfId="2" applyNumberFormat="1" applyFont="1" applyBorder="1"/>
    <xf numFmtId="9" fontId="0" fillId="0" borderId="6" xfId="0" applyNumberFormat="1" applyBorder="1"/>
    <xf numFmtId="180" fontId="0" fillId="0" borderId="6" xfId="2" applyNumberFormat="1" applyFont="1" applyBorder="1" applyAlignment="1"/>
    <xf numFmtId="180" fontId="0" fillId="0" borderId="35" xfId="2" applyNumberFormat="1" applyFont="1" applyBorder="1" applyAlignment="1"/>
    <xf numFmtId="9" fontId="21" fillId="0" borderId="0" xfId="2" applyFont="1" applyAlignment="1"/>
    <xf numFmtId="9" fontId="0" fillId="0" borderId="0" xfId="2" applyFont="1" applyAlignment="1"/>
    <xf numFmtId="185" fontId="0" fillId="0" borderId="0" xfId="0" applyNumberFormat="1"/>
    <xf numFmtId="0" fontId="24" fillId="0" borderId="0" xfId="1" applyAlignment="1"/>
    <xf numFmtId="0" fontId="22" fillId="8" borderId="6" xfId="0" applyFont="1" applyFill="1" applyBorder="1" applyAlignment="1">
      <alignment horizontal="center" vertical="center"/>
    </xf>
    <xf numFmtId="0" fontId="23" fillId="8" borderId="0" xfId="0" applyFont="1" applyFill="1"/>
    <xf numFmtId="0" fontId="23" fillId="8" borderId="6" xfId="0" applyFont="1" applyFill="1" applyBorder="1"/>
    <xf numFmtId="0" fontId="23" fillId="8" borderId="6" xfId="0" applyFont="1" applyFill="1" applyBorder="1" applyAlignment="1">
      <alignment horizontal="center"/>
    </xf>
    <xf numFmtId="0" fontId="0" fillId="8" borderId="6" xfId="0" applyFill="1" applyBorder="1"/>
    <xf numFmtId="9" fontId="0" fillId="8" borderId="6" xfId="0" applyNumberFormat="1" applyFill="1" applyBorder="1"/>
    <xf numFmtId="0" fontId="0" fillId="8" borderId="0" xfId="0" applyFill="1"/>
    <xf numFmtId="0" fontId="21" fillId="8" borderId="6" xfId="0" applyFont="1" applyFill="1" applyBorder="1"/>
    <xf numFmtId="0" fontId="34" fillId="8" borderId="6" xfId="0" applyFont="1" applyFill="1" applyBorder="1"/>
    <xf numFmtId="0" fontId="34" fillId="8" borderId="0" xfId="0" applyFont="1" applyFill="1"/>
    <xf numFmtId="0" fontId="21" fillId="8" borderId="0" xfId="0" applyFont="1" applyFill="1"/>
    <xf numFmtId="0" fontId="32" fillId="8" borderId="63" xfId="0" applyFont="1" applyFill="1" applyBorder="1" applyAlignment="1">
      <alignment vertical="center"/>
    </xf>
    <xf numFmtId="0" fontId="14" fillId="17" borderId="3" xfId="0" applyFont="1" applyFill="1" applyBorder="1" applyAlignment="1">
      <alignment horizontal="left"/>
    </xf>
    <xf numFmtId="0" fontId="13" fillId="8" borderId="3" xfId="0" applyFont="1" applyFill="1" applyBorder="1" applyAlignment="1">
      <alignment horizontal="center" vertical="center"/>
    </xf>
    <xf numFmtId="0" fontId="0" fillId="2" borderId="3" xfId="0" applyFill="1" applyBorder="1"/>
    <xf numFmtId="0" fontId="14" fillId="8" borderId="3" xfId="0" applyFont="1" applyFill="1" applyBorder="1" applyAlignment="1">
      <alignment horizontal="right"/>
    </xf>
    <xf numFmtId="174" fontId="13" fillId="8" borderId="3" xfId="0" applyNumberFormat="1" applyFont="1" applyFill="1" applyBorder="1"/>
    <xf numFmtId="0" fontId="35" fillId="8" borderId="0" xfId="0" applyFont="1" applyFill="1"/>
    <xf numFmtId="0" fontId="33" fillId="8" borderId="6" xfId="0" applyFont="1" applyFill="1" applyBorder="1" applyAlignment="1">
      <alignment vertical="top"/>
    </xf>
    <xf numFmtId="0" fontId="33" fillId="0" borderId="6" xfId="0" applyFont="1" applyBorder="1" applyAlignment="1">
      <alignment vertical="top"/>
    </xf>
    <xf numFmtId="0" fontId="33" fillId="0" borderId="6" xfId="0" applyFont="1" applyBorder="1" applyAlignment="1">
      <alignment horizontal="left" vertical="top"/>
    </xf>
    <xf numFmtId="0" fontId="35" fillId="0" borderId="6" xfId="0" applyFont="1" applyBorder="1"/>
    <xf numFmtId="4" fontId="33" fillId="0" borderId="6" xfId="0" applyNumberFormat="1" applyFont="1" applyBorder="1" applyAlignment="1">
      <alignment horizontal="left" vertical="top"/>
    </xf>
    <xf numFmtId="0" fontId="35" fillId="8" borderId="6" xfId="0" applyFont="1" applyFill="1" applyBorder="1"/>
    <xf numFmtId="0" fontId="35" fillId="8" borderId="3" xfId="0" applyFont="1" applyFill="1" applyBorder="1"/>
    <xf numFmtId="0" fontId="35" fillId="8" borderId="6" xfId="0" applyFont="1" applyFill="1" applyBorder="1" applyAlignment="1">
      <alignment horizontal="center"/>
    </xf>
    <xf numFmtId="0" fontId="36" fillId="28" borderId="6" xfId="0" applyFont="1" applyFill="1" applyBorder="1"/>
    <xf numFmtId="4" fontId="33" fillId="0" borderId="6" xfId="0" applyNumberFormat="1" applyFont="1" applyBorder="1" applyAlignment="1">
      <alignment vertical="top"/>
    </xf>
    <xf numFmtId="169" fontId="35" fillId="8" borderId="6" xfId="10" applyFont="1" applyFill="1" applyBorder="1" applyAlignment="1"/>
    <xf numFmtId="0" fontId="33" fillId="0" borderId="45" xfId="0" applyFont="1" applyBorder="1" applyAlignment="1">
      <alignment vertical="top"/>
    </xf>
    <xf numFmtId="3" fontId="35" fillId="8" borderId="6" xfId="0" applyNumberFormat="1" applyFont="1" applyFill="1" applyBorder="1"/>
    <xf numFmtId="3" fontId="0" fillId="0" borderId="0" xfId="0" applyNumberFormat="1"/>
    <xf numFmtId="0" fontId="33" fillId="8" borderId="67" xfId="0" applyFont="1" applyFill="1" applyBorder="1" applyAlignment="1">
      <alignment vertical="top"/>
    </xf>
    <xf numFmtId="0" fontId="33" fillId="8" borderId="64" xfId="0" applyFont="1" applyFill="1" applyBorder="1" applyAlignment="1">
      <alignment vertical="top"/>
    </xf>
    <xf numFmtId="0" fontId="36" fillId="8" borderId="6" xfId="0" applyFont="1" applyFill="1" applyBorder="1"/>
    <xf numFmtId="0" fontId="35" fillId="8" borderId="62" xfId="0" applyFont="1" applyFill="1" applyBorder="1" applyAlignment="1">
      <alignment horizontal="center"/>
    </xf>
    <xf numFmtId="0" fontId="32" fillId="8" borderId="0" xfId="0" applyFont="1" applyFill="1" applyAlignment="1">
      <alignment vertical="center"/>
    </xf>
    <xf numFmtId="0" fontId="18" fillId="8" borderId="6" xfId="0" applyFont="1" applyFill="1" applyBorder="1"/>
    <xf numFmtId="176" fontId="18" fillId="8" borderId="3" xfId="3" applyNumberFormat="1" applyFont="1" applyFill="1" applyBorder="1" applyAlignment="1"/>
    <xf numFmtId="0" fontId="37" fillId="0" borderId="68" xfId="0" applyFont="1" applyBorder="1" applyAlignment="1">
      <alignment horizontal="left" vertical="center" wrapText="1"/>
    </xf>
    <xf numFmtId="0" fontId="18" fillId="0" borderId="0" xfId="0" applyFont="1" applyAlignment="1">
      <alignment horizontal="right"/>
    </xf>
    <xf numFmtId="0" fontId="18" fillId="0" borderId="68" xfId="0" applyFont="1" applyBorder="1" applyAlignment="1">
      <alignment horizontal="right" vertical="center" wrapText="1"/>
    </xf>
    <xf numFmtId="0" fontId="18" fillId="0" borderId="69" xfId="0" applyFont="1" applyBorder="1" applyAlignment="1">
      <alignment horizontal="right" vertical="center" wrapText="1"/>
    </xf>
    <xf numFmtId="184" fontId="0" fillId="0" borderId="0" xfId="3" applyNumberFormat="1" applyFont="1" applyAlignment="1"/>
    <xf numFmtId="184" fontId="18" fillId="8" borderId="6" xfId="3" applyNumberFormat="1" applyFont="1" applyFill="1" applyBorder="1" applyAlignment="1"/>
    <xf numFmtId="0" fontId="38" fillId="8" borderId="6" xfId="0" applyFont="1" applyFill="1" applyBorder="1" applyAlignment="1">
      <alignment horizontal="center" vertical="center"/>
    </xf>
    <xf numFmtId="0" fontId="20" fillId="8" borderId="6" xfId="0" applyFont="1" applyFill="1" applyBorder="1"/>
    <xf numFmtId="0" fontId="38" fillId="8" borderId="6" xfId="0" applyFont="1" applyFill="1" applyBorder="1"/>
    <xf numFmtId="0" fontId="20" fillId="8" borderId="3" xfId="0" applyFont="1" applyFill="1" applyBorder="1"/>
    <xf numFmtId="0" fontId="39" fillId="8" borderId="0" xfId="0" applyFont="1" applyFill="1"/>
    <xf numFmtId="0" fontId="39" fillId="8" borderId="6" xfId="0" applyFont="1" applyFill="1" applyBorder="1"/>
    <xf numFmtId="184" fontId="18" fillId="8" borderId="6" xfId="0" applyNumberFormat="1" applyFont="1" applyFill="1" applyBorder="1"/>
    <xf numFmtId="176" fontId="0" fillId="8" borderId="6" xfId="3" applyNumberFormat="1" applyFont="1" applyFill="1" applyBorder="1"/>
    <xf numFmtId="0" fontId="37" fillId="8" borderId="62" xfId="0" applyFont="1" applyFill="1" applyBorder="1" applyAlignment="1">
      <alignment horizontal="center"/>
    </xf>
    <xf numFmtId="0" fontId="13" fillId="8" borderId="7" xfId="0" applyFont="1" applyFill="1" applyBorder="1" applyAlignment="1">
      <alignment horizontal="center" vertical="center"/>
    </xf>
    <xf numFmtId="0" fontId="13" fillId="8" borderId="7" xfId="0" applyFont="1" applyFill="1" applyBorder="1"/>
    <xf numFmtId="0" fontId="13" fillId="8" borderId="9" xfId="0" applyFont="1" applyFill="1" applyBorder="1"/>
    <xf numFmtId="0" fontId="13" fillId="8" borderId="23" xfId="0" applyFont="1" applyFill="1" applyBorder="1"/>
    <xf numFmtId="0" fontId="22" fillId="14" borderId="6" xfId="0" applyFont="1" applyFill="1" applyBorder="1" applyAlignment="1">
      <alignment horizontal="center" vertical="center"/>
    </xf>
    <xf numFmtId="0" fontId="0" fillId="14" borderId="6" xfId="0" applyFill="1" applyBorder="1"/>
    <xf numFmtId="0" fontId="23" fillId="14" borderId="6" xfId="0" applyFont="1" applyFill="1" applyBorder="1"/>
    <xf numFmtId="0" fontId="13" fillId="2" borderId="11" xfId="0" applyFont="1" applyFill="1" applyBorder="1"/>
    <xf numFmtId="0" fontId="13" fillId="2" borderId="12" xfId="0" applyFont="1" applyFill="1" applyBorder="1"/>
    <xf numFmtId="0" fontId="13" fillId="2" borderId="13" xfId="0" applyFont="1" applyFill="1" applyBorder="1"/>
    <xf numFmtId="0" fontId="13" fillId="2" borderId="14" xfId="0" applyFont="1" applyFill="1" applyBorder="1"/>
    <xf numFmtId="0" fontId="13" fillId="2" borderId="15" xfId="0" applyFont="1" applyFill="1" applyBorder="1"/>
    <xf numFmtId="0" fontId="0" fillId="8" borderId="3" xfId="0" applyFill="1" applyBorder="1"/>
    <xf numFmtId="0" fontId="13" fillId="2" borderId="16" xfId="0" applyFont="1" applyFill="1" applyBorder="1"/>
    <xf numFmtId="0" fontId="13" fillId="2" borderId="17" xfId="0" applyFont="1" applyFill="1" applyBorder="1"/>
    <xf numFmtId="0" fontId="13" fillId="2" borderId="18" xfId="0" applyFont="1" applyFill="1" applyBorder="1"/>
    <xf numFmtId="0" fontId="23" fillId="14" borderId="27" xfId="0" applyFont="1" applyFill="1" applyBorder="1"/>
    <xf numFmtId="0" fontId="13" fillId="14" borderId="27" xfId="0" applyFont="1" applyFill="1" applyBorder="1" applyAlignment="1">
      <alignment horizontal="left" vertical="center" wrapText="1"/>
    </xf>
    <xf numFmtId="178" fontId="13" fillId="14" borderId="28" xfId="0" applyNumberFormat="1" applyFont="1" applyFill="1" applyBorder="1"/>
    <xf numFmtId="178" fontId="21" fillId="14" borderId="28" xfId="0" applyNumberFormat="1" applyFont="1" applyFill="1" applyBorder="1"/>
    <xf numFmtId="0" fontId="21" fillId="14" borderId="25" xfId="0" applyFont="1" applyFill="1" applyBorder="1"/>
    <xf numFmtId="178" fontId="21" fillId="14" borderId="26" xfId="0" applyNumberFormat="1" applyFont="1" applyFill="1" applyBorder="1"/>
    <xf numFmtId="178" fontId="21" fillId="14" borderId="60" xfId="0" applyNumberFormat="1" applyFont="1" applyFill="1" applyBorder="1"/>
    <xf numFmtId="178" fontId="21" fillId="14" borderId="73" xfId="0" applyNumberFormat="1" applyFont="1" applyFill="1" applyBorder="1"/>
    <xf numFmtId="178" fontId="21" fillId="14" borderId="74" xfId="0" applyNumberFormat="1" applyFont="1" applyFill="1" applyBorder="1"/>
    <xf numFmtId="0" fontId="21" fillId="14" borderId="42" xfId="0" applyFont="1" applyFill="1" applyBorder="1"/>
    <xf numFmtId="0" fontId="21" fillId="14" borderId="47" xfId="0" applyFont="1" applyFill="1" applyBorder="1"/>
    <xf numFmtId="0" fontId="23" fillId="14" borderId="47" xfId="0" applyFont="1" applyFill="1" applyBorder="1"/>
    <xf numFmtId="0" fontId="23" fillId="14" borderId="43" xfId="0" applyFont="1" applyFill="1" applyBorder="1"/>
    <xf numFmtId="0" fontId="23" fillId="8" borderId="14" xfId="0" applyFont="1" applyFill="1" applyBorder="1"/>
    <xf numFmtId="178" fontId="21" fillId="8" borderId="15" xfId="0" applyNumberFormat="1" applyFont="1" applyFill="1" applyBorder="1"/>
    <xf numFmtId="0" fontId="21" fillId="14" borderId="34" xfId="0" applyFont="1" applyFill="1" applyBorder="1"/>
    <xf numFmtId="178" fontId="21" fillId="14" borderId="36" xfId="0" applyNumberFormat="1" applyFont="1" applyFill="1" applyBorder="1"/>
    <xf numFmtId="0" fontId="23" fillId="14" borderId="39" xfId="0" applyFont="1" applyFill="1" applyBorder="1"/>
    <xf numFmtId="178" fontId="21" fillId="14" borderId="41" xfId="0" applyNumberFormat="1" applyFont="1" applyFill="1" applyBorder="1"/>
    <xf numFmtId="9" fontId="0" fillId="11" borderId="6" xfId="0" applyNumberFormat="1" applyFill="1" applyBorder="1"/>
    <xf numFmtId="9" fontId="0" fillId="8" borderId="0" xfId="2" applyFont="1" applyFill="1" applyAlignment="1"/>
    <xf numFmtId="185" fontId="0" fillId="8" borderId="0" xfId="0" applyNumberFormat="1" applyFill="1"/>
    <xf numFmtId="169" fontId="0" fillId="8" borderId="0" xfId="10" applyFont="1" applyFill="1" applyAlignment="1"/>
    <xf numFmtId="9" fontId="21" fillId="0" borderId="6" xfId="2" applyFont="1" applyFill="1" applyBorder="1" applyAlignment="1"/>
    <xf numFmtId="185" fontId="21" fillId="0" borderId="6" xfId="0" applyNumberFormat="1" applyFont="1" applyBorder="1"/>
    <xf numFmtId="169" fontId="21" fillId="0" borderId="6" xfId="10" applyFont="1" applyFill="1" applyBorder="1" applyAlignment="1"/>
    <xf numFmtId="0" fontId="14" fillId="0" borderId="51" xfId="0" applyFont="1" applyBorder="1" applyAlignment="1">
      <alignment horizontal="center" wrapText="1"/>
    </xf>
    <xf numFmtId="0" fontId="14" fillId="0" borderId="6" xfId="0" applyFont="1" applyBorder="1" applyAlignment="1">
      <alignment horizontal="center" wrapText="1"/>
    </xf>
    <xf numFmtId="0" fontId="14" fillId="0" borderId="6" xfId="0" applyFont="1" applyBorder="1"/>
    <xf numFmtId="2" fontId="14" fillId="8" borderId="3" xfId="0" applyNumberFormat="1" applyFont="1" applyFill="1" applyBorder="1"/>
    <xf numFmtId="0" fontId="14" fillId="14" borderId="6" xfId="0" applyFont="1" applyFill="1" applyBorder="1"/>
    <xf numFmtId="0" fontId="13" fillId="24" borderId="6" xfId="0" applyFont="1" applyFill="1" applyBorder="1"/>
    <xf numFmtId="2" fontId="13" fillId="8" borderId="3" xfId="0" applyNumberFormat="1" applyFont="1" applyFill="1" applyBorder="1"/>
    <xf numFmtId="0" fontId="13" fillId="0" borderId="3" xfId="0" applyFont="1" applyBorder="1"/>
    <xf numFmtId="2" fontId="13" fillId="0" borderId="3" xfId="0" applyNumberFormat="1" applyFont="1" applyBorder="1"/>
    <xf numFmtId="0" fontId="14" fillId="0" borderId="6" xfId="0" applyFont="1" applyBorder="1" applyAlignment="1">
      <alignment horizontal="center"/>
    </xf>
    <xf numFmtId="0" fontId="14" fillId="0" borderId="75" xfId="0" applyFont="1" applyBorder="1" applyAlignment="1">
      <alignment horizontal="center"/>
    </xf>
    <xf numFmtId="2" fontId="14" fillId="0" borderId="6" xfId="0" applyNumberFormat="1" applyFont="1" applyBorder="1" applyAlignment="1">
      <alignment horizontal="center"/>
    </xf>
    <xf numFmtId="0" fontId="13" fillId="24" borderId="6" xfId="0" applyFont="1" applyFill="1" applyBorder="1" applyAlignment="1">
      <alignment horizontal="center"/>
    </xf>
    <xf numFmtId="0" fontId="13" fillId="14" borderId="6" xfId="0" applyFont="1" applyFill="1" applyBorder="1" applyAlignment="1">
      <alignment horizontal="center"/>
    </xf>
    <xf numFmtId="0" fontId="13" fillId="24" borderId="75" xfId="0" applyFont="1" applyFill="1" applyBorder="1" applyAlignment="1">
      <alignment horizontal="center"/>
    </xf>
    <xf numFmtId="2" fontId="13" fillId="24" borderId="6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3" xfId="0" applyFont="1" applyBorder="1" applyAlignment="1">
      <alignment horizontal="center"/>
    </xf>
    <xf numFmtId="2" fontId="13" fillId="0" borderId="6" xfId="0" applyNumberFormat="1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13" fillId="0" borderId="75" xfId="0" applyFont="1" applyBorder="1" applyAlignment="1">
      <alignment horizontal="center"/>
    </xf>
    <xf numFmtId="2" fontId="13" fillId="0" borderId="3" xfId="0" applyNumberFormat="1" applyFont="1" applyBorder="1" applyAlignment="1">
      <alignment horizontal="center"/>
    </xf>
    <xf numFmtId="178" fontId="0" fillId="8" borderId="0" xfId="0" applyNumberFormat="1" applyFill="1"/>
    <xf numFmtId="0" fontId="11" fillId="8" borderId="6" xfId="0" applyFont="1" applyFill="1" applyBorder="1"/>
    <xf numFmtId="0" fontId="23" fillId="12" borderId="6" xfId="0" applyFont="1" applyFill="1" applyBorder="1"/>
    <xf numFmtId="0" fontId="0" fillId="12" borderId="6" xfId="0" applyFill="1" applyBorder="1"/>
    <xf numFmtId="0" fontId="22" fillId="0" borderId="6" xfId="0" applyFont="1" applyBorder="1" applyAlignment="1">
      <alignment horizontal="center" vertical="center"/>
    </xf>
    <xf numFmtId="0" fontId="22" fillId="12" borderId="6" xfId="0" applyFont="1" applyFill="1" applyBorder="1" applyAlignment="1">
      <alignment horizontal="center" vertical="center"/>
    </xf>
    <xf numFmtId="186" fontId="13" fillId="0" borderId="1" xfId="0" applyNumberFormat="1" applyFont="1" applyBorder="1"/>
    <xf numFmtId="187" fontId="13" fillId="0" borderId="1" xfId="0" applyNumberFormat="1" applyFont="1" applyBorder="1" applyAlignment="1">
      <alignment horizontal="center" vertical="center"/>
    </xf>
    <xf numFmtId="187" fontId="17" fillId="0" borderId="51" xfId="0" applyNumberFormat="1" applyFont="1" applyBorder="1"/>
    <xf numFmtId="189" fontId="27" fillId="0" borderId="6" xfId="4" applyNumberFormat="1" applyBorder="1"/>
    <xf numFmtId="0" fontId="10" fillId="0" borderId="3" xfId="4" applyFont="1"/>
    <xf numFmtId="0" fontId="10" fillId="0" borderId="26" xfId="4" applyFont="1" applyBorder="1"/>
    <xf numFmtId="179" fontId="10" fillId="0" borderId="28" xfId="5" applyNumberFormat="1" applyFont="1" applyBorder="1"/>
    <xf numFmtId="180" fontId="10" fillId="0" borderId="30" xfId="6" applyNumberFormat="1" applyFont="1" applyBorder="1"/>
    <xf numFmtId="179" fontId="10" fillId="0" borderId="3" xfId="5" applyNumberFormat="1" applyFont="1"/>
    <xf numFmtId="179" fontId="10" fillId="0" borderId="26" xfId="5" applyNumberFormat="1" applyFont="1" applyBorder="1"/>
    <xf numFmtId="179" fontId="10" fillId="0" borderId="28" xfId="4" applyNumberFormat="1" applyFont="1" applyBorder="1"/>
    <xf numFmtId="181" fontId="10" fillId="0" borderId="30" xfId="4" applyNumberFormat="1" applyFont="1" applyBorder="1"/>
    <xf numFmtId="181" fontId="10" fillId="0" borderId="3" xfId="4" applyNumberFormat="1" applyFont="1"/>
    <xf numFmtId="188" fontId="10" fillId="0" borderId="26" xfId="6" applyNumberFormat="1" applyFont="1" applyBorder="1"/>
    <xf numFmtId="9" fontId="10" fillId="0" borderId="30" xfId="4" applyNumberFormat="1" applyFont="1" applyBorder="1"/>
    <xf numFmtId="9" fontId="10" fillId="0" borderId="26" xfId="6" applyFont="1" applyBorder="1"/>
    <xf numFmtId="0" fontId="10" fillId="0" borderId="6" xfId="4" applyFont="1" applyBorder="1"/>
    <xf numFmtId="9" fontId="10" fillId="0" borderId="25" xfId="4" applyNumberFormat="1" applyFont="1" applyBorder="1"/>
    <xf numFmtId="0" fontId="10" fillId="0" borderId="37" xfId="4" applyFont="1" applyBorder="1"/>
    <xf numFmtId="9" fontId="10" fillId="0" borderId="26" xfId="2" applyFont="1" applyBorder="1"/>
    <xf numFmtId="9" fontId="10" fillId="0" borderId="27" xfId="4" applyNumberFormat="1" applyFont="1" applyBorder="1"/>
    <xf numFmtId="0" fontId="10" fillId="0" borderId="28" xfId="4" applyFont="1" applyBorder="1"/>
    <xf numFmtId="9" fontId="10" fillId="0" borderId="29" xfId="4" applyNumberFormat="1" applyFont="1" applyBorder="1"/>
    <xf numFmtId="0" fontId="10" fillId="0" borderId="33" xfId="4" applyFont="1" applyBorder="1"/>
    <xf numFmtId="9" fontId="10" fillId="0" borderId="30" xfId="2" applyFont="1" applyBorder="1"/>
    <xf numFmtId="179" fontId="10" fillId="0" borderId="36" xfId="4" applyNumberFormat="1" applyFont="1" applyBorder="1"/>
    <xf numFmtId="0" fontId="9" fillId="0" borderId="34" xfId="4" applyFont="1" applyBorder="1" applyAlignment="1">
      <alignment horizontal="left"/>
    </xf>
    <xf numFmtId="0" fontId="9" fillId="0" borderId="35" xfId="4" applyFont="1" applyBorder="1" applyAlignment="1">
      <alignment horizontal="center"/>
    </xf>
    <xf numFmtId="9" fontId="10" fillId="0" borderId="76" xfId="6" applyFont="1" applyBorder="1"/>
    <xf numFmtId="0" fontId="9" fillId="0" borderId="52" xfId="4" applyFont="1" applyBorder="1" applyAlignment="1">
      <alignment horizontal="left"/>
    </xf>
    <xf numFmtId="0" fontId="9" fillId="0" borderId="63" xfId="4" applyFont="1" applyBorder="1" applyAlignment="1">
      <alignment horizontal="center"/>
    </xf>
    <xf numFmtId="0" fontId="23" fillId="0" borderId="6" xfId="0" applyFont="1" applyBorder="1" applyAlignment="1">
      <alignment horizontal="left" vertical="center"/>
    </xf>
    <xf numFmtId="0" fontId="40" fillId="0" borderId="0" xfId="0" applyFont="1"/>
    <xf numFmtId="9" fontId="13" fillId="0" borderId="0" xfId="0" applyNumberFormat="1" applyFont="1"/>
    <xf numFmtId="0" fontId="13" fillId="0" borderId="2" xfId="0" applyFont="1" applyBorder="1" applyAlignment="1">
      <alignment vertical="center"/>
    </xf>
    <xf numFmtId="187" fontId="13" fillId="0" borderId="2" xfId="0" applyNumberFormat="1" applyFont="1" applyBorder="1" applyAlignment="1">
      <alignment horizontal="center" vertical="center"/>
    </xf>
    <xf numFmtId="0" fontId="13" fillId="0" borderId="6" xfId="0" applyFont="1" applyBorder="1" applyAlignment="1">
      <alignment vertical="center"/>
    </xf>
    <xf numFmtId="9" fontId="13" fillId="0" borderId="6" xfId="0" applyNumberFormat="1" applyFont="1" applyBorder="1" applyAlignment="1">
      <alignment horizontal="center" vertical="center"/>
    </xf>
    <xf numFmtId="0" fontId="21" fillId="2" borderId="6" xfId="0" applyFont="1" applyFill="1" applyBorder="1"/>
    <xf numFmtId="178" fontId="0" fillId="8" borderId="6" xfId="0" applyNumberFormat="1" applyFill="1" applyBorder="1"/>
    <xf numFmtId="178" fontId="23" fillId="8" borderId="6" xfId="0" applyNumberFormat="1" applyFont="1" applyFill="1" applyBorder="1"/>
    <xf numFmtId="9" fontId="0" fillId="8" borderId="0" xfId="0" applyNumberFormat="1" applyFill="1"/>
    <xf numFmtId="178" fontId="21" fillId="8" borderId="6" xfId="0" applyNumberFormat="1" applyFont="1" applyFill="1" applyBorder="1"/>
    <xf numFmtId="178" fontId="21" fillId="8" borderId="3" xfId="0" applyNumberFormat="1" applyFont="1" applyFill="1" applyBorder="1"/>
    <xf numFmtId="178" fontId="21" fillId="31" borderId="3" xfId="0" applyNumberFormat="1" applyFont="1" applyFill="1" applyBorder="1"/>
    <xf numFmtId="178" fontId="23" fillId="12" borderId="6" xfId="0" applyNumberFormat="1" applyFont="1" applyFill="1" applyBorder="1"/>
    <xf numFmtId="0" fontId="0" fillId="0" borderId="53" xfId="0" applyBorder="1"/>
    <xf numFmtId="0" fontId="34" fillId="32" borderId="6" xfId="0" applyFont="1" applyFill="1" applyBorder="1"/>
    <xf numFmtId="9" fontId="34" fillId="32" borderId="6" xfId="2" applyFont="1" applyFill="1" applyBorder="1" applyAlignment="1"/>
    <xf numFmtId="178" fontId="21" fillId="0" borderId="6" xfId="0" applyNumberFormat="1" applyFont="1" applyBorder="1"/>
    <xf numFmtId="186" fontId="13" fillId="0" borderId="2" xfId="0" applyNumberFormat="1" applyFont="1" applyBorder="1"/>
    <xf numFmtId="0" fontId="19" fillId="2" borderId="3" xfId="0" applyFont="1" applyFill="1" applyBorder="1"/>
    <xf numFmtId="177" fontId="13" fillId="2" borderId="15" xfId="3" applyNumberFormat="1" applyFont="1" applyFill="1" applyBorder="1"/>
    <xf numFmtId="177" fontId="13" fillId="2" borderId="15" xfId="0" applyNumberFormat="1" applyFont="1" applyFill="1" applyBorder="1"/>
    <xf numFmtId="178" fontId="13" fillId="2" borderId="15" xfId="0" applyNumberFormat="1" applyFont="1" applyFill="1" applyBorder="1"/>
    <xf numFmtId="176" fontId="13" fillId="2" borderId="15" xfId="0" applyNumberFormat="1" applyFont="1" applyFill="1" applyBorder="1"/>
    <xf numFmtId="4" fontId="13" fillId="2" borderId="15" xfId="0" applyNumberFormat="1" applyFont="1" applyFill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186" fontId="13" fillId="0" borderId="6" xfId="0" applyNumberFormat="1" applyFont="1" applyBorder="1"/>
    <xf numFmtId="178" fontId="12" fillId="32" borderId="6" xfId="8" applyNumberFormat="1" applyFill="1" applyBorder="1"/>
    <xf numFmtId="178" fontId="0" fillId="32" borderId="6" xfId="0" applyNumberFormat="1" applyFill="1" applyBorder="1"/>
    <xf numFmtId="0" fontId="21" fillId="0" borderId="27" xfId="8" applyFont="1" applyBorder="1"/>
    <xf numFmtId="178" fontId="0" fillId="0" borderId="28" xfId="0" applyNumberFormat="1" applyBorder="1"/>
    <xf numFmtId="0" fontId="21" fillId="0" borderId="27" xfId="8" applyFont="1" applyBorder="1" applyAlignment="1">
      <alignment wrapText="1"/>
    </xf>
    <xf numFmtId="178" fontId="28" fillId="32" borderId="33" xfId="0" applyNumberFormat="1" applyFont="1" applyFill="1" applyBorder="1"/>
    <xf numFmtId="178" fontId="0" fillId="32" borderId="33" xfId="0" applyNumberFormat="1" applyFill="1" applyBorder="1"/>
    <xf numFmtId="178" fontId="0" fillId="0" borderId="30" xfId="0" applyNumberFormat="1" applyBorder="1"/>
    <xf numFmtId="0" fontId="21" fillId="0" borderId="61" xfId="8" applyFont="1" applyBorder="1"/>
    <xf numFmtId="178" fontId="12" fillId="32" borderId="45" xfId="8" applyNumberFormat="1" applyFill="1" applyBorder="1"/>
    <xf numFmtId="178" fontId="0" fillId="32" borderId="45" xfId="0" applyNumberFormat="1" applyFill="1" applyBorder="1"/>
    <xf numFmtId="178" fontId="0" fillId="0" borderId="46" xfId="0" applyNumberFormat="1" applyBorder="1"/>
    <xf numFmtId="0" fontId="23" fillId="0" borderId="39" xfId="8" applyFont="1" applyBorder="1" applyAlignment="1">
      <alignment horizontal="center"/>
    </xf>
    <xf numFmtId="0" fontId="21" fillId="0" borderId="29" xfId="8" applyFont="1" applyBorder="1" applyAlignment="1">
      <alignment horizontal="right"/>
    </xf>
    <xf numFmtId="178" fontId="12" fillId="0" borderId="45" xfId="8" applyNumberFormat="1" applyBorder="1"/>
    <xf numFmtId="169" fontId="0" fillId="0" borderId="0" xfId="0" applyNumberFormat="1"/>
    <xf numFmtId="0" fontId="43" fillId="33" borderId="1" xfId="0" applyFont="1" applyFill="1" applyBorder="1" applyAlignment="1">
      <alignment horizontal="center"/>
    </xf>
    <xf numFmtId="0" fontId="44" fillId="0" borderId="1" xfId="0" applyFont="1" applyBorder="1" applyAlignment="1">
      <alignment horizontal="right"/>
    </xf>
    <xf numFmtId="0" fontId="44" fillId="0" borderId="2" xfId="0" applyFont="1" applyBorder="1" applyAlignment="1">
      <alignment horizontal="right"/>
    </xf>
    <xf numFmtId="0" fontId="44" fillId="0" borderId="6" xfId="0" applyFont="1" applyBorder="1" applyAlignment="1">
      <alignment horizontal="right"/>
    </xf>
    <xf numFmtId="0" fontId="46" fillId="0" borderId="1" xfId="0" applyFont="1" applyBorder="1" applyAlignment="1">
      <alignment horizontal="center" vertical="center" wrapText="1"/>
    </xf>
    <xf numFmtId="0" fontId="45" fillId="32" borderId="42" xfId="4" applyFont="1" applyFill="1" applyBorder="1" applyAlignment="1">
      <alignment horizontal="left" vertical="center" wrapText="1"/>
    </xf>
    <xf numFmtId="0" fontId="45" fillId="32" borderId="44" xfId="4" applyFont="1" applyFill="1" applyBorder="1" applyAlignment="1">
      <alignment horizontal="left" vertical="center" wrapText="1"/>
    </xf>
    <xf numFmtId="0" fontId="45" fillId="32" borderId="47" xfId="8" applyFont="1" applyFill="1" applyBorder="1" applyAlignment="1">
      <alignment horizontal="left"/>
    </xf>
    <xf numFmtId="0" fontId="45" fillId="32" borderId="43" xfId="4" applyFont="1" applyFill="1" applyBorder="1" applyAlignment="1">
      <alignment horizontal="left"/>
    </xf>
    <xf numFmtId="0" fontId="46" fillId="8" borderId="1" xfId="0" applyFont="1" applyFill="1" applyBorder="1" applyAlignment="1">
      <alignment horizontal="center" vertical="center" wrapText="1"/>
    </xf>
    <xf numFmtId="0" fontId="46" fillId="8" borderId="70" xfId="0" applyFont="1" applyFill="1" applyBorder="1" applyAlignment="1">
      <alignment horizontal="center" vertical="center" wrapText="1"/>
    </xf>
    <xf numFmtId="0" fontId="21" fillId="0" borderId="3" xfId="8" applyFont="1" applyAlignment="1">
      <alignment horizontal="right"/>
    </xf>
    <xf numFmtId="169" fontId="21" fillId="0" borderId="0" xfId="10" applyFont="1" applyAlignment="1"/>
    <xf numFmtId="178" fontId="28" fillId="0" borderId="3" xfId="0" applyNumberFormat="1" applyFont="1" applyBorder="1"/>
    <xf numFmtId="184" fontId="0" fillId="0" borderId="0" xfId="0" applyNumberFormat="1"/>
    <xf numFmtId="167" fontId="0" fillId="0" borderId="0" xfId="0" applyNumberFormat="1"/>
    <xf numFmtId="0" fontId="33" fillId="8" borderId="67" xfId="0" applyFont="1" applyFill="1" applyBorder="1" applyAlignment="1">
      <alignment horizontal="left" vertical="top"/>
    </xf>
    <xf numFmtId="0" fontId="11" fillId="0" borderId="30" xfId="4" applyFont="1" applyBorder="1" applyAlignment="1">
      <alignment horizontal="center"/>
    </xf>
    <xf numFmtId="188" fontId="11" fillId="0" borderId="46" xfId="10" applyNumberFormat="1" applyFont="1" applyFill="1" applyBorder="1" applyAlignment="1">
      <alignment horizontal="center" vertical="center" wrapText="1"/>
    </xf>
    <xf numFmtId="0" fontId="12" fillId="0" borderId="3" xfId="8"/>
    <xf numFmtId="0" fontId="35" fillId="8" borderId="6" xfId="0" applyFont="1" applyFill="1" applyBorder="1" applyAlignment="1">
      <alignment horizontal="left"/>
    </xf>
    <xf numFmtId="177" fontId="21" fillId="0" borderId="0" xfId="0" applyNumberFormat="1" applyFont="1"/>
    <xf numFmtId="178" fontId="23" fillId="0" borderId="0" xfId="0" applyNumberFormat="1" applyFont="1"/>
    <xf numFmtId="0" fontId="13" fillId="8" borderId="3" xfId="0" applyFont="1" applyFill="1" applyBorder="1"/>
    <xf numFmtId="0" fontId="46" fillId="2" borderId="3" xfId="0" applyFont="1" applyFill="1" applyBorder="1"/>
    <xf numFmtId="0" fontId="14" fillId="0" borderId="3" xfId="0" applyFont="1" applyBorder="1" applyAlignment="1">
      <alignment horizontal="center" wrapText="1"/>
    </xf>
    <xf numFmtId="0" fontId="23" fillId="0" borderId="0" xfId="0" applyFont="1"/>
    <xf numFmtId="0" fontId="8" fillId="0" borderId="34" xfId="4" applyFont="1" applyBorder="1" applyAlignment="1">
      <alignment horizontal="left"/>
    </xf>
    <xf numFmtId="0" fontId="8" fillId="0" borderId="35" xfId="4" applyFont="1" applyBorder="1" applyAlignment="1">
      <alignment horizontal="center"/>
    </xf>
    <xf numFmtId="10" fontId="10" fillId="0" borderId="36" xfId="2" applyNumberFormat="1" applyFont="1" applyBorder="1"/>
    <xf numFmtId="2" fontId="10" fillId="0" borderId="36" xfId="2" applyNumberFormat="1" applyFont="1" applyBorder="1"/>
    <xf numFmtId="175" fontId="0" fillId="0" borderId="0" xfId="0" applyNumberFormat="1"/>
    <xf numFmtId="0" fontId="13" fillId="8" borderId="3" xfId="0" applyFont="1" applyFill="1" applyBorder="1" applyAlignment="1">
      <alignment vertical="center"/>
    </xf>
    <xf numFmtId="193" fontId="0" fillId="0" borderId="0" xfId="0" applyNumberFormat="1"/>
    <xf numFmtId="1" fontId="0" fillId="0" borderId="0" xfId="0" applyNumberFormat="1"/>
    <xf numFmtId="2" fontId="0" fillId="0" borderId="0" xfId="0" applyNumberFormat="1"/>
    <xf numFmtId="9" fontId="0" fillId="0" borderId="0" xfId="0" applyNumberFormat="1"/>
    <xf numFmtId="0" fontId="13" fillId="38" borderId="14" xfId="0" applyFont="1" applyFill="1" applyBorder="1"/>
    <xf numFmtId="0" fontId="13" fillId="38" borderId="3" xfId="0" applyFont="1" applyFill="1" applyBorder="1"/>
    <xf numFmtId="0" fontId="0" fillId="37" borderId="17" xfId="0" applyFill="1" applyBorder="1"/>
    <xf numFmtId="0" fontId="0" fillId="37" borderId="18" xfId="0" applyFill="1" applyBorder="1"/>
    <xf numFmtId="0" fontId="45" fillId="8" borderId="56" xfId="0" applyFont="1" applyFill="1" applyBorder="1"/>
    <xf numFmtId="0" fontId="45" fillId="8" borderId="82" xfId="0" applyFont="1" applyFill="1" applyBorder="1"/>
    <xf numFmtId="0" fontId="45" fillId="8" borderId="75" xfId="0" applyFont="1" applyFill="1" applyBorder="1"/>
    <xf numFmtId="0" fontId="45" fillId="8" borderId="73" xfId="0" applyFont="1" applyFill="1" applyBorder="1"/>
    <xf numFmtId="169" fontId="45" fillId="8" borderId="75" xfId="10" applyFont="1" applyFill="1" applyBorder="1" applyAlignment="1"/>
    <xf numFmtId="0" fontId="45" fillId="8" borderId="74" xfId="0" applyFont="1" applyFill="1" applyBorder="1"/>
    <xf numFmtId="0" fontId="0" fillId="8" borderId="0" xfId="2" applyNumberFormat="1" applyFont="1" applyFill="1" applyAlignment="1"/>
    <xf numFmtId="188" fontId="0" fillId="0" borderId="0" xfId="10" applyNumberFormat="1" applyFont="1" applyAlignment="1"/>
    <xf numFmtId="10" fontId="0" fillId="0" borderId="0" xfId="0" applyNumberFormat="1"/>
    <xf numFmtId="0" fontId="22" fillId="0" borderId="27" xfId="0" applyFont="1" applyBorder="1" applyAlignment="1">
      <alignment horizontal="center" vertical="center"/>
    </xf>
    <xf numFmtId="0" fontId="22" fillId="14" borderId="28" xfId="0" applyFont="1" applyFill="1" applyBorder="1" applyAlignment="1">
      <alignment horizontal="center" vertical="center"/>
    </xf>
    <xf numFmtId="0" fontId="0" fillId="0" borderId="29" xfId="0" applyBorder="1"/>
    <xf numFmtId="0" fontId="0" fillId="8" borderId="33" xfId="0" applyFill="1" applyBorder="1"/>
    <xf numFmtId="2" fontId="0" fillId="8" borderId="33" xfId="0" applyNumberFormat="1" applyFill="1" applyBorder="1"/>
    <xf numFmtId="9" fontId="0" fillId="8" borderId="33" xfId="0" applyNumberFormat="1" applyFill="1" applyBorder="1"/>
    <xf numFmtId="0" fontId="0" fillId="14" borderId="33" xfId="0" applyFill="1" applyBorder="1"/>
    <xf numFmtId="0" fontId="0" fillId="14" borderId="30" xfId="0" applyFill="1" applyBorder="1"/>
    <xf numFmtId="179" fontId="0" fillId="8" borderId="6" xfId="12" applyNumberFormat="1" applyFont="1" applyFill="1" applyBorder="1" applyAlignment="1"/>
    <xf numFmtId="9" fontId="0" fillId="8" borderId="6" xfId="2" applyFont="1" applyFill="1" applyBorder="1" applyAlignment="1"/>
    <xf numFmtId="171" fontId="0" fillId="12" borderId="6" xfId="0" applyNumberFormat="1" applyFill="1" applyBorder="1"/>
    <xf numFmtId="0" fontId="7" fillId="0" borderId="3" xfId="14" applyAlignment="1">
      <alignment horizontal="left"/>
    </xf>
    <xf numFmtId="0" fontId="7" fillId="0" borderId="3" xfId="14"/>
    <xf numFmtId="0" fontId="7" fillId="0" borderId="25" xfId="14" applyBorder="1" applyAlignment="1">
      <alignment horizontal="left"/>
    </xf>
    <xf numFmtId="0" fontId="7" fillId="0" borderId="37" xfId="14" applyBorder="1" applyAlignment="1">
      <alignment horizontal="center"/>
    </xf>
    <xf numFmtId="0" fontId="7" fillId="40" borderId="26" xfId="14" applyFill="1" applyBorder="1"/>
    <xf numFmtId="0" fontId="7" fillId="0" borderId="61" xfId="14" applyBorder="1" applyAlignment="1">
      <alignment horizontal="left"/>
    </xf>
    <xf numFmtId="0" fontId="7" fillId="0" borderId="45" xfId="14" applyBorder="1" applyAlignment="1">
      <alignment horizontal="center"/>
    </xf>
    <xf numFmtId="0" fontId="7" fillId="0" borderId="46" xfId="14" applyBorder="1"/>
    <xf numFmtId="2" fontId="7" fillId="40" borderId="46" xfId="14" applyNumberFormat="1" applyFill="1" applyBorder="1"/>
    <xf numFmtId="0" fontId="7" fillId="0" borderId="27" xfId="14" applyBorder="1" applyAlignment="1">
      <alignment horizontal="left"/>
    </xf>
    <xf numFmtId="0" fontId="7" fillId="0" borderId="6" xfId="14" applyBorder="1" applyAlignment="1">
      <alignment horizontal="center"/>
    </xf>
    <xf numFmtId="179" fontId="7" fillId="0" borderId="28" xfId="15" applyNumberFormat="1" applyFont="1" applyBorder="1"/>
    <xf numFmtId="0" fontId="7" fillId="0" borderId="29" xfId="14" applyBorder="1" applyAlignment="1">
      <alignment horizontal="left"/>
    </xf>
    <xf numFmtId="0" fontId="7" fillId="0" borderId="33" xfId="14" applyBorder="1" applyAlignment="1">
      <alignment horizontal="center"/>
    </xf>
    <xf numFmtId="180" fontId="7" fillId="0" borderId="30" xfId="16" applyNumberFormat="1" applyFont="1" applyBorder="1"/>
    <xf numFmtId="0" fontId="7" fillId="0" borderId="3" xfId="14" applyAlignment="1">
      <alignment horizontal="center"/>
    </xf>
    <xf numFmtId="179" fontId="7" fillId="0" borderId="3" xfId="15" applyNumberFormat="1" applyFont="1"/>
    <xf numFmtId="179" fontId="7" fillId="0" borderId="26" xfId="15" applyNumberFormat="1" applyFont="1" applyBorder="1"/>
    <xf numFmtId="179" fontId="7" fillId="40" borderId="28" xfId="14" applyNumberFormat="1" applyFill="1" applyBorder="1"/>
    <xf numFmtId="179" fontId="7" fillId="0" borderId="28" xfId="14" applyNumberFormat="1" applyBorder="1"/>
    <xf numFmtId="0" fontId="7" fillId="0" borderId="34" xfId="14" applyBorder="1" applyAlignment="1">
      <alignment horizontal="left"/>
    </xf>
    <xf numFmtId="0" fontId="7" fillId="0" borderId="35" xfId="14" applyBorder="1" applyAlignment="1">
      <alignment horizontal="center"/>
    </xf>
    <xf numFmtId="179" fontId="7" fillId="0" borderId="36" xfId="14" applyNumberFormat="1" applyBorder="1"/>
    <xf numFmtId="180" fontId="7" fillId="40" borderId="30" xfId="17" applyNumberFormat="1" applyFont="1" applyFill="1" applyBorder="1"/>
    <xf numFmtId="181" fontId="7" fillId="0" borderId="3" xfId="14" applyNumberFormat="1"/>
    <xf numFmtId="188" fontId="7" fillId="40" borderId="26" xfId="16" applyNumberFormat="1" applyFont="1" applyFill="1" applyBorder="1"/>
    <xf numFmtId="9" fontId="7" fillId="0" borderId="30" xfId="14" applyNumberFormat="1" applyBorder="1"/>
    <xf numFmtId="9" fontId="7" fillId="0" borderId="26" xfId="16" applyFont="1" applyBorder="1"/>
    <xf numFmtId="0" fontId="7" fillId="0" borderId="52" xfId="14" applyBorder="1" applyAlignment="1">
      <alignment horizontal="left"/>
    </xf>
    <xf numFmtId="0" fontId="7" fillId="0" borderId="63" xfId="14" applyBorder="1" applyAlignment="1">
      <alignment horizontal="center"/>
    </xf>
    <xf numFmtId="9" fontId="7" fillId="0" borderId="76" xfId="16" applyFont="1" applyBorder="1"/>
    <xf numFmtId="9" fontId="7" fillId="0" borderId="3" xfId="14" applyNumberFormat="1"/>
    <xf numFmtId="182" fontId="0" fillId="0" borderId="3" xfId="18" applyNumberFormat="1" applyFont="1"/>
    <xf numFmtId="9" fontId="7" fillId="0" borderId="25" xfId="14" applyNumberFormat="1" applyBorder="1"/>
    <xf numFmtId="0" fontId="7" fillId="0" borderId="37" xfId="14" applyBorder="1"/>
    <xf numFmtId="9" fontId="7" fillId="0" borderId="26" xfId="17" applyFont="1" applyBorder="1"/>
    <xf numFmtId="9" fontId="7" fillId="0" borderId="27" xfId="14" applyNumberFormat="1" applyBorder="1"/>
    <xf numFmtId="0" fontId="7" fillId="0" borderId="6" xfId="14" applyBorder="1"/>
    <xf numFmtId="0" fontId="7" fillId="0" borderId="28" xfId="14" applyBorder="1"/>
    <xf numFmtId="9" fontId="7" fillId="0" borderId="29" xfId="14" applyNumberFormat="1" applyBorder="1"/>
    <xf numFmtId="0" fontId="7" fillId="0" borderId="33" xfId="14" applyBorder="1"/>
    <xf numFmtId="9" fontId="7" fillId="0" borderId="30" xfId="17" applyFont="1" applyBorder="1"/>
    <xf numFmtId="0" fontId="28" fillId="0" borderId="90" xfId="14" applyFont="1" applyBorder="1" applyAlignment="1">
      <alignment horizontal="left"/>
    </xf>
    <xf numFmtId="0" fontId="28" fillId="41" borderId="59" xfId="14" applyFont="1" applyFill="1" applyBorder="1" applyAlignment="1">
      <alignment horizontal="left"/>
    </xf>
    <xf numFmtId="0" fontId="28" fillId="41" borderId="37" xfId="14" applyFont="1" applyFill="1" applyBorder="1" applyAlignment="1">
      <alignment horizontal="center"/>
    </xf>
    <xf numFmtId="0" fontId="28" fillId="14" borderId="37" xfId="14" applyFont="1" applyFill="1" applyBorder="1" applyAlignment="1">
      <alignment horizontal="center"/>
    </xf>
    <xf numFmtId="0" fontId="28" fillId="14" borderId="26" xfId="14" applyFont="1" applyFill="1" applyBorder="1" applyAlignment="1">
      <alignment horizontal="center"/>
    </xf>
    <xf numFmtId="0" fontId="28" fillId="41" borderId="86" xfId="14" applyFont="1" applyFill="1" applyBorder="1" applyAlignment="1">
      <alignment horizontal="left"/>
    </xf>
    <xf numFmtId="0" fontId="28" fillId="41" borderId="33" xfId="14" applyFont="1" applyFill="1" applyBorder="1" applyAlignment="1">
      <alignment horizontal="center"/>
    </xf>
    <xf numFmtId="0" fontId="28" fillId="14" borderId="33" xfId="14" applyFont="1" applyFill="1" applyBorder="1" applyAlignment="1">
      <alignment horizontal="center"/>
    </xf>
    <xf numFmtId="0" fontId="28" fillId="14" borderId="30" xfId="14" applyFont="1" applyFill="1" applyBorder="1" applyAlignment="1">
      <alignment horizontal="center"/>
    </xf>
    <xf numFmtId="0" fontId="28" fillId="41" borderId="91" xfId="14" applyFont="1" applyFill="1" applyBorder="1" applyAlignment="1">
      <alignment horizontal="left"/>
    </xf>
    <xf numFmtId="179" fontId="7" fillId="0" borderId="45" xfId="14" applyNumberFormat="1" applyBorder="1"/>
    <xf numFmtId="0" fontId="7" fillId="0" borderId="45" xfId="14" applyBorder="1"/>
    <xf numFmtId="0" fontId="28" fillId="0" borderId="85" xfId="14" applyFont="1" applyBorder="1" applyAlignment="1">
      <alignment horizontal="left" indent="1"/>
    </xf>
    <xf numFmtId="179" fontId="7" fillId="0" borderId="6" xfId="14" applyNumberFormat="1" applyBorder="1"/>
    <xf numFmtId="189" fontId="7" fillId="40" borderId="6" xfId="14" applyNumberFormat="1" applyFill="1" applyBorder="1"/>
    <xf numFmtId="183" fontId="7" fillId="0" borderId="6" xfId="14" applyNumberFormat="1" applyBorder="1"/>
    <xf numFmtId="0" fontId="28" fillId="41" borderId="85" xfId="14" applyFont="1" applyFill="1" applyBorder="1" applyAlignment="1">
      <alignment horizontal="left"/>
    </xf>
    <xf numFmtId="171" fontId="7" fillId="0" borderId="6" xfId="14" applyNumberFormat="1" applyBorder="1"/>
    <xf numFmtId="0" fontId="28" fillId="0" borderId="85" xfId="14" applyFont="1" applyBorder="1" applyAlignment="1">
      <alignment horizontal="left"/>
    </xf>
    <xf numFmtId="0" fontId="28" fillId="14" borderId="85" xfId="14" applyFont="1" applyFill="1" applyBorder="1" applyAlignment="1">
      <alignment horizontal="left"/>
    </xf>
    <xf numFmtId="181" fontId="7" fillId="0" borderId="6" xfId="14" applyNumberFormat="1" applyBorder="1"/>
    <xf numFmtId="181" fontId="7" fillId="0" borderId="28" xfId="14" applyNumberFormat="1" applyBorder="1"/>
    <xf numFmtId="0" fontId="7" fillId="0" borderId="3" xfId="14" quotePrefix="1" applyAlignment="1">
      <alignment horizontal="center"/>
    </xf>
    <xf numFmtId="182" fontId="7" fillId="0" borderId="6" xfId="14" applyNumberFormat="1" applyBorder="1"/>
    <xf numFmtId="0" fontId="28" fillId="0" borderId="92" xfId="14" applyFont="1" applyBorder="1" applyAlignment="1">
      <alignment horizontal="left"/>
    </xf>
    <xf numFmtId="0" fontId="7" fillId="0" borderId="35" xfId="14" applyBorder="1"/>
    <xf numFmtId="0" fontId="7" fillId="0" borderId="36" xfId="14" applyBorder="1"/>
    <xf numFmtId="0" fontId="11" fillId="0" borderId="3" xfId="14" applyFont="1"/>
    <xf numFmtId="0" fontId="22" fillId="41" borderId="59" xfId="14" applyFont="1" applyFill="1" applyBorder="1" applyAlignment="1">
      <alignment horizontal="left"/>
    </xf>
    <xf numFmtId="179" fontId="11" fillId="0" borderId="37" xfId="14" applyNumberFormat="1" applyFont="1" applyBorder="1"/>
    <xf numFmtId="179" fontId="11" fillId="0" borderId="26" xfId="14" applyNumberFormat="1" applyFont="1" applyBorder="1"/>
    <xf numFmtId="0" fontId="22" fillId="41" borderId="86" xfId="19" applyFont="1" applyFill="1" applyBorder="1" applyAlignment="1">
      <alignment horizontal="left"/>
    </xf>
    <xf numFmtId="179" fontId="11" fillId="0" borderId="33" xfId="19" applyNumberFormat="1" applyBorder="1"/>
    <xf numFmtId="179" fontId="11" fillId="0" borderId="30" xfId="19" applyNumberFormat="1" applyBorder="1"/>
    <xf numFmtId="179" fontId="7" fillId="0" borderId="46" xfId="14" applyNumberFormat="1" applyBorder="1"/>
    <xf numFmtId="0" fontId="22" fillId="0" borderId="3" xfId="19" applyFont="1" applyAlignment="1">
      <alignment horizontal="left"/>
    </xf>
    <xf numFmtId="179" fontId="11" fillId="0" borderId="3" xfId="19" applyNumberFormat="1"/>
    <xf numFmtId="0" fontId="22" fillId="14" borderId="90" xfId="14" applyFont="1" applyFill="1" applyBorder="1" applyAlignment="1">
      <alignment horizontal="left" vertical="center" wrapText="1"/>
    </xf>
    <xf numFmtId="179" fontId="22" fillId="0" borderId="41" xfId="14" applyNumberFormat="1" applyFont="1" applyBorder="1" applyAlignment="1">
      <alignment horizontal="center" vertical="center" wrapText="1"/>
    </xf>
    <xf numFmtId="0" fontId="28" fillId="0" borderId="93" xfId="14" applyFont="1" applyBorder="1"/>
    <xf numFmtId="194" fontId="7" fillId="0" borderId="3" xfId="14" applyNumberFormat="1"/>
    <xf numFmtId="10" fontId="7" fillId="0" borderId="12" xfId="14" applyNumberFormat="1" applyBorder="1" applyAlignment="1">
      <alignment horizontal="center"/>
    </xf>
    <xf numFmtId="10" fontId="0" fillId="42" borderId="12" xfId="14" applyNumberFormat="1" applyFont="1" applyFill="1" applyBorder="1"/>
    <xf numFmtId="10" fontId="7" fillId="0" borderId="3" xfId="14" applyNumberFormat="1" applyAlignment="1">
      <alignment horizontal="center"/>
    </xf>
    <xf numFmtId="10" fontId="7" fillId="0" borderId="17" xfId="14" applyNumberFormat="1" applyBorder="1" applyAlignment="1">
      <alignment horizontal="center"/>
    </xf>
    <xf numFmtId="0" fontId="11" fillId="14" borderId="42" xfId="14" applyFont="1" applyFill="1" applyBorder="1" applyAlignment="1">
      <alignment horizontal="left" vertical="center" wrapText="1"/>
    </xf>
    <xf numFmtId="179" fontId="11" fillId="0" borderId="26" xfId="14" applyNumberFormat="1" applyFont="1" applyBorder="1" applyAlignment="1">
      <alignment horizontal="right" vertical="center" wrapText="1"/>
    </xf>
    <xf numFmtId="169" fontId="7" fillId="0" borderId="3" xfId="20"/>
    <xf numFmtId="0" fontId="7" fillId="0" borderId="3" xfId="14" applyAlignment="1">
      <alignment horizontal="center" vertical="center" wrapText="1"/>
    </xf>
    <xf numFmtId="0" fontId="7" fillId="0" borderId="3" xfId="14" applyAlignment="1">
      <alignment horizontal="left" vertical="center" wrapText="1"/>
    </xf>
    <xf numFmtId="10" fontId="7" fillId="0" borderId="3" xfId="14" applyNumberFormat="1" applyAlignment="1">
      <alignment horizontal="center" vertical="center" wrapText="1"/>
    </xf>
    <xf numFmtId="10" fontId="7" fillId="0" borderId="3" xfId="14" applyNumberFormat="1"/>
    <xf numFmtId="0" fontId="11" fillId="14" borderId="44" xfId="14" applyFont="1" applyFill="1" applyBorder="1" applyAlignment="1">
      <alignment horizontal="left" vertical="center" wrapText="1"/>
    </xf>
    <xf numFmtId="9" fontId="11" fillId="0" borderId="46" xfId="17" applyFont="1" applyFill="1" applyBorder="1" applyAlignment="1">
      <alignment horizontal="right" vertical="center" wrapText="1"/>
    </xf>
    <xf numFmtId="0" fontId="44" fillId="14" borderId="42" xfId="19" applyFont="1" applyFill="1" applyBorder="1" applyAlignment="1">
      <alignment horizontal="center"/>
    </xf>
    <xf numFmtId="0" fontId="11" fillId="14" borderId="47" xfId="14" applyFont="1" applyFill="1" applyBorder="1" applyAlignment="1">
      <alignment horizontal="left"/>
    </xf>
    <xf numFmtId="179" fontId="11" fillId="0" borderId="28" xfId="14" applyNumberFormat="1" applyFont="1" applyBorder="1" applyAlignment="1">
      <alignment horizontal="right"/>
    </xf>
    <xf numFmtId="0" fontId="45" fillId="0" borderId="93" xfId="14" applyFont="1" applyBorder="1" applyAlignment="1">
      <alignment horizontal="center"/>
    </xf>
    <xf numFmtId="188" fontId="11" fillId="0" borderId="13" xfId="20" applyNumberFormat="1" applyFont="1" applyBorder="1" applyAlignment="1">
      <alignment horizontal="center"/>
    </xf>
    <xf numFmtId="9" fontId="11" fillId="0" borderId="13" xfId="17" applyFont="1" applyBorder="1" applyAlignment="1">
      <alignment horizontal="center"/>
    </xf>
    <xf numFmtId="0" fontId="11" fillId="14" borderId="47" xfId="19" applyFill="1" applyBorder="1" applyAlignment="1">
      <alignment horizontal="left"/>
    </xf>
    <xf numFmtId="169" fontId="11" fillId="0" borderId="28" xfId="21" applyFont="1" applyFill="1" applyBorder="1" applyAlignment="1">
      <alignment horizontal="right"/>
    </xf>
    <xf numFmtId="0" fontId="45" fillId="0" borderId="94" xfId="14" applyFont="1" applyBorder="1" applyAlignment="1">
      <alignment horizontal="center"/>
    </xf>
    <xf numFmtId="188" fontId="11" fillId="0" borderId="15" xfId="20" applyNumberFormat="1" applyFont="1" applyBorder="1" applyAlignment="1">
      <alignment horizontal="center"/>
    </xf>
    <xf numFmtId="9" fontId="11" fillId="0" borderId="15" xfId="17" applyFont="1" applyBorder="1" applyAlignment="1">
      <alignment horizontal="center"/>
    </xf>
    <xf numFmtId="0" fontId="45" fillId="0" borderId="95" xfId="14" applyFont="1" applyBorder="1" applyAlignment="1">
      <alignment horizontal="center"/>
    </xf>
    <xf numFmtId="188" fontId="11" fillId="0" borderId="18" xfId="20" applyNumberFormat="1" applyFont="1" applyBorder="1" applyAlignment="1">
      <alignment horizontal="center"/>
    </xf>
    <xf numFmtId="9" fontId="11" fillId="0" borderId="18" xfId="17" applyFont="1" applyBorder="1" applyAlignment="1">
      <alignment horizontal="center"/>
    </xf>
    <xf numFmtId="10" fontId="11" fillId="0" borderId="28" xfId="19" applyNumberFormat="1" applyBorder="1" applyAlignment="1">
      <alignment horizontal="right"/>
    </xf>
    <xf numFmtId="0" fontId="11" fillId="14" borderId="48" xfId="19" applyFill="1" applyBorder="1" applyAlignment="1">
      <alignment horizontal="left"/>
    </xf>
    <xf numFmtId="10" fontId="11" fillId="0" borderId="36" xfId="19" applyNumberFormat="1" applyBorder="1" applyAlignment="1">
      <alignment horizontal="right"/>
    </xf>
    <xf numFmtId="0" fontId="11" fillId="14" borderId="43" xfId="14" applyFont="1" applyFill="1" applyBorder="1" applyAlignment="1">
      <alignment horizontal="left"/>
    </xf>
    <xf numFmtId="0" fontId="11" fillId="0" borderId="30" xfId="14" applyFont="1" applyBorder="1" applyAlignment="1">
      <alignment horizontal="right"/>
    </xf>
    <xf numFmtId="179" fontId="11" fillId="0" borderId="26" xfId="14" applyNumberFormat="1" applyFont="1" applyBorder="1" applyAlignment="1">
      <alignment horizontal="center" vertical="center" wrapText="1"/>
    </xf>
    <xf numFmtId="180" fontId="11" fillId="0" borderId="46" xfId="17" applyNumberFormat="1" applyFont="1" applyFill="1" applyBorder="1" applyAlignment="1">
      <alignment horizontal="right" vertical="center" wrapText="1"/>
    </xf>
    <xf numFmtId="180" fontId="11" fillId="0" borderId="28" xfId="17" applyNumberFormat="1" applyFont="1" applyFill="1" applyBorder="1"/>
    <xf numFmtId="169" fontId="11" fillId="0" borderId="28" xfId="21" applyFont="1" applyFill="1" applyBorder="1"/>
    <xf numFmtId="0" fontId="45" fillId="0" borderId="3" xfId="14" applyFont="1" applyAlignment="1">
      <alignment horizontal="center"/>
    </xf>
    <xf numFmtId="188" fontId="11" fillId="0" borderId="3" xfId="20" applyNumberFormat="1" applyFont="1" applyBorder="1" applyAlignment="1">
      <alignment horizontal="center"/>
    </xf>
    <xf numFmtId="169" fontId="11" fillId="0" borderId="36" xfId="21" applyFont="1" applyFill="1" applyBorder="1"/>
    <xf numFmtId="169" fontId="11" fillId="0" borderId="30" xfId="21" applyFont="1" applyFill="1" applyBorder="1"/>
    <xf numFmtId="183" fontId="7" fillId="0" borderId="26" xfId="14" applyNumberFormat="1" applyBorder="1"/>
    <xf numFmtId="183" fontId="7" fillId="0" borderId="28" xfId="14" applyNumberFormat="1" applyBorder="1"/>
    <xf numFmtId="2" fontId="7" fillId="0" borderId="28" xfId="14" applyNumberFormat="1" applyBorder="1"/>
    <xf numFmtId="170" fontId="7" fillId="0" borderId="28" xfId="22" applyBorder="1"/>
    <xf numFmtId="9" fontId="7" fillId="0" borderId="36" xfId="22" applyNumberFormat="1" applyBorder="1"/>
    <xf numFmtId="10" fontId="7" fillId="0" borderId="30" xfId="17" applyNumberFormat="1" applyFont="1" applyBorder="1"/>
    <xf numFmtId="0" fontId="44" fillId="43" borderId="17" xfId="14" applyFont="1" applyFill="1" applyBorder="1" applyAlignment="1">
      <alignment horizontal="center"/>
    </xf>
    <xf numFmtId="0" fontId="44" fillId="43" borderId="18" xfId="14" applyFont="1" applyFill="1" applyBorder="1" applyAlignment="1">
      <alignment horizontal="center"/>
    </xf>
    <xf numFmtId="0" fontId="44" fillId="0" borderId="3" xfId="14" applyFont="1" applyAlignment="1">
      <alignment horizontal="center"/>
    </xf>
    <xf numFmtId="0" fontId="44" fillId="43" borderId="95" xfId="14" applyFont="1" applyFill="1" applyBorder="1" applyAlignment="1">
      <alignment horizontal="center"/>
    </xf>
    <xf numFmtId="188" fontId="11" fillId="8" borderId="49" xfId="20" applyNumberFormat="1" applyFont="1" applyFill="1" applyBorder="1" applyAlignment="1">
      <alignment horizontal="center"/>
    </xf>
    <xf numFmtId="188" fontId="11" fillId="8" borderId="83" xfId="20" applyNumberFormat="1" applyFont="1" applyFill="1" applyBorder="1" applyAlignment="1">
      <alignment horizontal="center"/>
    </xf>
    <xf numFmtId="188" fontId="11" fillId="8" borderId="50" xfId="20" applyNumberFormat="1" applyFont="1" applyFill="1" applyBorder="1" applyAlignment="1">
      <alignment horizontal="center"/>
    </xf>
    <xf numFmtId="188" fontId="11" fillId="0" borderId="3" xfId="20" applyNumberFormat="1" applyFont="1" applyFill="1" applyBorder="1" applyAlignment="1">
      <alignment horizontal="center"/>
    </xf>
    <xf numFmtId="0" fontId="46" fillId="8" borderId="3" xfId="14" applyFont="1" applyFill="1"/>
    <xf numFmtId="169" fontId="0" fillId="0" borderId="3" xfId="20" applyFont="1" applyFill="1" applyBorder="1"/>
    <xf numFmtId="169" fontId="7" fillId="0" borderId="3" xfId="14" applyNumberFormat="1"/>
    <xf numFmtId="0" fontId="44" fillId="8" borderId="3" xfId="14" applyFont="1" applyFill="1" applyAlignment="1">
      <alignment horizontal="center"/>
    </xf>
    <xf numFmtId="188" fontId="11" fillId="8" borderId="3" xfId="20" applyNumberFormat="1" applyFont="1" applyFill="1" applyBorder="1" applyAlignment="1">
      <alignment horizontal="center"/>
    </xf>
    <xf numFmtId="0" fontId="55" fillId="0" borderId="3" xfId="23" applyFont="1" applyAlignment="1">
      <alignment vertical="center"/>
    </xf>
    <xf numFmtId="0" fontId="37" fillId="0" borderId="3" xfId="23"/>
    <xf numFmtId="0" fontId="57" fillId="0" borderId="90" xfId="23" applyFont="1" applyBorder="1" applyAlignment="1">
      <alignment horizontal="center" vertical="center" wrapText="1"/>
    </xf>
    <xf numFmtId="0" fontId="57" fillId="0" borderId="50" xfId="23" applyFont="1" applyBorder="1" applyAlignment="1">
      <alignment horizontal="center" vertical="center" wrapText="1"/>
    </xf>
    <xf numFmtId="0" fontId="55" fillId="8" borderId="37" xfId="23" applyFont="1" applyFill="1" applyBorder="1" applyAlignment="1" applyProtection="1">
      <alignment vertical="center" wrapText="1"/>
      <protection locked="0"/>
    </xf>
    <xf numFmtId="0" fontId="55" fillId="8" borderId="41" xfId="23" applyFont="1" applyFill="1" applyBorder="1" applyAlignment="1" applyProtection="1">
      <alignment vertical="center" wrapText="1"/>
      <protection locked="0"/>
    </xf>
    <xf numFmtId="0" fontId="55" fillId="8" borderId="40" xfId="23" applyFont="1" applyFill="1" applyBorder="1" applyAlignment="1" applyProtection="1">
      <alignment vertical="center" wrapText="1"/>
      <protection locked="0"/>
    </xf>
    <xf numFmtId="189" fontId="55" fillId="8" borderId="41" xfId="23" applyNumberFormat="1" applyFont="1" applyFill="1" applyBorder="1" applyAlignment="1" applyProtection="1">
      <alignment vertical="center" wrapText="1"/>
      <protection locked="0"/>
    </xf>
    <xf numFmtId="4" fontId="55" fillId="8" borderId="37" xfId="23" applyNumberFormat="1" applyFont="1" applyFill="1" applyBorder="1" applyAlignment="1" applyProtection="1">
      <alignment vertical="center" wrapText="1"/>
      <protection locked="0"/>
    </xf>
    <xf numFmtId="0" fontId="55" fillId="8" borderId="66" xfId="23" applyFont="1" applyFill="1" applyBorder="1" applyAlignment="1" applyProtection="1">
      <alignment vertical="center" wrapText="1"/>
      <protection locked="0"/>
    </xf>
    <xf numFmtId="2" fontId="55" fillId="8" borderId="26" xfId="23" applyNumberFormat="1" applyFont="1" applyFill="1" applyBorder="1" applyAlignment="1" applyProtection="1">
      <alignment vertical="center" wrapText="1"/>
      <protection locked="0"/>
    </xf>
    <xf numFmtId="4" fontId="55" fillId="8" borderId="6" xfId="23" applyNumberFormat="1" applyFont="1" applyFill="1" applyBorder="1" applyAlignment="1" applyProtection="1">
      <alignment vertical="center" wrapText="1"/>
      <protection locked="0"/>
    </xf>
    <xf numFmtId="2" fontId="55" fillId="8" borderId="28" xfId="23" applyNumberFormat="1" applyFont="1" applyFill="1" applyBorder="1" applyAlignment="1" applyProtection="1">
      <alignment vertical="center" wrapText="1"/>
      <protection locked="0"/>
    </xf>
    <xf numFmtId="0" fontId="55" fillId="8" borderId="33" xfId="23" applyFont="1" applyFill="1" applyBorder="1" applyAlignment="1" applyProtection="1">
      <alignment vertical="center" wrapText="1"/>
      <protection locked="0"/>
    </xf>
    <xf numFmtId="0" fontId="55" fillId="8" borderId="30" xfId="23" applyFont="1" applyFill="1" applyBorder="1" applyAlignment="1" applyProtection="1">
      <alignment vertical="center" wrapText="1"/>
      <protection locked="0"/>
    </xf>
    <xf numFmtId="10" fontId="55" fillId="8" borderId="33" xfId="25" applyNumberFormat="1" applyFont="1" applyFill="1" applyBorder="1" applyAlignment="1" applyProtection="1">
      <alignment vertical="center" wrapText="1"/>
      <protection locked="0"/>
    </xf>
    <xf numFmtId="189" fontId="55" fillId="8" borderId="37" xfId="23" applyNumberFormat="1" applyFont="1" applyFill="1" applyBorder="1" applyAlignment="1" applyProtection="1">
      <alignment vertical="center" wrapText="1"/>
      <protection locked="0"/>
    </xf>
    <xf numFmtId="10" fontId="55" fillId="8" borderId="26" xfId="25" applyNumberFormat="1" applyFont="1" applyFill="1" applyBorder="1" applyAlignment="1" applyProtection="1">
      <alignment vertical="center" wrapText="1"/>
      <protection locked="0"/>
    </xf>
    <xf numFmtId="189" fontId="55" fillId="8" borderId="33" xfId="23" applyNumberFormat="1" applyFont="1" applyFill="1" applyBorder="1" applyAlignment="1" applyProtection="1">
      <alignment vertical="center" wrapText="1"/>
      <protection locked="0"/>
    </xf>
    <xf numFmtId="188" fontId="55" fillId="8" borderId="30" xfId="23" applyNumberFormat="1" applyFont="1" applyFill="1" applyBorder="1" applyAlignment="1" applyProtection="1">
      <alignment vertical="center" wrapText="1"/>
      <protection locked="0"/>
    </xf>
    <xf numFmtId="196" fontId="55" fillId="0" borderId="3" xfId="26" applyNumberFormat="1" applyFont="1"/>
    <xf numFmtId="0" fontId="57" fillId="8" borderId="3" xfId="23" applyFont="1" applyFill="1" applyAlignment="1" applyProtection="1">
      <alignment horizontal="center" vertical="center" wrapText="1"/>
      <protection locked="0"/>
    </xf>
    <xf numFmtId="0" fontId="55" fillId="8" borderId="3" xfId="23" applyFont="1" applyFill="1" applyAlignment="1" applyProtection="1">
      <alignment horizontal="center" vertical="center" wrapText="1"/>
      <protection locked="0"/>
    </xf>
    <xf numFmtId="0" fontId="55" fillId="0" borderId="3" xfId="23" applyFont="1" applyAlignment="1">
      <alignment horizontal="center" vertical="center"/>
    </xf>
    <xf numFmtId="179" fontId="55" fillId="0" borderId="3" xfId="27" applyNumberFormat="1" applyFont="1" applyAlignment="1">
      <alignment vertical="center"/>
    </xf>
    <xf numFmtId="0" fontId="37" fillId="28" borderId="3" xfId="23" applyFill="1"/>
    <xf numFmtId="0" fontId="28" fillId="41" borderId="26" xfId="14" applyFont="1" applyFill="1" applyBorder="1" applyAlignment="1">
      <alignment horizontal="center"/>
    </xf>
    <xf numFmtId="0" fontId="28" fillId="41" borderId="30" xfId="14" applyFont="1" applyFill="1" applyBorder="1" applyAlignment="1">
      <alignment horizontal="center"/>
    </xf>
    <xf numFmtId="0" fontId="13" fillId="0" borderId="1" xfId="0" quotePrefix="1" applyFont="1" applyBorder="1"/>
    <xf numFmtId="168" fontId="35" fillId="8" borderId="0" xfId="3" applyNumberFormat="1" applyFont="1" applyFill="1" applyAlignment="1"/>
    <xf numFmtId="0" fontId="59" fillId="34" borderId="31" xfId="0" applyFont="1" applyFill="1" applyBorder="1" applyAlignment="1">
      <alignment horizontal="center"/>
    </xf>
    <xf numFmtId="0" fontId="59" fillId="34" borderId="71" xfId="0" applyFont="1" applyFill="1" applyBorder="1" applyAlignment="1">
      <alignment horizontal="center"/>
    </xf>
    <xf numFmtId="0" fontId="59" fillId="34" borderId="32" xfId="0" applyFont="1" applyFill="1" applyBorder="1" applyAlignment="1">
      <alignment horizontal="center"/>
    </xf>
    <xf numFmtId="0" fontId="46" fillId="8" borderId="8" xfId="0" applyFont="1" applyFill="1" applyBorder="1" applyAlignment="1">
      <alignment horizontal="center" vertical="center"/>
    </xf>
    <xf numFmtId="0" fontId="46" fillId="8" borderId="10" xfId="0" applyFont="1" applyFill="1" applyBorder="1" applyAlignment="1">
      <alignment horizontal="center" vertical="center"/>
    </xf>
    <xf numFmtId="186" fontId="46" fillId="8" borderId="21" xfId="0" applyNumberFormat="1" applyFont="1" applyFill="1" applyBorder="1"/>
    <xf numFmtId="186" fontId="46" fillId="8" borderId="8" xfId="0" applyNumberFormat="1" applyFont="1" applyFill="1" applyBorder="1"/>
    <xf numFmtId="186" fontId="46" fillId="8" borderId="10" xfId="0" applyNumberFormat="1" applyFont="1" applyFill="1" applyBorder="1"/>
    <xf numFmtId="0" fontId="60" fillId="8" borderId="20" xfId="0" applyFont="1" applyFill="1" applyBorder="1" applyAlignment="1">
      <alignment horizontal="right"/>
    </xf>
    <xf numFmtId="0" fontId="60" fillId="8" borderId="7" xfId="0" applyFont="1" applyFill="1" applyBorder="1" applyAlignment="1">
      <alignment horizontal="right"/>
    </xf>
    <xf numFmtId="0" fontId="60" fillId="8" borderId="9" xfId="0" applyFont="1" applyFill="1" applyBorder="1" applyAlignment="1">
      <alignment horizontal="right"/>
    </xf>
    <xf numFmtId="0" fontId="61" fillId="2" borderId="3" xfId="0" applyFont="1" applyFill="1" applyBorder="1"/>
    <xf numFmtId="0" fontId="46" fillId="45" borderId="0" xfId="0" applyFont="1" applyFill="1"/>
    <xf numFmtId="0" fontId="46" fillId="2" borderId="11" xfId="0" applyFont="1" applyFill="1" applyBorder="1"/>
    <xf numFmtId="0" fontId="46" fillId="2" borderId="12" xfId="0" applyFont="1" applyFill="1" applyBorder="1"/>
    <xf numFmtId="0" fontId="46" fillId="2" borderId="13" xfId="0" applyFont="1" applyFill="1" applyBorder="1"/>
    <xf numFmtId="0" fontId="46" fillId="0" borderId="0" xfId="0" applyFont="1"/>
    <xf numFmtId="0" fontId="46" fillId="2" borderId="14" xfId="0" applyFont="1" applyFill="1" applyBorder="1"/>
    <xf numFmtId="0" fontId="44" fillId="2" borderId="3" xfId="0" applyFont="1" applyFill="1" applyBorder="1"/>
    <xf numFmtId="0" fontId="46" fillId="2" borderId="15" xfId="0" applyFont="1" applyFill="1" applyBorder="1"/>
    <xf numFmtId="0" fontId="46" fillId="0" borderId="3" xfId="0" applyFont="1" applyBorder="1"/>
    <xf numFmtId="0" fontId="44" fillId="8" borderId="3" xfId="0" applyFont="1" applyFill="1" applyBorder="1"/>
    <xf numFmtId="0" fontId="46" fillId="9" borderId="3" xfId="0" applyFont="1" applyFill="1" applyBorder="1"/>
    <xf numFmtId="0" fontId="46" fillId="8" borderId="3" xfId="0" applyFont="1" applyFill="1" applyBorder="1"/>
    <xf numFmtId="0" fontId="46" fillId="2" borderId="3" xfId="0" applyFont="1" applyFill="1" applyBorder="1" applyAlignment="1">
      <alignment horizontal="center"/>
    </xf>
    <xf numFmtId="0" fontId="46" fillId="38" borderId="14" xfId="0" applyFont="1" applyFill="1" applyBorder="1"/>
    <xf numFmtId="0" fontId="46" fillId="37" borderId="3" xfId="0" applyFont="1" applyFill="1" applyBorder="1"/>
    <xf numFmtId="0" fontId="46" fillId="38" borderId="3" xfId="0" applyFont="1" applyFill="1" applyBorder="1"/>
    <xf numFmtId="0" fontId="46" fillId="37" borderId="14" xfId="0" applyFont="1" applyFill="1" applyBorder="1"/>
    <xf numFmtId="169" fontId="44" fillId="36" borderId="26" xfId="10" applyFont="1" applyFill="1" applyBorder="1"/>
    <xf numFmtId="0" fontId="46" fillId="37" borderId="15" xfId="0" applyFont="1" applyFill="1" applyBorder="1"/>
    <xf numFmtId="192" fontId="44" fillId="36" borderId="28" xfId="13" applyNumberFormat="1" applyFont="1" applyFill="1" applyBorder="1"/>
    <xf numFmtId="170" fontId="44" fillId="32" borderId="28" xfId="13" applyFont="1" applyFill="1" applyBorder="1" applyAlignment="1"/>
    <xf numFmtId="9" fontId="46" fillId="37" borderId="3" xfId="2" applyFont="1" applyFill="1" applyBorder="1" applyAlignment="1"/>
    <xf numFmtId="192" fontId="44" fillId="32" borderId="36" xfId="13" applyNumberFormat="1" applyFont="1" applyFill="1" applyBorder="1" applyAlignment="1"/>
    <xf numFmtId="169" fontId="44" fillId="32" borderId="30" xfId="10" applyFont="1" applyFill="1" applyBorder="1" applyAlignment="1"/>
    <xf numFmtId="0" fontId="46" fillId="37" borderId="16" xfId="0" applyFont="1" applyFill="1" applyBorder="1"/>
    <xf numFmtId="184" fontId="46" fillId="37" borderId="17" xfId="0" applyNumberFormat="1" applyFont="1" applyFill="1" applyBorder="1"/>
    <xf numFmtId="0" fontId="46" fillId="37" borderId="17" xfId="0" applyFont="1" applyFill="1" applyBorder="1"/>
    <xf numFmtId="169" fontId="46" fillId="45" borderId="0" xfId="10" applyFont="1" applyFill="1" applyAlignment="1"/>
    <xf numFmtId="0" fontId="44" fillId="45" borderId="0" xfId="0" applyFont="1" applyFill="1"/>
    <xf numFmtId="0" fontId="64" fillId="3" borderId="19" xfId="0" applyFont="1" applyFill="1" applyBorder="1"/>
    <xf numFmtId="0" fontId="64" fillId="4" borderId="19" xfId="0" applyFont="1" applyFill="1" applyBorder="1"/>
    <xf numFmtId="0" fontId="64" fillId="5" borderId="19" xfId="0" applyFont="1" applyFill="1" applyBorder="1"/>
    <xf numFmtId="168" fontId="0" fillId="0" borderId="0" xfId="0" applyNumberFormat="1"/>
    <xf numFmtId="169" fontId="0" fillId="0" borderId="3" xfId="10" applyFont="1" applyBorder="1" applyAlignment="1"/>
    <xf numFmtId="0" fontId="66" fillId="12" borderId="29" xfId="0" applyFont="1" applyFill="1" applyBorder="1" applyAlignment="1">
      <alignment wrapText="1"/>
    </xf>
    <xf numFmtId="0" fontId="68" fillId="8" borderId="3" xfId="0" applyFont="1" applyFill="1" applyBorder="1"/>
    <xf numFmtId="0" fontId="68" fillId="2" borderId="11" xfId="0" applyFont="1" applyFill="1" applyBorder="1"/>
    <xf numFmtId="0" fontId="68" fillId="2" borderId="12" xfId="0" applyFont="1" applyFill="1" applyBorder="1"/>
    <xf numFmtId="0" fontId="68" fillId="8" borderId="12" xfId="0" applyFont="1" applyFill="1" applyBorder="1"/>
    <xf numFmtId="0" fontId="68" fillId="8" borderId="13" xfId="0" applyFont="1" applyFill="1" applyBorder="1"/>
    <xf numFmtId="0" fontId="68" fillId="2" borderId="14" xfId="0" applyFont="1" applyFill="1" applyBorder="1"/>
    <xf numFmtId="0" fontId="68" fillId="2" borderId="3" xfId="0" applyFont="1" applyFill="1" applyBorder="1"/>
    <xf numFmtId="0" fontId="68" fillId="8" borderId="15" xfId="0" applyFont="1" applyFill="1" applyBorder="1"/>
    <xf numFmtId="0" fontId="69" fillId="15" borderId="3" xfId="0" applyFont="1" applyFill="1" applyBorder="1" applyAlignment="1">
      <alignment horizontal="center"/>
    </xf>
    <xf numFmtId="0" fontId="69" fillId="8" borderId="61" xfId="0" applyFont="1" applyFill="1" applyBorder="1"/>
    <xf numFmtId="0" fontId="70" fillId="19" borderId="46" xfId="0" applyFont="1" applyFill="1" applyBorder="1"/>
    <xf numFmtId="0" fontId="70" fillId="16" borderId="3" xfId="0" applyFont="1" applyFill="1" applyBorder="1" applyProtection="1">
      <protection locked="0"/>
    </xf>
    <xf numFmtId="0" fontId="69" fillId="8" borderId="65" xfId="0" applyFont="1" applyFill="1" applyBorder="1"/>
    <xf numFmtId="0" fontId="68" fillId="25" borderId="66" xfId="0" applyFont="1" applyFill="1" applyBorder="1"/>
    <xf numFmtId="0" fontId="68" fillId="18" borderId="46" xfId="0" applyFont="1" applyFill="1" applyBorder="1"/>
    <xf numFmtId="188" fontId="71" fillId="18" borderId="46" xfId="0" applyNumberFormat="1" applyFont="1" applyFill="1" applyBorder="1" applyAlignment="1">
      <alignment horizontal="center"/>
    </xf>
    <xf numFmtId="0" fontId="69" fillId="8" borderId="27" xfId="0" applyFont="1" applyFill="1" applyBorder="1"/>
    <xf numFmtId="184" fontId="72" fillId="8" borderId="3" xfId="0" applyNumberFormat="1" applyFont="1" applyFill="1" applyBorder="1"/>
    <xf numFmtId="0" fontId="68" fillId="18" borderId="28" xfId="0" applyFont="1" applyFill="1" applyBorder="1"/>
    <xf numFmtId="0" fontId="68" fillId="9" borderId="3" xfId="0" applyFont="1" applyFill="1" applyBorder="1"/>
    <xf numFmtId="0" fontId="70" fillId="18" borderId="28" xfId="0" applyFont="1" applyFill="1" applyBorder="1"/>
    <xf numFmtId="0" fontId="69" fillId="24" borderId="28" xfId="0" applyFont="1" applyFill="1" applyBorder="1" applyAlignment="1">
      <alignment horizontal="center"/>
    </xf>
    <xf numFmtId="0" fontId="73" fillId="18" borderId="28" xfId="1" applyFont="1" applyFill="1" applyBorder="1"/>
    <xf numFmtId="0" fontId="73" fillId="9" borderId="3" xfId="1" applyFont="1" applyFill="1" applyBorder="1"/>
    <xf numFmtId="0" fontId="71" fillId="8" borderId="29" xfId="0" applyFont="1" applyFill="1" applyBorder="1"/>
    <xf numFmtId="11" fontId="68" fillId="18" borderId="30" xfId="0" applyNumberFormat="1" applyFont="1" applyFill="1" applyBorder="1"/>
    <xf numFmtId="0" fontId="69" fillId="0" borderId="27" xfId="0" applyFont="1" applyBorder="1"/>
    <xf numFmtId="0" fontId="69" fillId="12" borderId="28" xfId="0" applyFont="1" applyFill="1" applyBorder="1" applyAlignment="1">
      <alignment horizontal="center"/>
    </xf>
    <xf numFmtId="0" fontId="68" fillId="18" borderId="28" xfId="0" applyFont="1" applyFill="1" applyBorder="1" applyAlignment="1">
      <alignment horizontal="left"/>
    </xf>
    <xf numFmtId="0" fontId="68" fillId="9" borderId="3" xfId="0" applyFont="1" applyFill="1" applyBorder="1" applyAlignment="1">
      <alignment horizontal="left"/>
    </xf>
    <xf numFmtId="0" fontId="69" fillId="8" borderId="29" xfId="0" applyFont="1" applyFill="1" applyBorder="1"/>
    <xf numFmtId="9" fontId="68" fillId="26" borderId="30" xfId="0" applyNumberFormat="1" applyFont="1" applyFill="1" applyBorder="1"/>
    <xf numFmtId="0" fontId="69" fillId="29" borderId="39" xfId="0" applyFont="1" applyFill="1" applyBorder="1"/>
    <xf numFmtId="169" fontId="69" fillId="12" borderId="41" xfId="10" applyFont="1" applyFill="1" applyBorder="1" applyAlignment="1"/>
    <xf numFmtId="9" fontId="69" fillId="24" borderId="28" xfId="17" applyFont="1" applyFill="1" applyBorder="1" applyAlignment="1">
      <alignment horizontal="center"/>
    </xf>
    <xf numFmtId="0" fontId="69" fillId="8" borderId="27" xfId="0" applyFont="1" applyFill="1" applyBorder="1" applyAlignment="1">
      <alignment vertical="center"/>
    </xf>
    <xf numFmtId="0" fontId="70" fillId="8" borderId="3" xfId="0" applyFont="1" applyFill="1" applyBorder="1" applyAlignment="1">
      <alignment horizontal="center"/>
    </xf>
    <xf numFmtId="0" fontId="69" fillId="8" borderId="3" xfId="0" applyFont="1" applyFill="1" applyBorder="1"/>
    <xf numFmtId="9" fontId="69" fillId="12" borderId="41" xfId="2" applyFont="1" applyFill="1" applyBorder="1" applyAlignment="1"/>
    <xf numFmtId="180" fontId="69" fillId="24" borderId="30" xfId="17" applyNumberFormat="1" applyFont="1" applyFill="1" applyBorder="1" applyAlignment="1">
      <alignment horizontal="center"/>
    </xf>
    <xf numFmtId="0" fontId="69" fillId="8" borderId="27" xfId="0" applyFont="1" applyFill="1" applyBorder="1" applyAlignment="1">
      <alignment wrapText="1"/>
    </xf>
    <xf numFmtId="0" fontId="68" fillId="8" borderId="14" xfId="0" applyFont="1" applyFill="1" applyBorder="1"/>
    <xf numFmtId="0" fontId="71" fillId="8" borderId="27" xfId="0" applyFont="1" applyFill="1" applyBorder="1" applyAlignment="1">
      <alignment wrapText="1"/>
    </xf>
    <xf numFmtId="0" fontId="69" fillId="8" borderId="29" xfId="0" applyFont="1" applyFill="1" applyBorder="1" applyAlignment="1">
      <alignment wrapText="1"/>
    </xf>
    <xf numFmtId="10" fontId="68" fillId="8" borderId="3" xfId="0" applyNumberFormat="1" applyFont="1" applyFill="1" applyBorder="1"/>
    <xf numFmtId="0" fontId="69" fillId="20" borderId="37" xfId="0" applyFont="1" applyFill="1" applyBorder="1" applyAlignment="1">
      <alignment horizontal="center" vertical="center"/>
    </xf>
    <xf numFmtId="0" fontId="69" fillId="20" borderId="35" xfId="0" applyFont="1" applyFill="1" applyBorder="1" applyAlignment="1">
      <alignment horizontal="center" vertical="center"/>
    </xf>
    <xf numFmtId="0" fontId="69" fillId="20" borderId="36" xfId="0" applyFont="1" applyFill="1" applyBorder="1" applyAlignment="1">
      <alignment horizontal="center" vertical="center"/>
    </xf>
    <xf numFmtId="0" fontId="68" fillId="0" borderId="6" xfId="19" applyFont="1" applyBorder="1" applyAlignment="1">
      <alignment horizontal="center"/>
    </xf>
    <xf numFmtId="1" fontId="68" fillId="0" borderId="6" xfId="19" applyNumberFormat="1" applyFont="1" applyBorder="1" applyAlignment="1">
      <alignment horizontal="center"/>
    </xf>
    <xf numFmtId="183" fontId="68" fillId="0" borderId="6" xfId="19" applyNumberFormat="1" applyFont="1" applyBorder="1" applyAlignment="1">
      <alignment horizontal="center"/>
    </xf>
    <xf numFmtId="0" fontId="68" fillId="0" borderId="6" xfId="0" applyFont="1" applyBorder="1" applyAlignment="1">
      <alignment horizontal="center" vertical="center"/>
    </xf>
    <xf numFmtId="0" fontId="68" fillId="0" borderId="6" xfId="19" applyFont="1" applyBorder="1" applyAlignment="1">
      <alignment horizontal="center" vertical="center"/>
    </xf>
    <xf numFmtId="1" fontId="68" fillId="0" borderId="6" xfId="0" applyNumberFormat="1" applyFont="1" applyBorder="1" applyAlignment="1">
      <alignment horizontal="center" vertical="center"/>
    </xf>
    <xf numFmtId="169" fontId="68" fillId="8" borderId="3" xfId="10" applyFont="1" applyFill="1" applyBorder="1"/>
    <xf numFmtId="1" fontId="68" fillId="0" borderId="6" xfId="19" applyNumberFormat="1" applyFont="1" applyBorder="1" applyAlignment="1">
      <alignment horizontal="center" vertical="center"/>
    </xf>
    <xf numFmtId="0" fontId="71" fillId="8" borderId="3" xfId="0" applyFont="1" applyFill="1" applyBorder="1"/>
    <xf numFmtId="0" fontId="68" fillId="0" borderId="6" xfId="0" applyFont="1" applyBorder="1"/>
    <xf numFmtId="0" fontId="68" fillId="0" borderId="6" xfId="0" applyFont="1" applyBorder="1" applyAlignment="1">
      <alignment horizontal="center"/>
    </xf>
    <xf numFmtId="0" fontId="68" fillId="0" borderId="75" xfId="0" applyFont="1" applyBorder="1" applyAlignment="1">
      <alignment horizontal="center"/>
    </xf>
    <xf numFmtId="1" fontId="68" fillId="0" borderId="6" xfId="0" applyNumberFormat="1" applyFont="1" applyBorder="1" applyAlignment="1">
      <alignment horizontal="center"/>
    </xf>
    <xf numFmtId="0" fontId="69" fillId="24" borderId="27" xfId="0" applyFont="1" applyFill="1" applyBorder="1"/>
    <xf numFmtId="183" fontId="70" fillId="30" borderId="28" xfId="0" applyNumberFormat="1" applyFont="1" applyFill="1" applyBorder="1" applyAlignment="1">
      <alignment horizontal="center"/>
    </xf>
    <xf numFmtId="0" fontId="69" fillId="8" borderId="3" xfId="0" applyFont="1" applyFill="1" applyBorder="1" applyAlignment="1">
      <alignment wrapText="1"/>
    </xf>
    <xf numFmtId="0" fontId="68" fillId="0" borderId="6" xfId="0" applyFont="1" applyBorder="1" applyAlignment="1">
      <alignment horizontal="left" vertical="center"/>
    </xf>
    <xf numFmtId="183" fontId="68" fillId="0" borderId="6" xfId="0" applyNumberFormat="1" applyFont="1" applyBorder="1" applyAlignment="1">
      <alignment horizontal="center" vertical="center"/>
    </xf>
    <xf numFmtId="0" fontId="74" fillId="8" borderId="3" xfId="0" applyFont="1" applyFill="1" applyBorder="1"/>
    <xf numFmtId="0" fontId="69" fillId="24" borderId="27" xfId="0" applyFont="1" applyFill="1" applyBorder="1" applyAlignment="1">
      <alignment vertical="center"/>
    </xf>
    <xf numFmtId="169" fontId="68" fillId="8" borderId="3" xfId="10" applyFont="1" applyFill="1" applyBorder="1" applyAlignment="1"/>
    <xf numFmtId="1" fontId="68" fillId="8" borderId="3" xfId="0" applyNumberFormat="1" applyFont="1" applyFill="1" applyBorder="1"/>
    <xf numFmtId="0" fontId="68" fillId="8" borderId="16" xfId="0" applyFont="1" applyFill="1" applyBorder="1"/>
    <xf numFmtId="0" fontId="68" fillId="8" borderId="17" xfId="0" applyFont="1" applyFill="1" applyBorder="1"/>
    <xf numFmtId="0" fontId="68" fillId="8" borderId="18" xfId="0" applyFont="1" applyFill="1" applyBorder="1"/>
    <xf numFmtId="0" fontId="69" fillId="24" borderId="25" xfId="0" applyFont="1" applyFill="1" applyBorder="1"/>
    <xf numFmtId="183" fontId="70" fillId="30" borderId="26" xfId="0" applyNumberFormat="1" applyFont="1" applyFill="1" applyBorder="1" applyAlignment="1">
      <alignment horizontal="center"/>
    </xf>
    <xf numFmtId="0" fontId="68" fillId="19" borderId="28" xfId="0" applyFont="1" applyFill="1" applyBorder="1" applyAlignment="1">
      <alignment horizontal="center"/>
    </xf>
    <xf numFmtId="0" fontId="70" fillId="19" borderId="28" xfId="0" applyFont="1" applyFill="1" applyBorder="1" applyAlignment="1">
      <alignment horizontal="center"/>
    </xf>
    <xf numFmtId="0" fontId="72" fillId="19" borderId="28" xfId="0" applyFont="1" applyFill="1" applyBorder="1" applyAlignment="1">
      <alignment horizontal="center"/>
    </xf>
    <xf numFmtId="0" fontId="46" fillId="19" borderId="28" xfId="0" applyFont="1" applyFill="1" applyBorder="1" applyAlignment="1">
      <alignment horizontal="center"/>
    </xf>
    <xf numFmtId="0" fontId="68" fillId="46" borderId="28" xfId="0" applyFont="1" applyFill="1" applyBorder="1" applyAlignment="1">
      <alignment horizontal="center" vertical="center"/>
    </xf>
    <xf numFmtId="0" fontId="68" fillId="46" borderId="30" xfId="0" applyFont="1" applyFill="1" applyBorder="1" applyAlignment="1">
      <alignment horizontal="center" vertical="center"/>
    </xf>
    <xf numFmtId="0" fontId="65" fillId="12" borderId="29" xfId="0" applyFont="1" applyFill="1" applyBorder="1"/>
    <xf numFmtId="183" fontId="66" fillId="25" borderId="30" xfId="0" applyNumberFormat="1" applyFont="1" applyFill="1" applyBorder="1" applyAlignment="1">
      <alignment horizontal="center"/>
    </xf>
    <xf numFmtId="183" fontId="65" fillId="25" borderId="30" xfId="0" applyNumberFormat="1" applyFont="1" applyFill="1" applyBorder="1" applyAlignment="1">
      <alignment horizontal="center"/>
    </xf>
    <xf numFmtId="0" fontId="65" fillId="12" borderId="61" xfId="0" applyFont="1" applyFill="1" applyBorder="1" applyAlignment="1">
      <alignment wrapText="1"/>
    </xf>
    <xf numFmtId="183" fontId="65" fillId="25" borderId="46" xfId="0" applyNumberFormat="1" applyFont="1" applyFill="1" applyBorder="1" applyAlignment="1">
      <alignment horizontal="center"/>
    </xf>
    <xf numFmtId="183" fontId="66" fillId="26" borderId="30" xfId="0" applyNumberFormat="1" applyFont="1" applyFill="1" applyBorder="1" applyAlignment="1">
      <alignment horizontal="center" vertical="center"/>
    </xf>
    <xf numFmtId="0" fontId="65" fillId="20" borderId="29" xfId="0" applyFont="1" applyFill="1" applyBorder="1" applyAlignment="1">
      <alignment wrapText="1"/>
    </xf>
    <xf numFmtId="169" fontId="66" fillId="27" borderId="30" xfId="10" applyFont="1" applyFill="1" applyBorder="1" applyAlignment="1">
      <alignment horizontal="center" vertical="center"/>
    </xf>
    <xf numFmtId="0" fontId="65" fillId="12" borderId="61" xfId="0" applyFont="1" applyFill="1" applyBorder="1"/>
    <xf numFmtId="183" fontId="65" fillId="12" borderId="46" xfId="0" applyNumberFormat="1" applyFont="1" applyFill="1" applyBorder="1" applyAlignment="1">
      <alignment horizontal="center"/>
    </xf>
    <xf numFmtId="0" fontId="65" fillId="12" borderId="27" xfId="0" applyFont="1" applyFill="1" applyBorder="1"/>
    <xf numFmtId="183" fontId="65" fillId="12" borderId="28" xfId="0" applyNumberFormat="1" applyFont="1" applyFill="1" applyBorder="1" applyAlignment="1">
      <alignment horizontal="center" vertical="center"/>
    </xf>
    <xf numFmtId="183" fontId="67" fillId="12" borderId="30" xfId="0" applyNumberFormat="1" applyFont="1" applyFill="1" applyBorder="1" applyAlignment="1">
      <alignment horizontal="center" vertical="center"/>
    </xf>
    <xf numFmtId="188" fontId="21" fillId="0" borderId="0" xfId="10" applyNumberFormat="1" applyFont="1" applyAlignment="1"/>
    <xf numFmtId="188" fontId="35" fillId="8" borderId="6" xfId="10" applyNumberFormat="1" applyFont="1" applyFill="1" applyBorder="1" applyAlignment="1">
      <alignment horizontal="right" indent="1"/>
    </xf>
    <xf numFmtId="178" fontId="21" fillId="10" borderId="6" xfId="0" applyNumberFormat="1" applyFont="1" applyFill="1" applyBorder="1"/>
    <xf numFmtId="0" fontId="23" fillId="0" borderId="25" xfId="0" applyFont="1" applyBorder="1"/>
    <xf numFmtId="178" fontId="23" fillId="13" borderId="26" xfId="0" applyNumberFormat="1" applyFont="1" applyFill="1" applyBorder="1"/>
    <xf numFmtId="0" fontId="21" fillId="0" borderId="29" xfId="0" applyFont="1" applyBorder="1"/>
    <xf numFmtId="190" fontId="0" fillId="0" borderId="30" xfId="12" applyNumberFormat="1" applyFont="1" applyBorder="1" applyAlignment="1"/>
    <xf numFmtId="0" fontId="21" fillId="0" borderId="25" xfId="0" applyFont="1" applyBorder="1"/>
    <xf numFmtId="178" fontId="0" fillId="0" borderId="26" xfId="0" applyNumberFormat="1" applyBorder="1"/>
    <xf numFmtId="178" fontId="23" fillId="0" borderId="30" xfId="0" applyNumberFormat="1" applyFont="1" applyBorder="1"/>
    <xf numFmtId="0" fontId="21" fillId="0" borderId="27" xfId="0" applyFont="1" applyBorder="1"/>
    <xf numFmtId="2" fontId="0" fillId="11" borderId="6" xfId="0" applyNumberFormat="1" applyFill="1" applyBorder="1"/>
    <xf numFmtId="2" fontId="0" fillId="10" borderId="6" xfId="0" applyNumberFormat="1" applyFill="1" applyBorder="1"/>
    <xf numFmtId="0" fontId="21" fillId="0" borderId="6" xfId="0" applyFont="1" applyBorder="1" applyAlignment="1">
      <alignment horizontal="center"/>
    </xf>
    <xf numFmtId="169" fontId="21" fillId="0" borderId="6" xfId="10" applyFont="1" applyBorder="1" applyAlignment="1"/>
    <xf numFmtId="170" fontId="21" fillId="0" borderId="6" xfId="13" applyFont="1" applyBorder="1" applyAlignment="1"/>
    <xf numFmtId="0" fontId="27" fillId="0" borderId="52" xfId="4" applyBorder="1" applyAlignment="1">
      <alignment horizontal="left"/>
    </xf>
    <xf numFmtId="188" fontId="6" fillId="0" borderId="76" xfId="6" applyNumberFormat="1" applyFont="1" applyBorder="1"/>
    <xf numFmtId="0" fontId="28" fillId="41" borderId="59" xfId="4" applyFont="1" applyFill="1" applyBorder="1" applyAlignment="1">
      <alignment horizontal="left"/>
    </xf>
    <xf numFmtId="0" fontId="28" fillId="41" borderId="37" xfId="4" applyFont="1" applyFill="1" applyBorder="1" applyAlignment="1">
      <alignment horizontal="center"/>
    </xf>
    <xf numFmtId="0" fontId="28" fillId="41" borderId="86" xfId="4" applyFont="1" applyFill="1" applyBorder="1" applyAlignment="1">
      <alignment horizontal="left"/>
    </xf>
    <xf numFmtId="0" fontId="28" fillId="41" borderId="33" xfId="4" applyFont="1" applyFill="1" applyBorder="1" applyAlignment="1">
      <alignment horizontal="center"/>
    </xf>
    <xf numFmtId="0" fontId="28" fillId="41" borderId="91" xfId="4" applyFont="1" applyFill="1" applyBorder="1" applyAlignment="1">
      <alignment horizontal="left"/>
    </xf>
    <xf numFmtId="0" fontId="28" fillId="0" borderId="85" xfId="4" applyFont="1" applyBorder="1" applyAlignment="1">
      <alignment horizontal="left" indent="1"/>
    </xf>
    <xf numFmtId="183" fontId="27" fillId="0" borderId="28" xfId="4" applyNumberFormat="1" applyBorder="1"/>
    <xf numFmtId="0" fontId="28" fillId="41" borderId="85" xfId="4" applyFont="1" applyFill="1" applyBorder="1" applyAlignment="1">
      <alignment horizontal="left"/>
    </xf>
    <xf numFmtId="0" fontId="28" fillId="0" borderId="85" xfId="4" applyFont="1" applyBorder="1" applyAlignment="1">
      <alignment horizontal="left"/>
    </xf>
    <xf numFmtId="0" fontId="28" fillId="14" borderId="85" xfId="4" applyFont="1" applyFill="1" applyBorder="1" applyAlignment="1">
      <alignment horizontal="left"/>
    </xf>
    <xf numFmtId="0" fontId="27" fillId="0" borderId="3" xfId="4" quotePrefix="1" applyAlignment="1">
      <alignment horizontal="center"/>
    </xf>
    <xf numFmtId="0" fontId="28" fillId="41" borderId="92" xfId="4" applyFont="1" applyFill="1" applyBorder="1" applyAlignment="1">
      <alignment horizontal="left"/>
    </xf>
    <xf numFmtId="179" fontId="27" fillId="0" borderId="35" xfId="4" applyNumberFormat="1" applyBorder="1"/>
    <xf numFmtId="182" fontId="27" fillId="0" borderId="35" xfId="4" applyNumberFormat="1" applyBorder="1"/>
    <xf numFmtId="182" fontId="27" fillId="0" borderId="80" xfId="4" applyNumberFormat="1" applyBorder="1"/>
    <xf numFmtId="0" fontId="28" fillId="0" borderId="92" xfId="4" applyFont="1" applyBorder="1" applyAlignment="1">
      <alignment horizontal="left"/>
    </xf>
    <xf numFmtId="0" fontId="11" fillId="0" borderId="3" xfId="4" applyFont="1"/>
    <xf numFmtId="0" fontId="22" fillId="41" borderId="59" xfId="4" applyFont="1" applyFill="1" applyBorder="1" applyAlignment="1">
      <alignment horizontal="left"/>
    </xf>
    <xf numFmtId="179" fontId="11" fillId="0" borderId="37" xfId="4" applyNumberFormat="1" applyFont="1" applyBorder="1"/>
    <xf numFmtId="0" fontId="22" fillId="14" borderId="90" xfId="4" applyFont="1" applyFill="1" applyBorder="1" applyAlignment="1">
      <alignment horizontal="left" vertical="center" wrapText="1"/>
    </xf>
    <xf numFmtId="179" fontId="22" fillId="0" borderId="41" xfId="4" applyNumberFormat="1" applyFont="1" applyBorder="1" applyAlignment="1">
      <alignment horizontal="center" vertical="center" wrapText="1"/>
    </xf>
    <xf numFmtId="0" fontId="11" fillId="14" borderId="42" xfId="4" applyFont="1" applyFill="1" applyBorder="1" applyAlignment="1">
      <alignment horizontal="left" vertical="center" wrapText="1"/>
    </xf>
    <xf numFmtId="179" fontId="11" fillId="0" borderId="26" xfId="4" applyNumberFormat="1" applyFont="1" applyBorder="1" applyAlignment="1">
      <alignment horizontal="right" vertical="center" wrapText="1"/>
    </xf>
    <xf numFmtId="0" fontId="11" fillId="14" borderId="44" xfId="4" applyFont="1" applyFill="1" applyBorder="1" applyAlignment="1">
      <alignment horizontal="left" vertical="center" wrapText="1"/>
    </xf>
    <xf numFmtId="0" fontId="11" fillId="14" borderId="47" xfId="4" applyFont="1" applyFill="1" applyBorder="1" applyAlignment="1">
      <alignment horizontal="left"/>
    </xf>
    <xf numFmtId="179" fontId="11" fillId="0" borderId="28" xfId="4" applyNumberFormat="1" applyFont="1" applyBorder="1" applyAlignment="1">
      <alignment horizontal="right"/>
    </xf>
    <xf numFmtId="0" fontId="11" fillId="14" borderId="43" xfId="4" applyFont="1" applyFill="1" applyBorder="1" applyAlignment="1">
      <alignment horizontal="left"/>
    </xf>
    <xf numFmtId="0" fontId="11" fillId="0" borderId="30" xfId="4" applyFont="1" applyBorder="1" applyAlignment="1">
      <alignment horizontal="right"/>
    </xf>
    <xf numFmtId="179" fontId="6" fillId="0" borderId="37" xfId="4" applyNumberFormat="1" applyFont="1" applyBorder="1"/>
    <xf numFmtId="179" fontId="6" fillId="0" borderId="33" xfId="19" applyNumberFormat="1" applyFont="1" applyBorder="1"/>
    <xf numFmtId="179" fontId="6" fillId="0" borderId="30" xfId="19" applyNumberFormat="1" applyFont="1" applyBorder="1"/>
    <xf numFmtId="0" fontId="28" fillId="41" borderId="26" xfId="4" applyFont="1" applyFill="1" applyBorder="1" applyAlignment="1">
      <alignment horizontal="center"/>
    </xf>
    <xf numFmtId="0" fontId="28" fillId="41" borderId="30" xfId="4" applyFont="1" applyFill="1" applyBorder="1" applyAlignment="1">
      <alignment horizontal="center"/>
    </xf>
    <xf numFmtId="0" fontId="11" fillId="0" borderId="3" xfId="4" applyFont="1" applyAlignment="1">
      <alignment horizontal="right"/>
    </xf>
    <xf numFmtId="1" fontId="11" fillId="0" borderId="46" xfId="4" applyNumberFormat="1" applyFont="1" applyBorder="1" applyAlignment="1">
      <alignment horizontal="center" vertical="center" wrapText="1"/>
    </xf>
    <xf numFmtId="9" fontId="11" fillId="0" borderId="46" xfId="17" applyFont="1" applyFill="1" applyBorder="1" applyAlignment="1">
      <alignment horizontal="center" vertical="center" wrapText="1"/>
    </xf>
    <xf numFmtId="0" fontId="45" fillId="32" borderId="47" xfId="19" applyFont="1" applyFill="1" applyBorder="1" applyAlignment="1">
      <alignment horizontal="left"/>
    </xf>
    <xf numFmtId="169" fontId="11" fillId="0" borderId="28" xfId="21" applyFont="1" applyFill="1" applyBorder="1" applyAlignment="1">
      <alignment horizontal="center"/>
    </xf>
    <xf numFmtId="188" fontId="11" fillId="0" borderId="28" xfId="21" applyNumberFormat="1" applyFont="1" applyFill="1" applyBorder="1" applyAlignment="1">
      <alignment horizontal="center"/>
    </xf>
    <xf numFmtId="0" fontId="11" fillId="0" borderId="3" xfId="4" applyFont="1" applyAlignment="1">
      <alignment horizontal="left"/>
    </xf>
    <xf numFmtId="180" fontId="11" fillId="0" borderId="46" xfId="2" applyNumberFormat="1" applyFont="1" applyBorder="1" applyAlignment="1">
      <alignment horizontal="center" vertical="center" wrapText="1"/>
    </xf>
    <xf numFmtId="180" fontId="11" fillId="0" borderId="46" xfId="2" applyNumberFormat="1" applyFont="1" applyFill="1" applyBorder="1" applyAlignment="1">
      <alignment horizontal="center" vertical="center" wrapText="1"/>
    </xf>
    <xf numFmtId="180" fontId="11" fillId="0" borderId="28" xfId="2" applyNumberFormat="1" applyFont="1" applyFill="1" applyBorder="1" applyAlignment="1">
      <alignment horizontal="center"/>
    </xf>
    <xf numFmtId="180" fontId="11" fillId="0" borderId="28" xfId="8" applyNumberFormat="1" applyFont="1" applyBorder="1" applyAlignment="1">
      <alignment horizontal="center"/>
    </xf>
    <xf numFmtId="0" fontId="45" fillId="32" borderId="43" xfId="8" applyFont="1" applyFill="1" applyBorder="1" applyAlignment="1">
      <alignment horizontal="left"/>
    </xf>
    <xf numFmtId="10" fontId="11" fillId="0" borderId="30" xfId="2" applyNumberFormat="1" applyFont="1" applyFill="1" applyBorder="1" applyAlignment="1">
      <alignment horizontal="center"/>
    </xf>
    <xf numFmtId="188" fontId="0" fillId="0" borderId="0" xfId="3" applyNumberFormat="1" applyFont="1" applyAlignment="1"/>
    <xf numFmtId="180" fontId="0" fillId="0" borderId="0" xfId="2" applyNumberFormat="1" applyFont="1" applyAlignment="1"/>
    <xf numFmtId="10" fontId="0" fillId="0" borderId="0" xfId="2" applyNumberFormat="1" applyFont="1" applyAlignment="1"/>
    <xf numFmtId="0" fontId="45" fillId="32" borderId="48" xfId="19" applyFont="1" applyFill="1" applyBorder="1" applyAlignment="1">
      <alignment horizontal="left"/>
    </xf>
    <xf numFmtId="188" fontId="11" fillId="0" borderId="76" xfId="10" applyNumberFormat="1" applyFont="1" applyFill="1" applyBorder="1" applyAlignment="1">
      <alignment horizontal="center" vertical="center" wrapText="1"/>
    </xf>
    <xf numFmtId="188" fontId="0" fillId="0" borderId="0" xfId="0" applyNumberFormat="1"/>
    <xf numFmtId="0" fontId="22" fillId="41" borderId="3" xfId="19" applyFont="1" applyFill="1" applyAlignment="1">
      <alignment horizontal="left"/>
    </xf>
    <xf numFmtId="179" fontId="6" fillId="0" borderId="3" xfId="19" applyNumberFormat="1" applyFont="1"/>
    <xf numFmtId="188" fontId="6" fillId="0" borderId="3" xfId="19" applyNumberFormat="1" applyFont="1"/>
    <xf numFmtId="0" fontId="11" fillId="0" borderId="46" xfId="2" applyNumberFormat="1" applyFont="1" applyBorder="1" applyAlignment="1">
      <alignment horizontal="center" vertical="center" wrapText="1"/>
    </xf>
    <xf numFmtId="0" fontId="69" fillId="24" borderId="28" xfId="17" applyNumberFormat="1" applyFont="1" applyFill="1" applyBorder="1" applyAlignment="1">
      <alignment horizontal="center"/>
    </xf>
    <xf numFmtId="0" fontId="62" fillId="30" borderId="32" xfId="0" applyFont="1" applyFill="1" applyBorder="1"/>
    <xf numFmtId="0" fontId="46" fillId="30" borderId="28" xfId="0" applyFont="1" applyFill="1" applyBorder="1" applyAlignment="1">
      <alignment horizontal="center"/>
    </xf>
    <xf numFmtId="169" fontId="62" fillId="30" borderId="41" xfId="10" applyFont="1" applyFill="1" applyBorder="1"/>
    <xf numFmtId="173" fontId="62" fillId="18" borderId="21" xfId="0" applyNumberFormat="1" applyFont="1" applyFill="1" applyBorder="1"/>
    <xf numFmtId="1" fontId="62" fillId="18" borderId="8" xfId="8" applyNumberFormat="1" applyFont="1" applyFill="1" applyBorder="1"/>
    <xf numFmtId="1" fontId="62" fillId="18" borderId="24" xfId="8" applyNumberFormat="1" applyFont="1" applyFill="1" applyBorder="1"/>
    <xf numFmtId="180" fontId="62" fillId="18" borderId="32" xfId="0" applyNumberFormat="1" applyFont="1" applyFill="1" applyBorder="1"/>
    <xf numFmtId="0" fontId="62" fillId="30" borderId="26" xfId="0" applyFont="1" applyFill="1" applyBorder="1" applyAlignment="1">
      <alignment horizontal="center"/>
    </xf>
    <xf numFmtId="0" fontId="62" fillId="30" borderId="28" xfId="0" applyFont="1" applyFill="1" applyBorder="1" applyAlignment="1">
      <alignment horizontal="center"/>
    </xf>
    <xf numFmtId="9" fontId="46" fillId="30" borderId="28" xfId="2" applyFont="1" applyFill="1" applyBorder="1" applyAlignment="1">
      <alignment horizontal="center"/>
    </xf>
    <xf numFmtId="0" fontId="62" fillId="18" borderId="24" xfId="0" applyFont="1" applyFill="1" applyBorder="1" applyAlignment="1">
      <alignment horizontal="center" vertical="center"/>
    </xf>
    <xf numFmtId="9" fontId="44" fillId="18" borderId="10" xfId="0" applyNumberFormat="1" applyFont="1" applyFill="1" applyBorder="1" applyAlignment="1">
      <alignment horizontal="center"/>
    </xf>
    <xf numFmtId="168" fontId="46" fillId="30" borderId="28" xfId="0" applyNumberFormat="1" applyFont="1" applyFill="1" applyBorder="1" applyAlignment="1">
      <alignment horizontal="center"/>
    </xf>
    <xf numFmtId="0" fontId="62" fillId="30" borderId="32" xfId="0" applyFont="1" applyFill="1" applyBorder="1" applyAlignment="1">
      <alignment horizontal="center"/>
    </xf>
    <xf numFmtId="0" fontId="44" fillId="45" borderId="25" xfId="0" applyFont="1" applyFill="1" applyBorder="1"/>
    <xf numFmtId="0" fontId="44" fillId="45" borderId="27" xfId="0" applyFont="1" applyFill="1" applyBorder="1"/>
    <xf numFmtId="0" fontId="44" fillId="45" borderId="29" xfId="0" applyFont="1" applyFill="1" applyBorder="1"/>
    <xf numFmtId="0" fontId="44" fillId="45" borderId="39" xfId="0" applyFont="1" applyFill="1" applyBorder="1"/>
    <xf numFmtId="0" fontId="44" fillId="45" borderId="20" xfId="0" applyFont="1" applyFill="1" applyBorder="1"/>
    <xf numFmtId="0" fontId="44" fillId="45" borderId="7" xfId="0" applyFont="1" applyFill="1" applyBorder="1"/>
    <xf numFmtId="0" fontId="44" fillId="45" borderId="9" xfId="0" applyFont="1" applyFill="1" applyBorder="1"/>
    <xf numFmtId="0" fontId="44" fillId="45" borderId="22" xfId="0" applyFont="1" applyFill="1" applyBorder="1"/>
    <xf numFmtId="0" fontId="63" fillId="45" borderId="31" xfId="0" applyFont="1" applyFill="1" applyBorder="1" applyAlignment="1">
      <alignment horizontal="left"/>
    </xf>
    <xf numFmtId="0" fontId="63" fillId="45" borderId="9" xfId="0" applyFont="1" applyFill="1" applyBorder="1"/>
    <xf numFmtId="0" fontId="44" fillId="45" borderId="34" xfId="0" applyFont="1" applyFill="1" applyBorder="1"/>
    <xf numFmtId="0" fontId="44" fillId="45" borderId="31" xfId="0" applyFont="1" applyFill="1" applyBorder="1"/>
    <xf numFmtId="0" fontId="44" fillId="45" borderId="27" xfId="0" applyFont="1" applyFill="1" applyBorder="1" applyAlignment="1">
      <alignment horizontal="left" vertical="center"/>
    </xf>
    <xf numFmtId="0" fontId="44" fillId="45" borderId="27" xfId="0" applyFont="1" applyFill="1" applyBorder="1" applyAlignment="1">
      <alignment wrapText="1"/>
    </xf>
    <xf numFmtId="0" fontId="44" fillId="45" borderId="34" xfId="0" applyFont="1" applyFill="1" applyBorder="1" applyAlignment="1">
      <alignment horizontal="left" wrapText="1" indent="1"/>
    </xf>
    <xf numFmtId="173" fontId="62" fillId="36" borderId="24" xfId="0" applyNumberFormat="1" applyFont="1" applyFill="1" applyBorder="1" applyAlignment="1">
      <alignment vertical="center"/>
    </xf>
    <xf numFmtId="0" fontId="62" fillId="47" borderId="28" xfId="0" applyFont="1" applyFill="1" applyBorder="1" applyAlignment="1">
      <alignment horizontal="center"/>
    </xf>
    <xf numFmtId="0" fontId="44" fillId="36" borderId="21" xfId="0" applyFont="1" applyFill="1" applyBorder="1"/>
    <xf numFmtId="2" fontId="44" fillId="36" borderId="8" xfId="0" applyNumberFormat="1" applyFont="1" applyFill="1" applyBorder="1"/>
    <xf numFmtId="0" fontId="63" fillId="36" borderId="8" xfId="0" applyFont="1" applyFill="1" applyBorder="1"/>
    <xf numFmtId="0" fontId="63" fillId="36" borderId="24" xfId="0" applyFont="1" applyFill="1" applyBorder="1"/>
    <xf numFmtId="184" fontId="44" fillId="36" borderId="10" xfId="3" applyNumberFormat="1" applyFont="1" applyFill="1" applyBorder="1"/>
    <xf numFmtId="0" fontId="46" fillId="30" borderId="30" xfId="0" applyFont="1" applyFill="1" applyBorder="1" applyAlignment="1">
      <alignment horizontal="center"/>
    </xf>
    <xf numFmtId="0" fontId="46" fillId="30" borderId="26" xfId="0" applyFont="1" applyFill="1" applyBorder="1" applyAlignment="1">
      <alignment horizontal="center"/>
    </xf>
    <xf numFmtId="0" fontId="46" fillId="30" borderId="74" xfId="0" applyFont="1" applyFill="1" applyBorder="1" applyAlignment="1">
      <alignment horizontal="center"/>
    </xf>
    <xf numFmtId="0" fontId="5" fillId="0" borderId="3" xfId="4" applyFont="1"/>
    <xf numFmtId="169" fontId="27" fillId="0" borderId="3" xfId="10" applyFont="1" applyBorder="1"/>
    <xf numFmtId="169" fontId="27" fillId="0" borderId="3" xfId="4" applyNumberFormat="1"/>
    <xf numFmtId="0" fontId="28" fillId="0" borderId="14" xfId="4" applyFont="1" applyBorder="1" applyAlignment="1">
      <alignment horizontal="left"/>
    </xf>
    <xf numFmtId="0" fontId="27" fillId="0" borderId="63" xfId="4" applyBorder="1"/>
    <xf numFmtId="0" fontId="27" fillId="0" borderId="107" xfId="4" applyBorder="1"/>
    <xf numFmtId="179" fontId="27" fillId="0" borderId="63" xfId="4" applyNumberFormat="1" applyBorder="1"/>
    <xf numFmtId="0" fontId="77" fillId="0" borderId="3" xfId="4" applyFont="1"/>
    <xf numFmtId="188" fontId="46" fillId="0" borderId="3" xfId="10" applyNumberFormat="1" applyFont="1" applyBorder="1" applyAlignment="1">
      <alignment horizontal="center"/>
    </xf>
    <xf numFmtId="188" fontId="46" fillId="0" borderId="3" xfId="4" applyNumberFormat="1" applyFont="1" applyAlignment="1">
      <alignment horizontal="center"/>
    </xf>
    <xf numFmtId="188" fontId="7" fillId="0" borderId="6" xfId="3" applyNumberFormat="1" applyFont="1" applyBorder="1"/>
    <xf numFmtId="188" fontId="7" fillId="0" borderId="6" xfId="14" applyNumberFormat="1" applyBorder="1"/>
    <xf numFmtId="9" fontId="62" fillId="30" borderId="41" xfId="2" applyFont="1" applyFill="1" applyBorder="1"/>
    <xf numFmtId="0" fontId="4" fillId="0" borderId="52" xfId="4" applyFont="1" applyBorder="1" applyAlignment="1">
      <alignment horizontal="left"/>
    </xf>
    <xf numFmtId="0" fontId="4" fillId="0" borderId="63" xfId="4" applyFont="1" applyBorder="1" applyAlignment="1">
      <alignment horizontal="center"/>
    </xf>
    <xf numFmtId="9" fontId="6" fillId="0" borderId="76" xfId="2" applyFont="1" applyBorder="1"/>
    <xf numFmtId="0" fontId="43" fillId="33" borderId="37" xfId="0" applyFont="1" applyFill="1" applyBorder="1" applyAlignment="1">
      <alignment horizontal="center"/>
    </xf>
    <xf numFmtId="0" fontId="43" fillId="33" borderId="26" xfId="0" applyFont="1" applyFill="1" applyBorder="1" applyAlignment="1">
      <alignment horizontal="center"/>
    </xf>
    <xf numFmtId="0" fontId="13" fillId="38" borderId="12" xfId="0" applyFont="1" applyFill="1" applyBorder="1"/>
    <xf numFmtId="0" fontId="0" fillId="38" borderId="3" xfId="0" applyFill="1" applyBorder="1"/>
    <xf numFmtId="186" fontId="0" fillId="37" borderId="3" xfId="0" applyNumberFormat="1" applyFill="1" applyBorder="1"/>
    <xf numFmtId="0" fontId="0" fillId="37" borderId="12" xfId="0" applyFill="1" applyBorder="1"/>
    <xf numFmtId="0" fontId="0" fillId="37" borderId="13" xfId="0" applyFill="1" applyBorder="1"/>
    <xf numFmtId="0" fontId="0" fillId="37" borderId="3" xfId="0" applyFill="1" applyBorder="1"/>
    <xf numFmtId="0" fontId="0" fillId="37" borderId="15" xfId="0" applyFill="1" applyBorder="1"/>
    <xf numFmtId="0" fontId="13" fillId="37" borderId="15" xfId="0" applyFont="1" applyFill="1" applyBorder="1"/>
    <xf numFmtId="0" fontId="40" fillId="37" borderId="15" xfId="0" applyFont="1" applyFill="1" applyBorder="1"/>
    <xf numFmtId="9" fontId="13" fillId="37" borderId="15" xfId="0" applyNumberFormat="1" applyFont="1" applyFill="1" applyBorder="1"/>
    <xf numFmtId="0" fontId="0" fillId="37" borderId="16" xfId="0" applyFill="1" applyBorder="1"/>
    <xf numFmtId="177" fontId="13" fillId="38" borderId="3" xfId="0" applyNumberFormat="1" applyFont="1" applyFill="1" applyBorder="1"/>
    <xf numFmtId="0" fontId="50" fillId="48" borderId="3" xfId="0" applyFont="1" applyFill="1" applyBorder="1" applyAlignment="1">
      <alignment horizontal="left"/>
    </xf>
    <xf numFmtId="0" fontId="45" fillId="37" borderId="3" xfId="0" applyFont="1" applyFill="1" applyBorder="1" applyAlignment="1">
      <alignment horizontal="center" vertical="center"/>
    </xf>
    <xf numFmtId="0" fontId="46" fillId="0" borderId="6" xfId="0" applyFont="1" applyBorder="1" applyAlignment="1">
      <alignment horizontal="center" vertical="center"/>
    </xf>
    <xf numFmtId="0" fontId="46" fillId="0" borderId="33" xfId="0" applyFont="1" applyBorder="1" applyAlignment="1">
      <alignment horizontal="center" vertical="center"/>
    </xf>
    <xf numFmtId="188" fontId="46" fillId="0" borderId="6" xfId="0" applyNumberFormat="1" applyFont="1" applyBorder="1" applyAlignment="1">
      <alignment horizontal="center" vertical="center"/>
    </xf>
    <xf numFmtId="188" fontId="46" fillId="0" borderId="28" xfId="0" applyNumberFormat="1" applyFont="1" applyBorder="1" applyAlignment="1">
      <alignment horizontal="center" vertical="center"/>
    </xf>
    <xf numFmtId="188" fontId="46" fillId="0" borderId="33" xfId="0" applyNumberFormat="1" applyFont="1" applyBorder="1" applyAlignment="1">
      <alignment horizontal="center" vertical="center"/>
    </xf>
    <xf numFmtId="188" fontId="46" fillId="0" borderId="30" xfId="0" applyNumberFormat="1" applyFont="1" applyBorder="1" applyAlignment="1">
      <alignment horizontal="center" vertical="center"/>
    </xf>
    <xf numFmtId="186" fontId="45" fillId="37" borderId="26" xfId="0" applyNumberFormat="1" applyFont="1" applyFill="1" applyBorder="1" applyAlignment="1">
      <alignment horizontal="center"/>
    </xf>
    <xf numFmtId="186" fontId="45" fillId="37" borderId="28" xfId="0" applyNumberFormat="1" applyFont="1" applyFill="1" applyBorder="1" applyAlignment="1">
      <alignment horizontal="center"/>
    </xf>
    <xf numFmtId="186" fontId="45" fillId="37" borderId="30" xfId="0" applyNumberFormat="1" applyFont="1" applyFill="1" applyBorder="1" applyAlignment="1">
      <alignment horizontal="center"/>
    </xf>
    <xf numFmtId="0" fontId="3" fillId="0" borderId="3" xfId="28"/>
    <xf numFmtId="0" fontId="77" fillId="39" borderId="95" xfId="28" applyFont="1" applyFill="1" applyBorder="1"/>
    <xf numFmtId="0" fontId="77" fillId="40" borderId="93" xfId="28" applyFont="1" applyFill="1" applyBorder="1"/>
    <xf numFmtId="1" fontId="3" fillId="40" borderId="66" xfId="28" applyNumberFormat="1" applyFill="1" applyBorder="1" applyAlignment="1">
      <alignment horizontal="center"/>
    </xf>
    <xf numFmtId="0" fontId="3" fillId="0" borderId="110" xfId="28" applyBorder="1"/>
    <xf numFmtId="0" fontId="3" fillId="0" borderId="65" xfId="28" applyBorder="1"/>
    <xf numFmtId="0" fontId="3" fillId="40" borderId="76" xfId="28" applyFill="1" applyBorder="1" applyAlignment="1">
      <alignment horizontal="center"/>
    </xf>
    <xf numFmtId="0" fontId="3" fillId="0" borderId="63" xfId="28" applyBorder="1"/>
    <xf numFmtId="0" fontId="3" fillId="0" borderId="52" xfId="28" applyBorder="1"/>
    <xf numFmtId="0" fontId="3" fillId="39" borderId="76" xfId="28" applyFill="1" applyBorder="1" applyAlignment="1">
      <alignment horizontal="center"/>
    </xf>
    <xf numFmtId="188" fontId="3" fillId="39" borderId="76" xfId="28" applyNumberFormat="1" applyFill="1" applyBorder="1" applyAlignment="1">
      <alignment horizontal="center" vertical="center"/>
    </xf>
    <xf numFmtId="9" fontId="3" fillId="40" borderId="76" xfId="28" applyNumberFormat="1" applyFill="1" applyBorder="1" applyAlignment="1">
      <alignment horizontal="center"/>
    </xf>
    <xf numFmtId="188" fontId="3" fillId="40" borderId="76" xfId="28" applyNumberFormat="1" applyFill="1" applyBorder="1" applyAlignment="1">
      <alignment horizontal="center" vertical="center"/>
    </xf>
    <xf numFmtId="0" fontId="3" fillId="40" borderId="111" xfId="28" applyFill="1" applyBorder="1" applyAlignment="1">
      <alignment horizontal="center"/>
    </xf>
    <xf numFmtId="0" fontId="3" fillId="0" borderId="77" xfId="28" applyBorder="1"/>
    <xf numFmtId="0" fontId="3" fillId="0" borderId="112" xfId="28" applyBorder="1"/>
    <xf numFmtId="0" fontId="78" fillId="49" borderId="50" xfId="28" applyFont="1" applyFill="1" applyBorder="1" applyAlignment="1">
      <alignment horizontal="center"/>
    </xf>
    <xf numFmtId="0" fontId="78" fillId="49" borderId="83" xfId="28" applyFont="1" applyFill="1" applyBorder="1" applyAlignment="1">
      <alignment horizontal="center"/>
    </xf>
    <xf numFmtId="0" fontId="78" fillId="49" borderId="49" xfId="28" applyFont="1" applyFill="1" applyBorder="1" applyAlignment="1">
      <alignment horizontal="center"/>
    </xf>
    <xf numFmtId="0" fontId="3" fillId="39" borderId="111" xfId="28" applyFill="1" applyBorder="1" applyAlignment="1">
      <alignment horizontal="center"/>
    </xf>
    <xf numFmtId="0" fontId="3" fillId="39" borderId="66" xfId="28" applyFill="1" applyBorder="1" applyAlignment="1">
      <alignment horizontal="center"/>
    </xf>
    <xf numFmtId="167" fontId="46" fillId="2" borderId="15" xfId="0" applyNumberFormat="1" applyFont="1" applyFill="1" applyBorder="1"/>
    <xf numFmtId="189" fontId="7" fillId="0" borderId="3" xfId="3" applyNumberFormat="1" applyFont="1" applyBorder="1"/>
    <xf numFmtId="9" fontId="11" fillId="0" borderId="3" xfId="2" applyFont="1" applyBorder="1"/>
    <xf numFmtId="180" fontId="11" fillId="0" borderId="3" xfId="2" applyNumberFormat="1" applyFont="1" applyBorder="1"/>
    <xf numFmtId="176" fontId="0" fillId="0" borderId="0" xfId="0" applyNumberFormat="1"/>
    <xf numFmtId="183" fontId="45" fillId="8" borderId="81" xfId="0" applyNumberFormat="1" applyFont="1" applyFill="1" applyBorder="1"/>
    <xf numFmtId="183" fontId="0" fillId="0" borderId="0" xfId="0" applyNumberFormat="1"/>
    <xf numFmtId="9" fontId="0" fillId="0" borderId="0" xfId="2" applyFont="1"/>
    <xf numFmtId="183" fontId="45" fillId="8" borderId="3" xfId="0" applyNumberFormat="1" applyFont="1" applyFill="1" applyBorder="1"/>
    <xf numFmtId="0" fontId="45" fillId="8" borderId="3" xfId="0" applyFont="1" applyFill="1" applyBorder="1"/>
    <xf numFmtId="184" fontId="0" fillId="0" borderId="0" xfId="3" applyNumberFormat="1" applyFont="1"/>
    <xf numFmtId="0" fontId="2" fillId="0" borderId="14" xfId="14" applyFont="1" applyBorder="1" applyAlignment="1">
      <alignment horizontal="left"/>
    </xf>
    <xf numFmtId="0" fontId="0" fillId="40" borderId="6" xfId="0" applyFill="1" applyBorder="1"/>
    <xf numFmtId="0" fontId="21" fillId="40" borderId="6" xfId="0" applyFont="1" applyFill="1" applyBorder="1"/>
    <xf numFmtId="3" fontId="0" fillId="0" borderId="6" xfId="0" applyNumberFormat="1" applyBorder="1"/>
    <xf numFmtId="189" fontId="35" fillId="8" borderId="0" xfId="3" applyNumberFormat="1" applyFont="1" applyFill="1"/>
    <xf numFmtId="184" fontId="46" fillId="38" borderId="15" xfId="0" applyNumberFormat="1" applyFont="1" applyFill="1" applyBorder="1"/>
    <xf numFmtId="1" fontId="80" fillId="0" borderId="6" xfId="19" applyNumberFormat="1" applyFont="1" applyBorder="1" applyAlignment="1">
      <alignment horizontal="center"/>
    </xf>
    <xf numFmtId="0" fontId="46" fillId="36" borderId="10" xfId="0" applyFont="1" applyFill="1" applyBorder="1" applyAlignment="1">
      <alignment vertical="center"/>
    </xf>
    <xf numFmtId="0" fontId="44" fillId="45" borderId="108" xfId="0" applyFont="1" applyFill="1" applyBorder="1" applyAlignment="1">
      <alignment horizontal="center" vertical="center"/>
    </xf>
    <xf numFmtId="0" fontId="44" fillId="45" borderId="109" xfId="0" applyFont="1" applyFill="1" applyBorder="1" applyAlignment="1">
      <alignment horizontal="center" vertical="center"/>
    </xf>
    <xf numFmtId="0" fontId="23" fillId="0" borderId="40" xfId="8" applyFont="1" applyBorder="1" applyAlignment="1">
      <alignment horizontal="center"/>
    </xf>
    <xf numFmtId="0" fontId="23" fillId="0" borderId="41" xfId="8" applyFont="1" applyBorder="1" applyAlignment="1">
      <alignment horizontal="center"/>
    </xf>
    <xf numFmtId="0" fontId="64" fillId="4" borderId="90" xfId="0" applyFont="1" applyFill="1" applyBorder="1"/>
    <xf numFmtId="9" fontId="62" fillId="16" borderId="3" xfId="2" applyFont="1" applyFill="1" applyBorder="1"/>
    <xf numFmtId="0" fontId="63" fillId="45" borderId="9" xfId="0" applyFont="1" applyFill="1" applyBorder="1" applyAlignment="1">
      <alignment horizontal="right"/>
    </xf>
    <xf numFmtId="176" fontId="0" fillId="0" borderId="0" xfId="3" applyNumberFormat="1" applyFont="1"/>
    <xf numFmtId="0" fontId="0" fillId="11" borderId="35" xfId="0" applyFill="1" applyBorder="1"/>
    <xf numFmtId="0" fontId="21" fillId="0" borderId="35" xfId="0" applyFont="1" applyBorder="1"/>
    <xf numFmtId="0" fontId="0" fillId="11" borderId="45" xfId="0" applyFill="1" applyBorder="1"/>
    <xf numFmtId="0" fontId="21" fillId="0" borderId="45" xfId="0" applyFont="1" applyBorder="1"/>
    <xf numFmtId="169" fontId="0" fillId="0" borderId="6" xfId="0" applyNumberFormat="1" applyBorder="1"/>
    <xf numFmtId="164" fontId="0" fillId="0" borderId="3" xfId="3" applyFont="1" applyBorder="1"/>
    <xf numFmtId="164" fontId="0" fillId="0" borderId="0" xfId="3" applyFont="1"/>
    <xf numFmtId="0" fontId="13" fillId="0" borderId="6" xfId="0" applyFont="1" applyBorder="1" applyAlignment="1">
      <alignment horizontal="right" vertical="center" wrapText="1"/>
    </xf>
    <xf numFmtId="166" fontId="13" fillId="0" borderId="6" xfId="0" applyNumberFormat="1" applyFont="1" applyBorder="1" applyAlignment="1">
      <alignment horizontal="right" vertical="center" wrapText="1"/>
    </xf>
    <xf numFmtId="186" fontId="0" fillId="0" borderId="6" xfId="3" applyNumberFormat="1" applyFont="1" applyBorder="1"/>
    <xf numFmtId="184" fontId="0" fillId="0" borderId="6" xfId="3" applyNumberFormat="1" applyFont="1" applyBorder="1"/>
    <xf numFmtId="0" fontId="23" fillId="24" borderId="6" xfId="0" applyFont="1" applyFill="1" applyBorder="1"/>
    <xf numFmtId="166" fontId="13" fillId="0" borderId="6" xfId="0" applyNumberFormat="1" applyFont="1" applyBorder="1" applyAlignment="1">
      <alignment horizontal="right" wrapText="1"/>
    </xf>
    <xf numFmtId="198" fontId="0" fillId="0" borderId="6" xfId="3" applyNumberFormat="1" applyFont="1" applyBorder="1"/>
    <xf numFmtId="0" fontId="23" fillId="0" borderId="6" xfId="0" applyFont="1" applyBorder="1" applyAlignment="1">
      <alignment wrapText="1"/>
    </xf>
    <xf numFmtId="9" fontId="0" fillId="0" borderId="6" xfId="2" applyFont="1" applyBorder="1"/>
    <xf numFmtId="166" fontId="13" fillId="0" borderId="3" xfId="0" applyNumberFormat="1" applyFont="1" applyBorder="1" applyAlignment="1">
      <alignment horizontal="right" wrapText="1"/>
    </xf>
    <xf numFmtId="166" fontId="13" fillId="0" borderId="3" xfId="0" applyNumberFormat="1" applyFont="1" applyBorder="1" applyAlignment="1">
      <alignment horizontal="right" vertical="center" wrapText="1"/>
    </xf>
    <xf numFmtId="0" fontId="13" fillId="0" borderId="3" xfId="0" applyFont="1" applyBorder="1" applyAlignment="1">
      <alignment horizontal="right" vertical="center" wrapText="1"/>
    </xf>
    <xf numFmtId="186" fontId="0" fillId="0" borderId="3" xfId="3" applyNumberFormat="1" applyFont="1" applyBorder="1"/>
    <xf numFmtId="198" fontId="0" fillId="0" borderId="3" xfId="3" applyNumberFormat="1" applyFont="1" applyBorder="1"/>
    <xf numFmtId="9" fontId="0" fillId="0" borderId="3" xfId="2" applyFont="1" applyBorder="1"/>
    <xf numFmtId="0" fontId="23" fillId="0" borderId="3" xfId="0" applyFont="1" applyBorder="1"/>
    <xf numFmtId="0" fontId="23" fillId="24" borderId="6" xfId="0" applyFont="1" applyFill="1" applyBorder="1" applyAlignment="1">
      <alignment wrapText="1"/>
    </xf>
    <xf numFmtId="0" fontId="23" fillId="55" borderId="6" xfId="0" applyFont="1" applyFill="1" applyBorder="1" applyAlignment="1">
      <alignment wrapText="1"/>
    </xf>
    <xf numFmtId="0" fontId="23" fillId="55" borderId="6" xfId="0" applyFont="1" applyFill="1" applyBorder="1"/>
    <xf numFmtId="186" fontId="83" fillId="56" borderId="6" xfId="3" applyNumberFormat="1" applyFont="1" applyFill="1" applyBorder="1"/>
    <xf numFmtId="9" fontId="83" fillId="56" borderId="6" xfId="2" applyFont="1" applyFill="1" applyBorder="1"/>
    <xf numFmtId="165" fontId="13" fillId="0" borderId="6" xfId="0" applyNumberFormat="1" applyFont="1" applyBorder="1" applyAlignment="1">
      <alignment horizontal="right" vertical="center" wrapText="1"/>
    </xf>
    <xf numFmtId="0" fontId="82" fillId="54" borderId="6" xfId="29" applyBorder="1"/>
    <xf numFmtId="0" fontId="21" fillId="0" borderId="6" xfId="0" applyFont="1" applyBorder="1" applyAlignment="1">
      <alignment wrapText="1"/>
    </xf>
    <xf numFmtId="165" fontId="81" fillId="53" borderId="6" xfId="0" applyNumberFormat="1" applyFont="1" applyFill="1" applyBorder="1" applyAlignment="1">
      <alignment horizontal="right" vertical="center" wrapText="1"/>
    </xf>
    <xf numFmtId="176" fontId="0" fillId="0" borderId="6" xfId="3" applyNumberFormat="1" applyFont="1" applyBorder="1"/>
    <xf numFmtId="9" fontId="0" fillId="0" borderId="0" xfId="2" applyFont="1" applyFill="1" applyAlignment="1"/>
    <xf numFmtId="0" fontId="23" fillId="0" borderId="6" xfId="0" applyFont="1" applyBorder="1" applyAlignment="1">
      <alignment horizontal="right"/>
    </xf>
    <xf numFmtId="10" fontId="23" fillId="0" borderId="6" xfId="2" applyNumberFormat="1" applyFont="1" applyBorder="1"/>
    <xf numFmtId="184" fontId="21" fillId="0" borderId="6" xfId="0" applyNumberFormat="1" applyFont="1" applyBorder="1"/>
    <xf numFmtId="184" fontId="0" fillId="0" borderId="6" xfId="3" applyNumberFormat="1" applyFont="1" applyFill="1" applyBorder="1"/>
    <xf numFmtId="184" fontId="0" fillId="0" borderId="6" xfId="0" applyNumberFormat="1" applyBorder="1"/>
    <xf numFmtId="0" fontId="64" fillId="15" borderId="3" xfId="0" applyFont="1" applyFill="1" applyBorder="1"/>
    <xf numFmtId="2" fontId="62" fillId="16" borderId="3" xfId="0" applyNumberFormat="1" applyFont="1" applyFill="1" applyBorder="1" applyAlignment="1">
      <alignment horizontal="center"/>
    </xf>
    <xf numFmtId="0" fontId="46" fillId="0" borderId="15" xfId="0" applyFont="1" applyBorder="1"/>
    <xf numFmtId="176" fontId="46" fillId="8" borderId="3" xfId="0" applyNumberFormat="1" applyFont="1" applyFill="1" applyBorder="1"/>
    <xf numFmtId="0" fontId="46" fillId="0" borderId="18" xfId="0" applyFont="1" applyBorder="1"/>
    <xf numFmtId="193" fontId="62" fillId="36" borderId="90" xfId="0" applyNumberFormat="1" applyFont="1" applyFill="1" applyBorder="1" applyAlignment="1">
      <alignment vertical="center"/>
    </xf>
    <xf numFmtId="0" fontId="45" fillId="8" borderId="3" xfId="0" applyFont="1" applyFill="1" applyBorder="1" applyAlignment="1">
      <alignment horizontal="center" vertical="center"/>
    </xf>
    <xf numFmtId="0" fontId="0" fillId="32" borderId="0" xfId="0" applyFill="1"/>
    <xf numFmtId="0" fontId="13" fillId="32" borderId="0" xfId="0" applyFont="1" applyFill="1"/>
    <xf numFmtId="0" fontId="40" fillId="32" borderId="0" xfId="0" applyFont="1" applyFill="1"/>
    <xf numFmtId="9" fontId="13" fillId="32" borderId="0" xfId="0" applyNumberFormat="1" applyFont="1" applyFill="1"/>
    <xf numFmtId="0" fontId="13" fillId="8" borderId="11" xfId="0" applyFont="1" applyFill="1" applyBorder="1"/>
    <xf numFmtId="0" fontId="13" fillId="8" borderId="12" xfId="0" applyFont="1" applyFill="1" applyBorder="1"/>
    <xf numFmtId="0" fontId="13" fillId="8" borderId="13" xfId="0" applyFont="1" applyFill="1" applyBorder="1"/>
    <xf numFmtId="0" fontId="13" fillId="8" borderId="14" xfId="0" applyFont="1" applyFill="1" applyBorder="1"/>
    <xf numFmtId="0" fontId="61" fillId="8" borderId="3" xfId="0" applyFont="1" applyFill="1" applyBorder="1"/>
    <xf numFmtId="0" fontId="50" fillId="8" borderId="3" xfId="0" applyFont="1" applyFill="1" applyBorder="1" applyAlignment="1">
      <alignment horizontal="left"/>
    </xf>
    <xf numFmtId="0" fontId="13" fillId="8" borderId="15" xfId="0" applyFont="1" applyFill="1" applyBorder="1"/>
    <xf numFmtId="0" fontId="46" fillId="8" borderId="7" xfId="0" applyFont="1" applyFill="1" applyBorder="1" applyAlignment="1">
      <alignment vertical="center"/>
    </xf>
    <xf numFmtId="0" fontId="13" fillId="8" borderId="8" xfId="0" applyFont="1" applyFill="1" applyBorder="1" applyAlignment="1">
      <alignment horizontal="center" vertical="center"/>
    </xf>
    <xf numFmtId="0" fontId="31" fillId="8" borderId="8" xfId="0" applyFont="1" applyFill="1" applyBorder="1" applyAlignment="1">
      <alignment horizontal="center" vertical="center"/>
    </xf>
    <xf numFmtId="177" fontId="13" fillId="8" borderId="15" xfId="3" applyNumberFormat="1" applyFont="1" applyFill="1" applyBorder="1"/>
    <xf numFmtId="1" fontId="13" fillId="8" borderId="8" xfId="0" applyNumberFormat="1" applyFont="1" applyFill="1" applyBorder="1" applyAlignment="1">
      <alignment horizontal="center" vertical="center"/>
    </xf>
    <xf numFmtId="177" fontId="13" fillId="8" borderId="15" xfId="0" applyNumberFormat="1" applyFont="1" applyFill="1" applyBorder="1"/>
    <xf numFmtId="9" fontId="13" fillId="8" borderId="8" xfId="0" applyNumberFormat="1" applyFont="1" applyFill="1" applyBorder="1" applyAlignment="1">
      <alignment horizontal="center" vertical="center"/>
    </xf>
    <xf numFmtId="188" fontId="13" fillId="8" borderId="8" xfId="10" applyNumberFormat="1" applyFont="1" applyFill="1" applyBorder="1" applyAlignment="1">
      <alignment horizontal="center" vertical="center"/>
    </xf>
    <xf numFmtId="0" fontId="46" fillId="8" borderId="22" xfId="0" applyFont="1" applyFill="1" applyBorder="1" applyAlignment="1">
      <alignment vertical="center"/>
    </xf>
    <xf numFmtId="188" fontId="13" fillId="8" borderId="24" xfId="10" applyNumberFormat="1" applyFont="1" applyFill="1" applyBorder="1" applyAlignment="1">
      <alignment horizontal="center" vertical="center"/>
    </xf>
    <xf numFmtId="0" fontId="31" fillId="8" borderId="10" xfId="0" applyFont="1" applyFill="1" applyBorder="1" applyAlignment="1">
      <alignment horizontal="center" vertical="center"/>
    </xf>
    <xf numFmtId="0" fontId="46" fillId="8" borderId="29" xfId="0" applyFont="1" applyFill="1" applyBorder="1" applyAlignment="1">
      <alignment vertical="center"/>
    </xf>
    <xf numFmtId="188" fontId="13" fillId="8" borderId="30" xfId="0" applyNumberFormat="1" applyFont="1" applyFill="1" applyBorder="1" applyAlignment="1">
      <alignment horizontal="center" vertical="center"/>
    </xf>
    <xf numFmtId="0" fontId="44" fillId="8" borderId="20" xfId="0" applyFont="1" applyFill="1" applyBorder="1" applyAlignment="1">
      <alignment horizontal="right"/>
    </xf>
    <xf numFmtId="186" fontId="13" fillId="8" borderId="21" xfId="0" applyNumberFormat="1" applyFont="1" applyFill="1" applyBorder="1"/>
    <xf numFmtId="0" fontId="21" fillId="8" borderId="3" xfId="0" applyFont="1" applyFill="1" applyBorder="1"/>
    <xf numFmtId="0" fontId="44" fillId="8" borderId="22" xfId="0" applyFont="1" applyFill="1" applyBorder="1" applyAlignment="1">
      <alignment horizontal="right"/>
    </xf>
    <xf numFmtId="186" fontId="13" fillId="8" borderId="24" xfId="0" applyNumberFormat="1" applyFont="1" applyFill="1" applyBorder="1"/>
    <xf numFmtId="0" fontId="44" fillId="8" borderId="29" xfId="0" applyFont="1" applyFill="1" applyBorder="1" applyAlignment="1">
      <alignment horizontal="right"/>
    </xf>
    <xf numFmtId="186" fontId="13" fillId="8" borderId="30" xfId="0" applyNumberFormat="1" applyFont="1" applyFill="1" applyBorder="1"/>
    <xf numFmtId="178" fontId="13" fillId="8" borderId="15" xfId="0" applyNumberFormat="1" applyFont="1" applyFill="1" applyBorder="1"/>
    <xf numFmtId="176" fontId="13" fillId="8" borderId="15" xfId="0" applyNumberFormat="1" applyFont="1" applyFill="1" applyBorder="1"/>
    <xf numFmtId="4" fontId="13" fillId="8" borderId="15" xfId="0" applyNumberFormat="1" applyFont="1" applyFill="1" applyBorder="1"/>
    <xf numFmtId="0" fontId="48" fillId="8" borderId="0" xfId="0" applyFont="1" applyFill="1"/>
    <xf numFmtId="0" fontId="0" fillId="8" borderId="16" xfId="0" applyFill="1" applyBorder="1"/>
    <xf numFmtId="0" fontId="0" fillId="8" borderId="17" xfId="0" applyFill="1" applyBorder="1"/>
    <xf numFmtId="0" fontId="0" fillId="8" borderId="18" xfId="0" applyFill="1" applyBorder="1"/>
    <xf numFmtId="0" fontId="43" fillId="57" borderId="20" xfId="0" applyFont="1" applyFill="1" applyBorder="1" applyAlignment="1">
      <alignment horizontal="center"/>
    </xf>
    <xf numFmtId="0" fontId="43" fillId="57" borderId="21" xfId="0" applyFont="1" applyFill="1" applyBorder="1" applyAlignment="1">
      <alignment horizontal="center"/>
    </xf>
    <xf numFmtId="184" fontId="18" fillId="8" borderId="6" xfId="3" applyNumberFormat="1" applyFont="1" applyFill="1" applyBorder="1"/>
    <xf numFmtId="0" fontId="18" fillId="8" borderId="3" xfId="0" applyFont="1" applyFill="1" applyBorder="1"/>
    <xf numFmtId="169" fontId="85" fillId="9" borderId="3" xfId="10" applyFont="1" applyFill="1" applyBorder="1"/>
    <xf numFmtId="165" fontId="13" fillId="0" borderId="3" xfId="0" applyNumberFormat="1" applyFont="1" applyBorder="1" applyAlignment="1">
      <alignment horizontal="right" wrapText="1"/>
    </xf>
    <xf numFmtId="169" fontId="0" fillId="0" borderId="0" xfId="10" applyFont="1" applyFill="1" applyAlignment="1"/>
    <xf numFmtId="178" fontId="21" fillId="0" borderId="3" xfId="0" applyNumberFormat="1" applyFont="1" applyBorder="1"/>
    <xf numFmtId="0" fontId="13" fillId="0" borderId="3" xfId="0" applyFont="1" applyBorder="1" applyAlignment="1">
      <alignment horizontal="left" vertical="center" wrapText="1"/>
    </xf>
    <xf numFmtId="178" fontId="23" fillId="0" borderId="3" xfId="0" applyNumberFormat="1" applyFont="1" applyBorder="1"/>
    <xf numFmtId="0" fontId="21" fillId="0" borderId="3" xfId="0" applyFont="1" applyBorder="1" applyAlignment="1">
      <alignment wrapText="1"/>
    </xf>
    <xf numFmtId="0" fontId="13" fillId="0" borderId="3" xfId="30" applyFont="1"/>
    <xf numFmtId="0" fontId="21" fillId="0" borderId="3" xfId="30"/>
    <xf numFmtId="0" fontId="13" fillId="0" borderId="1" xfId="30" applyFont="1" applyBorder="1"/>
    <xf numFmtId="0" fontId="13" fillId="0" borderId="72" xfId="30" applyFont="1" applyBorder="1"/>
    <xf numFmtId="0" fontId="13" fillId="0" borderId="54" xfId="30" applyFont="1" applyBorder="1"/>
    <xf numFmtId="0" fontId="13" fillId="0" borderId="6" xfId="30" applyFont="1" applyBorder="1"/>
    <xf numFmtId="0" fontId="13" fillId="0" borderId="54" xfId="30" applyFont="1" applyBorder="1" applyAlignment="1">
      <alignment wrapText="1"/>
    </xf>
    <xf numFmtId="0" fontId="13" fillId="0" borderId="4" xfId="30" applyFont="1" applyBorder="1"/>
    <xf numFmtId="0" fontId="13" fillId="0" borderId="51" xfId="30" applyFont="1" applyBorder="1"/>
    <xf numFmtId="0" fontId="13" fillId="0" borderId="56" xfId="30" applyFont="1" applyBorder="1" applyAlignment="1">
      <alignment vertical="center"/>
    </xf>
    <xf numFmtId="0" fontId="13" fillId="0" borderId="56" xfId="30" applyFont="1" applyBorder="1" applyAlignment="1">
      <alignment wrapText="1"/>
    </xf>
    <xf numFmtId="0" fontId="13" fillId="0" borderId="78" xfId="30" applyFont="1" applyBorder="1"/>
    <xf numFmtId="0" fontId="13" fillId="0" borderId="58" xfId="30" applyFont="1" applyBorder="1"/>
    <xf numFmtId="0" fontId="13" fillId="0" borderId="57" xfId="30" applyFont="1" applyBorder="1" applyAlignment="1">
      <alignment vertical="center" wrapText="1"/>
    </xf>
    <xf numFmtId="0" fontId="14" fillId="3" borderId="1" xfId="30" applyFont="1" applyFill="1" applyBorder="1"/>
    <xf numFmtId="0" fontId="14" fillId="0" borderId="3" xfId="30" applyFont="1"/>
    <xf numFmtId="0" fontId="13" fillId="0" borderId="57" xfId="30" applyFont="1" applyBorder="1" applyAlignment="1">
      <alignment wrapText="1"/>
    </xf>
    <xf numFmtId="0" fontId="14" fillId="0" borderId="4" xfId="30" applyFont="1" applyBorder="1" applyAlignment="1">
      <alignment horizontal="center" vertical="center" wrapText="1"/>
    </xf>
    <xf numFmtId="0" fontId="14" fillId="0" borderId="1" xfId="30" applyFont="1" applyBorder="1" applyAlignment="1">
      <alignment horizontal="center" vertical="center" wrapText="1"/>
    </xf>
    <xf numFmtId="0" fontId="14" fillId="0" borderId="38" xfId="30" applyFont="1" applyBorder="1" applyAlignment="1">
      <alignment horizontal="center" vertical="center" wrapText="1"/>
    </xf>
    <xf numFmtId="170" fontId="14" fillId="0" borderId="38" xfId="30" applyNumberFormat="1" applyFont="1" applyBorder="1" applyAlignment="1">
      <alignment horizontal="center" vertical="center" wrapText="1"/>
    </xf>
    <xf numFmtId="0" fontId="16" fillId="0" borderId="4" xfId="30" applyFont="1" applyBorder="1" applyAlignment="1">
      <alignment wrapText="1"/>
    </xf>
    <xf numFmtId="0" fontId="13" fillId="0" borderId="1" xfId="30" applyFont="1" applyBorder="1" applyAlignment="1">
      <alignment horizontal="center"/>
    </xf>
    <xf numFmtId="10" fontId="16" fillId="0" borderId="1" xfId="30" applyNumberFormat="1" applyFont="1" applyBorder="1" applyAlignment="1">
      <alignment horizontal="center"/>
    </xf>
    <xf numFmtId="0" fontId="16" fillId="0" borderId="2" xfId="30" applyFont="1" applyBorder="1" applyAlignment="1">
      <alignment horizontal="center"/>
    </xf>
    <xf numFmtId="172" fontId="16" fillId="0" borderId="2" xfId="30" applyNumberFormat="1" applyFont="1" applyBorder="1" applyAlignment="1">
      <alignment horizontal="center"/>
    </xf>
    <xf numFmtId="197" fontId="13" fillId="0" borderId="58" xfId="30" applyNumberFormat="1" applyFont="1" applyBorder="1" applyAlignment="1">
      <alignment horizontal="center"/>
    </xf>
    <xf numFmtId="168" fontId="13" fillId="0" borderId="75" xfId="30" applyNumberFormat="1" applyFont="1" applyBorder="1"/>
    <xf numFmtId="0" fontId="16" fillId="0" borderId="78" xfId="30" applyFont="1" applyBorder="1" applyAlignment="1">
      <alignment wrapText="1"/>
    </xf>
    <xf numFmtId="0" fontId="13" fillId="0" borderId="2" xfId="30" applyFont="1" applyBorder="1" applyAlignment="1">
      <alignment horizontal="center"/>
    </xf>
    <xf numFmtId="10" fontId="16" fillId="0" borderId="2" xfId="30" applyNumberFormat="1" applyFont="1" applyBorder="1" applyAlignment="1">
      <alignment horizontal="center"/>
    </xf>
    <xf numFmtId="0" fontId="13" fillId="0" borderId="4" xfId="30" applyFont="1" applyBorder="1" applyAlignment="1">
      <alignment wrapText="1"/>
    </xf>
    <xf numFmtId="0" fontId="16" fillId="0" borderId="5" xfId="30" applyFont="1" applyBorder="1" applyAlignment="1">
      <alignment horizontal="center"/>
    </xf>
    <xf numFmtId="0" fontId="13" fillId="0" borderId="78" xfId="30" applyFont="1" applyBorder="1" applyAlignment="1">
      <alignment wrapText="1"/>
    </xf>
    <xf numFmtId="0" fontId="16" fillId="0" borderId="1" xfId="30" applyFont="1" applyBorder="1" applyAlignment="1">
      <alignment horizontal="center"/>
    </xf>
    <xf numFmtId="0" fontId="16" fillId="0" borderId="1" xfId="30" applyFont="1" applyBorder="1" applyAlignment="1">
      <alignment wrapText="1"/>
    </xf>
    <xf numFmtId="172" fontId="16" fillId="31" borderId="2" xfId="30" applyNumberFormat="1" applyFont="1" applyFill="1" applyBorder="1" applyAlignment="1">
      <alignment horizontal="center"/>
    </xf>
    <xf numFmtId="0" fontId="84" fillId="0" borderId="3" xfId="30" applyFont="1"/>
    <xf numFmtId="0" fontId="14" fillId="4" borderId="1" xfId="30" applyFont="1" applyFill="1" applyBorder="1" applyAlignment="1">
      <alignment wrapText="1"/>
    </xf>
    <xf numFmtId="0" fontId="29" fillId="0" borderId="3" xfId="30" applyFont="1"/>
    <xf numFmtId="0" fontId="14" fillId="0" borderId="2" xfId="30" applyFont="1" applyBorder="1" applyAlignment="1">
      <alignment horizontal="center" vertical="center" wrapText="1"/>
    </xf>
    <xf numFmtId="0" fontId="14" fillId="0" borderId="58" xfId="30" applyFont="1" applyBorder="1" applyAlignment="1">
      <alignment horizontal="center" vertical="center" wrapText="1"/>
    </xf>
    <xf numFmtId="0" fontId="14" fillId="0" borderId="35" xfId="30" applyFont="1" applyBorder="1" applyAlignment="1">
      <alignment horizontal="center" vertical="center" wrapText="1"/>
    </xf>
    <xf numFmtId="0" fontId="14" fillId="0" borderId="3" xfId="30" applyFont="1" applyAlignment="1">
      <alignment horizontal="center" vertical="center" wrapText="1"/>
    </xf>
    <xf numFmtId="0" fontId="13" fillId="50" borderId="1" xfId="30" applyFont="1" applyFill="1" applyBorder="1" applyAlignment="1">
      <alignment wrapText="1"/>
    </xf>
    <xf numFmtId="3" fontId="13" fillId="50" borderId="6" xfId="30" applyNumberFormat="1" applyFont="1" applyFill="1" applyBorder="1" applyAlignment="1">
      <alignment horizontal="center"/>
    </xf>
    <xf numFmtId="0" fontId="13" fillId="50" borderId="51" xfId="30" applyFont="1" applyFill="1" applyBorder="1" applyAlignment="1">
      <alignment horizontal="center"/>
    </xf>
    <xf numFmtId="0" fontId="13" fillId="50" borderId="6" xfId="30" applyFont="1" applyFill="1" applyBorder="1" applyAlignment="1">
      <alignment horizontal="center"/>
    </xf>
    <xf numFmtId="0" fontId="13" fillId="50" borderId="6" xfId="30" applyFont="1" applyFill="1" applyBorder="1" applyAlignment="1">
      <alignment horizontal="left"/>
    </xf>
    <xf numFmtId="0" fontId="13" fillId="50" borderId="6" xfId="30" applyFont="1" applyFill="1" applyBorder="1" applyAlignment="1">
      <alignment horizontal="center" vertical="center" wrapText="1"/>
    </xf>
    <xf numFmtId="9" fontId="13" fillId="50" borderId="6" xfId="30" applyNumberFormat="1" applyFont="1" applyFill="1" applyBorder="1" applyAlignment="1">
      <alignment horizontal="center"/>
    </xf>
    <xf numFmtId="172" fontId="13" fillId="50" borderId="6" xfId="30" applyNumberFormat="1" applyFont="1" applyFill="1" applyBorder="1"/>
    <xf numFmtId="0" fontId="13" fillId="50" borderId="6" xfId="30" applyFont="1" applyFill="1" applyBorder="1"/>
    <xf numFmtId="0" fontId="13" fillId="50" borderId="3" xfId="30" applyFont="1" applyFill="1"/>
    <xf numFmtId="0" fontId="21" fillId="50" borderId="3" xfId="30" applyFill="1"/>
    <xf numFmtId="0" fontId="13" fillId="50" borderId="1" xfId="30" applyFont="1" applyFill="1" applyBorder="1" applyAlignment="1">
      <alignment horizontal="center"/>
    </xf>
    <xf numFmtId="172" fontId="13" fillId="8" borderId="6" xfId="30" applyNumberFormat="1" applyFont="1" applyFill="1" applyBorder="1"/>
    <xf numFmtId="0" fontId="13" fillId="8" borderId="6" xfId="30" applyFont="1" applyFill="1" applyBorder="1"/>
    <xf numFmtId="3" fontId="13" fillId="8" borderId="6" xfId="30" applyNumberFormat="1" applyFont="1" applyFill="1" applyBorder="1" applyAlignment="1">
      <alignment horizontal="center"/>
    </xf>
    <xf numFmtId="0" fontId="13" fillId="8" borderId="6" xfId="30" applyFont="1" applyFill="1" applyBorder="1" applyAlignment="1">
      <alignment horizontal="center"/>
    </xf>
    <xf numFmtId="0" fontId="13" fillId="8" borderId="6" xfId="30" applyFont="1" applyFill="1" applyBorder="1" applyAlignment="1">
      <alignment horizontal="left"/>
    </xf>
    <xf numFmtId="0" fontId="13" fillId="8" borderId="6" xfId="30" applyFont="1" applyFill="1" applyBorder="1" applyAlignment="1">
      <alignment horizontal="center" vertical="center" wrapText="1"/>
    </xf>
    <xf numFmtId="9" fontId="13" fillId="8" borderId="6" xfId="30" applyNumberFormat="1" applyFont="1" applyFill="1" applyBorder="1" applyAlignment="1">
      <alignment horizontal="center"/>
    </xf>
    <xf numFmtId="0" fontId="13" fillId="8" borderId="3" xfId="30" applyFont="1" applyFill="1"/>
    <xf numFmtId="0" fontId="21" fillId="8" borderId="3" xfId="30" applyFill="1"/>
    <xf numFmtId="0" fontId="13" fillId="50" borderId="6" xfId="30" applyFont="1" applyFill="1" applyBorder="1" applyAlignment="1">
      <alignment wrapText="1"/>
    </xf>
    <xf numFmtId="0" fontId="13" fillId="0" borderId="6" xfId="30" applyFont="1" applyBorder="1" applyAlignment="1">
      <alignment wrapText="1"/>
    </xf>
    <xf numFmtId="3" fontId="13" fillId="0" borderId="6" xfId="30" applyNumberFormat="1" applyFont="1" applyBorder="1" applyAlignment="1">
      <alignment horizontal="center"/>
    </xf>
    <xf numFmtId="0" fontId="13" fillId="0" borderId="6" xfId="30" applyFont="1" applyBorder="1" applyAlignment="1">
      <alignment horizontal="center"/>
    </xf>
    <xf numFmtId="0" fontId="13" fillId="0" borderId="6" xfId="30" applyFont="1" applyBorder="1" applyAlignment="1">
      <alignment horizontal="left"/>
    </xf>
    <xf numFmtId="0" fontId="13" fillId="0" borderId="6" xfId="30" applyFont="1" applyBorder="1" applyAlignment="1">
      <alignment horizontal="center" vertical="center" wrapText="1"/>
    </xf>
    <xf numFmtId="9" fontId="13" fillId="0" borderId="6" xfId="30" applyNumberFormat="1" applyFont="1" applyBorder="1" applyAlignment="1">
      <alignment horizontal="center"/>
    </xf>
    <xf numFmtId="172" fontId="13" fillId="0" borderId="6" xfId="30" applyNumberFormat="1" applyFont="1" applyBorder="1"/>
    <xf numFmtId="0" fontId="13" fillId="8" borderId="6" xfId="30" applyFont="1" applyFill="1" applyBorder="1" applyAlignment="1">
      <alignment wrapText="1"/>
    </xf>
    <xf numFmtId="0" fontId="13" fillId="8" borderId="75" xfId="30" applyFont="1" applyFill="1" applyBorder="1" applyAlignment="1">
      <alignment horizontal="center"/>
    </xf>
    <xf numFmtId="0" fontId="13" fillId="50" borderId="75" xfId="30" applyFont="1" applyFill="1" applyBorder="1" applyAlignment="1">
      <alignment horizontal="center"/>
    </xf>
    <xf numFmtId="0" fontId="13" fillId="0" borderId="75" xfId="30" applyFont="1" applyBorder="1" applyAlignment="1">
      <alignment horizontal="center"/>
    </xf>
    <xf numFmtId="0" fontId="13" fillId="0" borderId="51" xfId="30" applyFont="1" applyBorder="1" applyAlignment="1">
      <alignment horizontal="center"/>
    </xf>
    <xf numFmtId="0" fontId="13" fillId="0" borderId="1" xfId="30" applyFont="1" applyBorder="1" applyAlignment="1">
      <alignment wrapText="1"/>
    </xf>
    <xf numFmtId="0" fontId="13" fillId="0" borderId="51" xfId="30" applyFont="1" applyBorder="1" applyAlignment="1">
      <alignment horizontal="center" vertical="center" wrapText="1"/>
    </xf>
    <xf numFmtId="0" fontId="13" fillId="0" borderId="6" xfId="30" applyFont="1" applyBorder="1" applyAlignment="1">
      <alignment vertical="center" wrapText="1"/>
    </xf>
    <xf numFmtId="0" fontId="14" fillId="0" borderId="6" xfId="30" applyFont="1" applyBorder="1" applyAlignment="1">
      <alignment vertical="center" wrapText="1"/>
    </xf>
    <xf numFmtId="0" fontId="13" fillId="0" borderId="3" xfId="30" applyFont="1" applyAlignment="1">
      <alignment wrapText="1"/>
    </xf>
    <xf numFmtId="3" fontId="13" fillId="0" borderId="3" xfId="30" applyNumberFormat="1" applyFont="1" applyAlignment="1">
      <alignment horizontal="center"/>
    </xf>
    <xf numFmtId="0" fontId="13" fillId="0" borderId="3" xfId="30" applyFont="1" applyAlignment="1">
      <alignment horizontal="center"/>
    </xf>
    <xf numFmtId="0" fontId="13" fillId="0" borderId="3" xfId="30" applyFont="1" applyAlignment="1">
      <alignment horizontal="center" vertical="center" wrapText="1"/>
    </xf>
    <xf numFmtId="9" fontId="13" fillId="0" borderId="3" xfId="30" applyNumberFormat="1" applyFont="1" applyAlignment="1">
      <alignment horizontal="center"/>
    </xf>
    <xf numFmtId="172" fontId="13" fillId="0" borderId="3" xfId="30" applyNumberFormat="1" applyFont="1"/>
    <xf numFmtId="9" fontId="13" fillId="0" borderId="3" xfId="30" applyNumberFormat="1" applyFont="1"/>
    <xf numFmtId="0" fontId="14" fillId="0" borderId="1" xfId="30" applyFont="1" applyBorder="1" applyAlignment="1">
      <alignment vertical="center" wrapText="1"/>
    </xf>
    <xf numFmtId="0" fontId="14" fillId="0" borderId="51" xfId="30" applyFont="1" applyBorder="1" applyAlignment="1">
      <alignment vertical="center" wrapText="1"/>
    </xf>
    <xf numFmtId="0" fontId="14" fillId="0" borderId="3" xfId="30" applyFont="1" applyAlignment="1">
      <alignment vertical="center" wrapText="1"/>
    </xf>
    <xf numFmtId="9" fontId="13" fillId="0" borderId="1" xfId="30" applyNumberFormat="1" applyFont="1" applyBorder="1"/>
    <xf numFmtId="0" fontId="13" fillId="0" borderId="1" xfId="30" applyFont="1" applyBorder="1" applyAlignment="1">
      <alignment horizontal="left"/>
    </xf>
    <xf numFmtId="172" fontId="13" fillId="0" borderId="1" xfId="30" applyNumberFormat="1" applyFont="1" applyBorder="1"/>
    <xf numFmtId="0" fontId="13" fillId="8" borderId="1" xfId="30" applyFont="1" applyFill="1" applyBorder="1" applyAlignment="1">
      <alignment horizontal="center" vertical="center" wrapText="1"/>
    </xf>
    <xf numFmtId="9" fontId="13" fillId="8" borderId="1" xfId="30" applyNumberFormat="1" applyFont="1" applyFill="1" applyBorder="1" applyAlignment="1">
      <alignment horizontal="center"/>
    </xf>
    <xf numFmtId="0" fontId="13" fillId="0" borderId="3" xfId="30" applyFont="1" applyAlignment="1">
      <alignment horizontal="left"/>
    </xf>
    <xf numFmtId="0" fontId="13" fillId="51" borderId="3" xfId="30" applyFont="1" applyFill="1"/>
    <xf numFmtId="0" fontId="21" fillId="51" borderId="3" xfId="30" applyFill="1"/>
    <xf numFmtId="0" fontId="13" fillId="0" borderId="6" xfId="30" applyFont="1" applyBorder="1" applyAlignment="1">
      <alignment horizontal="left" wrapText="1"/>
    </xf>
    <xf numFmtId="0" fontId="13" fillId="8" borderId="3" xfId="30" applyFont="1" applyFill="1" applyAlignment="1">
      <alignment horizontal="center" vertical="center" wrapText="1"/>
    </xf>
    <xf numFmtId="9" fontId="13" fillId="8" borderId="3" xfId="30" applyNumberFormat="1" applyFont="1" applyFill="1" applyAlignment="1">
      <alignment horizontal="center"/>
    </xf>
    <xf numFmtId="172" fontId="13" fillId="8" borderId="3" xfId="30" applyNumberFormat="1" applyFont="1" applyFill="1"/>
    <xf numFmtId="0" fontId="14" fillId="5" borderId="1" xfId="30" applyFont="1" applyFill="1" applyBorder="1" applyAlignment="1">
      <alignment wrapText="1"/>
    </xf>
    <xf numFmtId="0" fontId="13" fillId="0" borderId="1" xfId="30" applyFont="1" applyBorder="1" applyAlignment="1">
      <alignment vertical="center" wrapText="1"/>
    </xf>
    <xf numFmtId="0" fontId="14" fillId="0" borderId="45" xfId="30" applyFont="1" applyBorder="1" applyAlignment="1">
      <alignment vertical="center" wrapText="1"/>
    </xf>
    <xf numFmtId="0" fontId="16" fillId="0" borderId="1" xfId="30" applyFont="1" applyBorder="1"/>
    <xf numFmtId="176" fontId="13" fillId="0" borderId="1" xfId="30" applyNumberFormat="1" applyFont="1" applyBorder="1"/>
    <xf numFmtId="0" fontId="13" fillId="0" borderId="45" xfId="30" applyFont="1" applyBorder="1"/>
    <xf numFmtId="176" fontId="13" fillId="0" borderId="45" xfId="30" applyNumberFormat="1" applyFont="1" applyBorder="1"/>
    <xf numFmtId="176" fontId="16" fillId="0" borderId="1" xfId="30" applyNumberFormat="1" applyFont="1" applyBorder="1"/>
    <xf numFmtId="176" fontId="13" fillId="0" borderId="6" xfId="30" applyNumberFormat="1" applyFont="1" applyBorder="1"/>
    <xf numFmtId="0" fontId="16" fillId="0" borderId="2" xfId="30" applyFont="1" applyBorder="1"/>
    <xf numFmtId="176" fontId="13" fillId="0" borderId="2" xfId="30" applyNumberFormat="1" applyFont="1" applyBorder="1"/>
    <xf numFmtId="0" fontId="16" fillId="0" borderId="6" xfId="30" applyFont="1" applyBorder="1"/>
    <xf numFmtId="0" fontId="16" fillId="0" borderId="5" xfId="30" applyFont="1" applyBorder="1"/>
    <xf numFmtId="174" fontId="13" fillId="0" borderId="5" xfId="30" applyNumberFormat="1" applyFont="1" applyBorder="1"/>
    <xf numFmtId="174" fontId="14" fillId="0" borderId="6" xfId="30" applyNumberFormat="1" applyFont="1" applyBorder="1"/>
    <xf numFmtId="0" fontId="13" fillId="3" borderId="1" xfId="30" applyFont="1" applyFill="1" applyBorder="1" applyAlignment="1">
      <alignment horizontal="center" vertical="center" wrapText="1"/>
    </xf>
    <xf numFmtId="177" fontId="13" fillId="0" borderId="6" xfId="30" applyNumberFormat="1" applyFont="1" applyBorder="1"/>
    <xf numFmtId="0" fontId="14" fillId="0" borderId="2" xfId="30" applyFont="1" applyBorder="1" applyAlignment="1">
      <alignment vertical="center" wrapText="1"/>
    </xf>
    <xf numFmtId="176" fontId="13" fillId="0" borderId="4" xfId="30" applyNumberFormat="1" applyFont="1" applyBorder="1"/>
    <xf numFmtId="0" fontId="13" fillId="0" borderId="2" xfId="30" applyFont="1" applyBorder="1"/>
    <xf numFmtId="177" fontId="13" fillId="0" borderId="4" xfId="30" applyNumberFormat="1" applyFont="1" applyBorder="1"/>
    <xf numFmtId="0" fontId="13" fillId="0" borderId="6" xfId="30" applyFont="1" applyBorder="1" applyAlignment="1">
      <alignment horizontal="left" vertical="center" wrapText="1"/>
    </xf>
    <xf numFmtId="0" fontId="14" fillId="0" borderId="45" xfId="30" applyFont="1" applyBorder="1"/>
    <xf numFmtId="177" fontId="13" fillId="0" borderId="45" xfId="30" applyNumberFormat="1" applyFont="1" applyBorder="1"/>
    <xf numFmtId="0" fontId="13" fillId="0" borderId="5" xfId="30" applyFont="1" applyBorder="1" applyAlignment="1">
      <alignment horizontal="center" vertical="center" wrapText="1"/>
    </xf>
    <xf numFmtId="0" fontId="13" fillId="0" borderId="1" xfId="30" applyFont="1" applyBorder="1" applyAlignment="1">
      <alignment horizontal="center" vertical="center" wrapText="1"/>
    </xf>
    <xf numFmtId="177" fontId="13" fillId="0" borderId="6" xfId="30" applyNumberFormat="1" applyFont="1" applyBorder="1" applyAlignment="1">
      <alignment horizontal="center"/>
    </xf>
    <xf numFmtId="0" fontId="13" fillId="4" borderId="1" xfId="30" applyFont="1" applyFill="1" applyBorder="1" applyAlignment="1">
      <alignment horizontal="center" vertical="center" wrapText="1"/>
    </xf>
    <xf numFmtId="0" fontId="13" fillId="5" borderId="1" xfId="30" applyFont="1" applyFill="1" applyBorder="1" applyAlignment="1">
      <alignment horizontal="center" vertical="center" wrapText="1"/>
    </xf>
    <xf numFmtId="176" fontId="13" fillId="0" borderId="1" xfId="30" applyNumberFormat="1" applyFont="1" applyBorder="1" applyAlignment="1">
      <alignment horizontal="left"/>
    </xf>
    <xf numFmtId="184" fontId="13" fillId="0" borderId="1" xfId="30" applyNumberFormat="1" applyFont="1" applyBorder="1" applyAlignment="1">
      <alignment horizontal="left"/>
    </xf>
    <xf numFmtId="176" fontId="14" fillId="0" borderId="1" xfId="30" applyNumberFormat="1" applyFont="1" applyBorder="1"/>
    <xf numFmtId="176" fontId="16" fillId="0" borderId="6" xfId="30" applyNumberFormat="1" applyFont="1" applyBorder="1"/>
    <xf numFmtId="0" fontId="13" fillId="0" borderId="5" xfId="30" applyFont="1" applyBorder="1" applyAlignment="1">
      <alignment horizontal="left" vertical="center" wrapText="1"/>
    </xf>
    <xf numFmtId="176" fontId="13" fillId="0" borderId="5" xfId="30" applyNumberFormat="1" applyFont="1" applyBorder="1"/>
    <xf numFmtId="0" fontId="86" fillId="0" borderId="3" xfId="11" applyFont="1" applyAlignment="1"/>
    <xf numFmtId="0" fontId="15" fillId="0" borderId="72" xfId="30" applyFont="1" applyBorder="1" applyAlignment="1">
      <alignment vertical="center" wrapText="1"/>
    </xf>
    <xf numFmtId="0" fontId="15" fillId="0" borderId="5" xfId="30" applyFont="1" applyBorder="1" applyAlignment="1">
      <alignment vertical="center" wrapText="1"/>
    </xf>
    <xf numFmtId="0" fontId="13" fillId="0" borderId="5" xfId="30" applyFont="1" applyBorder="1" applyAlignment="1">
      <alignment wrapText="1"/>
    </xf>
    <xf numFmtId="0" fontId="13" fillId="0" borderId="5" xfId="30" applyFont="1" applyBorder="1"/>
    <xf numFmtId="0" fontId="87" fillId="0" borderId="4" xfId="30" applyFont="1" applyBorder="1"/>
    <xf numFmtId="175" fontId="87" fillId="0" borderId="1" xfId="30" applyNumberFormat="1" applyFont="1" applyBorder="1"/>
    <xf numFmtId="2" fontId="14" fillId="0" borderId="1" xfId="30" applyNumberFormat="1" applyFont="1" applyBorder="1"/>
    <xf numFmtId="0" fontId="87" fillId="0" borderId="1" xfId="30" applyFont="1" applyBorder="1"/>
    <xf numFmtId="0" fontId="87" fillId="0" borderId="51" xfId="30" applyFont="1" applyBorder="1"/>
    <xf numFmtId="191" fontId="87" fillId="0" borderId="1" xfId="30" applyNumberFormat="1" applyFont="1" applyBorder="1"/>
    <xf numFmtId="191" fontId="87" fillId="0" borderId="51" xfId="30" applyNumberFormat="1" applyFont="1" applyBorder="1"/>
    <xf numFmtId="0" fontId="87" fillId="0" borderId="78" xfId="30" applyFont="1" applyBorder="1"/>
    <xf numFmtId="175" fontId="87" fillId="0" borderId="2" xfId="30" applyNumberFormat="1" applyFont="1" applyBorder="1"/>
    <xf numFmtId="2" fontId="14" fillId="0" borderId="2" xfId="30" applyNumberFormat="1" applyFont="1" applyBorder="1"/>
    <xf numFmtId="0" fontId="87" fillId="0" borderId="2" xfId="30" applyFont="1" applyBorder="1"/>
    <xf numFmtId="0" fontId="87" fillId="0" borderId="58" xfId="30" applyFont="1" applyBorder="1"/>
    <xf numFmtId="0" fontId="13" fillId="5" borderId="2" xfId="30" applyFont="1" applyFill="1" applyBorder="1" applyAlignment="1">
      <alignment horizontal="center" vertical="center" wrapText="1"/>
    </xf>
    <xf numFmtId="0" fontId="14" fillId="0" borderId="57" xfId="30" applyFont="1" applyBorder="1" applyAlignment="1">
      <alignment vertical="center" wrapText="1"/>
    </xf>
    <xf numFmtId="0" fontId="14" fillId="0" borderId="56" xfId="30" applyFont="1" applyBorder="1" applyAlignment="1">
      <alignment vertical="center" wrapText="1"/>
    </xf>
    <xf numFmtId="0" fontId="13" fillId="0" borderId="53" xfId="30" applyFont="1" applyBorder="1"/>
    <xf numFmtId="176" fontId="16" fillId="0" borderId="75" xfId="30" applyNumberFormat="1" applyFont="1" applyBorder="1"/>
    <xf numFmtId="0" fontId="13" fillId="0" borderId="79" xfId="30" applyFont="1" applyBorder="1"/>
    <xf numFmtId="176" fontId="16" fillId="0" borderId="80" xfId="30" applyNumberFormat="1" applyFont="1" applyBorder="1"/>
    <xf numFmtId="177" fontId="13" fillId="0" borderId="3" xfId="30" applyNumberFormat="1" applyFont="1"/>
    <xf numFmtId="169" fontId="81" fillId="53" borderId="6" xfId="0" applyNumberFormat="1" applyFont="1" applyFill="1" applyBorder="1" applyAlignment="1">
      <alignment horizontal="right" vertical="center" wrapText="1"/>
    </xf>
    <xf numFmtId="0" fontId="62" fillId="30" borderId="26" xfId="8" applyFont="1" applyFill="1" applyBorder="1" applyAlignment="1">
      <alignment horizontal="left" vertical="center"/>
    </xf>
    <xf numFmtId="0" fontId="46" fillId="18" borderId="28" xfId="19" applyFont="1" applyFill="1" applyBorder="1" applyAlignment="1">
      <alignment horizontal="left" vertical="center"/>
    </xf>
    <xf numFmtId="0" fontId="46" fillId="18" borderId="28" xfId="2" applyNumberFormat="1" applyFont="1" applyFill="1" applyBorder="1" applyAlignment="1">
      <alignment horizontal="left" vertical="center"/>
    </xf>
    <xf numFmtId="0" fontId="58" fillId="18" borderId="28" xfId="1" applyFont="1" applyFill="1" applyBorder="1" applyAlignment="1">
      <alignment horizontal="left" vertical="center"/>
    </xf>
    <xf numFmtId="0" fontId="37" fillId="18" borderId="28" xfId="1" applyFont="1" applyFill="1" applyBorder="1" applyAlignment="1">
      <alignment horizontal="left" vertical="center"/>
    </xf>
    <xf numFmtId="1" fontId="46" fillId="30" borderId="28" xfId="0" applyNumberFormat="1" applyFont="1" applyFill="1" applyBorder="1" applyAlignment="1">
      <alignment horizontal="center"/>
    </xf>
    <xf numFmtId="184" fontId="46" fillId="8" borderId="3" xfId="0" applyNumberFormat="1" applyFont="1" applyFill="1" applyBorder="1"/>
    <xf numFmtId="172" fontId="13" fillId="31" borderId="6" xfId="30" applyNumberFormat="1" applyFont="1" applyFill="1" applyBorder="1"/>
    <xf numFmtId="177" fontId="13" fillId="31" borderId="4" xfId="30" applyNumberFormat="1" applyFont="1" applyFill="1" applyBorder="1"/>
    <xf numFmtId="1" fontId="68" fillId="8" borderId="17" xfId="0" applyNumberFormat="1" applyFont="1" applyFill="1" applyBorder="1"/>
    <xf numFmtId="200" fontId="33" fillId="8" borderId="67" xfId="0" applyNumberFormat="1" applyFont="1" applyFill="1" applyBorder="1" applyAlignment="1">
      <alignment vertical="top"/>
    </xf>
    <xf numFmtId="199" fontId="33" fillId="8" borderId="67" xfId="0" applyNumberFormat="1" applyFont="1" applyFill="1" applyBorder="1" applyAlignment="1">
      <alignment vertical="top"/>
    </xf>
    <xf numFmtId="4" fontId="33" fillId="8" borderId="67" xfId="0" applyNumberFormat="1" applyFont="1" applyFill="1" applyBorder="1" applyAlignment="1">
      <alignment vertical="top"/>
    </xf>
    <xf numFmtId="0" fontId="33" fillId="8" borderId="62" xfId="0" applyFont="1" applyFill="1" applyBorder="1" applyAlignment="1">
      <alignment vertical="top"/>
    </xf>
    <xf numFmtId="0" fontId="37" fillId="8" borderId="53" xfId="0" applyFont="1" applyFill="1" applyBorder="1" applyAlignment="1">
      <alignment horizontal="center"/>
    </xf>
    <xf numFmtId="178" fontId="81" fillId="53" borderId="6" xfId="0" applyNumberFormat="1" applyFont="1" applyFill="1" applyBorder="1" applyAlignment="1">
      <alignment horizontal="right" vertical="center" wrapText="1"/>
    </xf>
    <xf numFmtId="2" fontId="0" fillId="8" borderId="0" xfId="0" applyNumberFormat="1" applyFill="1"/>
    <xf numFmtId="164" fontId="0" fillId="8" borderId="3" xfId="3" applyFont="1" applyFill="1" applyBorder="1"/>
    <xf numFmtId="178" fontId="0" fillId="8" borderId="3" xfId="0" applyNumberFormat="1" applyFill="1" applyBorder="1"/>
    <xf numFmtId="164" fontId="0" fillId="8" borderId="0" xfId="3" applyFont="1" applyFill="1"/>
    <xf numFmtId="179" fontId="0" fillId="8" borderId="0" xfId="12" applyNumberFormat="1" applyFont="1" applyFill="1"/>
    <xf numFmtId="0" fontId="23" fillId="8" borderId="3" xfId="0" applyFont="1" applyFill="1" applyBorder="1"/>
    <xf numFmtId="170" fontId="21" fillId="8" borderId="3" xfId="13" applyFont="1" applyFill="1" applyBorder="1" applyAlignment="1"/>
    <xf numFmtId="0" fontId="23" fillId="11" borderId="6" xfId="0" applyFont="1" applyFill="1" applyBorder="1"/>
    <xf numFmtId="171" fontId="65" fillId="12" borderId="46" xfId="12" applyFont="1" applyFill="1" applyBorder="1" applyAlignment="1">
      <alignment horizontal="center"/>
    </xf>
    <xf numFmtId="0" fontId="13" fillId="0" borderId="6" xfId="0" applyFont="1" applyBorder="1" applyAlignment="1">
      <alignment horizontal="left" vertical="center"/>
    </xf>
    <xf numFmtId="171" fontId="68" fillId="8" borderId="3" xfId="12" applyFont="1" applyFill="1" applyBorder="1"/>
    <xf numFmtId="0" fontId="93" fillId="20" borderId="6" xfId="0" applyFont="1" applyFill="1" applyBorder="1" applyAlignment="1">
      <alignment horizontal="center" vertical="center"/>
    </xf>
    <xf numFmtId="0" fontId="94" fillId="0" borderId="6" xfId="19" applyFont="1" applyBorder="1" applyAlignment="1">
      <alignment horizontal="left" vertical="center"/>
    </xf>
    <xf numFmtId="0" fontId="94" fillId="0" borderId="6" xfId="19" applyFont="1" applyBorder="1" applyAlignment="1">
      <alignment horizontal="center"/>
    </xf>
    <xf numFmtId="1" fontId="94" fillId="0" borderId="6" xfId="19" applyNumberFormat="1" applyFont="1" applyBorder="1" applyAlignment="1">
      <alignment horizontal="center"/>
    </xf>
    <xf numFmtId="0" fontId="94" fillId="0" borderId="6" xfId="0" applyFont="1" applyBorder="1"/>
    <xf numFmtId="0" fontId="94" fillId="8" borderId="3" xfId="0" applyFont="1" applyFill="1" applyBorder="1"/>
    <xf numFmtId="171" fontId="94" fillId="8" borderId="3" xfId="12" applyFont="1" applyFill="1" applyBorder="1"/>
    <xf numFmtId="179" fontId="94" fillId="8" borderId="6" xfId="12" applyNumberFormat="1" applyFont="1" applyFill="1" applyBorder="1" applyAlignment="1">
      <alignment horizontal="left" vertical="center"/>
    </xf>
    <xf numFmtId="179" fontId="94" fillId="8" borderId="3" xfId="12" applyNumberFormat="1" applyFont="1" applyFill="1" applyBorder="1" applyAlignment="1">
      <alignment horizontal="left" vertical="center"/>
    </xf>
    <xf numFmtId="184" fontId="21" fillId="0" borderId="6" xfId="0" applyNumberFormat="1" applyFont="1" applyFill="1" applyBorder="1"/>
    <xf numFmtId="0" fontId="13" fillId="31" borderId="3" xfId="30" applyFont="1" applyFill="1"/>
    <xf numFmtId="0" fontId="13" fillId="31" borderId="1" xfId="30" applyFont="1" applyFill="1" applyBorder="1" applyAlignment="1">
      <alignment wrapText="1"/>
    </xf>
    <xf numFmtId="3" fontId="13" fillId="31" borderId="6" xfId="30" applyNumberFormat="1" applyFont="1" applyFill="1" applyBorder="1" applyAlignment="1">
      <alignment horizontal="center"/>
    </xf>
    <xf numFmtId="0" fontId="13" fillId="31" borderId="51" xfId="30" applyFont="1" applyFill="1" applyBorder="1" applyAlignment="1">
      <alignment horizontal="center"/>
    </xf>
    <xf numFmtId="0" fontId="13" fillId="31" borderId="6" xfId="30" applyFont="1" applyFill="1" applyBorder="1" applyAlignment="1">
      <alignment horizontal="center"/>
    </xf>
    <xf numFmtId="0" fontId="13" fillId="31" borderId="6" xfId="30" applyFont="1" applyFill="1" applyBorder="1"/>
    <xf numFmtId="0" fontId="13" fillId="31" borderId="6" xfId="30" applyFont="1" applyFill="1" applyBorder="1" applyAlignment="1">
      <alignment horizontal="center" vertical="center" wrapText="1"/>
    </xf>
    <xf numFmtId="9" fontId="13" fillId="31" borderId="6" xfId="30" applyNumberFormat="1" applyFont="1" applyFill="1" applyBorder="1" applyAlignment="1">
      <alignment horizontal="center"/>
    </xf>
    <xf numFmtId="0" fontId="21" fillId="31" borderId="3" xfId="30" applyFill="1"/>
    <xf numFmtId="0" fontId="13" fillId="31" borderId="75" xfId="30" applyFont="1" applyFill="1" applyBorder="1" applyAlignment="1">
      <alignment horizontal="center"/>
    </xf>
    <xf numFmtId="0" fontId="13" fillId="31" borderId="6" xfId="30" applyFont="1" applyFill="1" applyBorder="1" applyAlignment="1">
      <alignment horizontal="left"/>
    </xf>
    <xf numFmtId="180" fontId="46" fillId="30" borderId="28" xfId="2" applyNumberFormat="1" applyFont="1" applyFill="1" applyBorder="1" applyAlignment="1">
      <alignment horizontal="center"/>
    </xf>
    <xf numFmtId="0" fontId="23" fillId="0" borderId="107" xfId="0" applyFont="1" applyFill="1" applyBorder="1" applyAlignment="1">
      <alignment horizontal="center"/>
    </xf>
    <xf numFmtId="0" fontId="68" fillId="13" borderId="6" xfId="19" applyFont="1" applyFill="1" applyBorder="1" applyAlignment="1">
      <alignment horizontal="left" vertical="center"/>
    </xf>
    <xf numFmtId="0" fontId="68" fillId="13" borderId="6" xfId="19" applyFont="1" applyFill="1" applyBorder="1" applyAlignment="1">
      <alignment horizontal="center"/>
    </xf>
    <xf numFmtId="0" fontId="68" fillId="13" borderId="6" xfId="19" applyFont="1" applyFill="1" applyBorder="1"/>
    <xf numFmtId="0" fontId="68" fillId="13" borderId="6" xfId="0" applyFont="1" applyFill="1" applyBorder="1"/>
    <xf numFmtId="0" fontId="68" fillId="13" borderId="6" xfId="0" applyFont="1" applyFill="1" applyBorder="1" applyAlignment="1">
      <alignment horizontal="left" vertical="center"/>
    </xf>
    <xf numFmtId="1" fontId="62" fillId="18" borderId="8" xfId="19" applyNumberFormat="1" applyFont="1" applyFill="1" applyBorder="1"/>
    <xf numFmtId="1" fontId="37" fillId="18" borderId="8" xfId="19" applyNumberFormat="1" applyFont="1" applyFill="1" applyBorder="1"/>
    <xf numFmtId="0" fontId="22" fillId="41" borderId="3" xfId="19" applyFont="1" applyFill="1" applyBorder="1" applyAlignment="1">
      <alignment horizontal="left"/>
    </xf>
    <xf numFmtId="179" fontId="11" fillId="0" borderId="3" xfId="19" applyNumberFormat="1" applyBorder="1"/>
    <xf numFmtId="0" fontId="1" fillId="0" borderId="16" xfId="14" applyFont="1" applyBorder="1" applyAlignment="1">
      <alignment horizontal="left"/>
    </xf>
    <xf numFmtId="10" fontId="7" fillId="0" borderId="3" xfId="14" applyNumberFormat="1" applyBorder="1" applyAlignment="1">
      <alignment horizontal="center"/>
    </xf>
    <xf numFmtId="10" fontId="0" fillId="42" borderId="3" xfId="14" applyNumberFormat="1" applyFont="1" applyFill="1" applyBorder="1"/>
    <xf numFmtId="10" fontId="7" fillId="0" borderId="13" xfId="14" applyNumberFormat="1" applyBorder="1" applyAlignment="1">
      <alignment horizontal="center"/>
    </xf>
    <xf numFmtId="10" fontId="7" fillId="0" borderId="15" xfId="14" applyNumberFormat="1" applyBorder="1" applyAlignment="1">
      <alignment horizontal="center"/>
    </xf>
    <xf numFmtId="10" fontId="7" fillId="0" borderId="18" xfId="14" applyNumberFormat="1" applyBorder="1" applyAlignment="1">
      <alignment horizontal="center"/>
    </xf>
    <xf numFmtId="0" fontId="44" fillId="14" borderId="93" xfId="19" applyFont="1" applyFill="1" applyBorder="1" applyAlignment="1">
      <alignment horizontal="center"/>
    </xf>
    <xf numFmtId="0" fontId="45" fillId="0" borderId="11" xfId="14" applyFont="1" applyBorder="1" applyAlignment="1">
      <alignment horizontal="center"/>
    </xf>
    <xf numFmtId="188" fontId="11" fillId="0" borderId="12" xfId="20" applyNumberFormat="1" applyFont="1" applyBorder="1" applyAlignment="1">
      <alignment horizontal="center"/>
    </xf>
    <xf numFmtId="0" fontId="45" fillId="0" borderId="14" xfId="14" applyFont="1" applyBorder="1" applyAlignment="1">
      <alignment horizontal="center"/>
    </xf>
    <xf numFmtId="0" fontId="45" fillId="0" borderId="16" xfId="14" applyFont="1" applyBorder="1" applyAlignment="1">
      <alignment horizontal="center"/>
    </xf>
    <xf numFmtId="188" fontId="11" fillId="0" borderId="17" xfId="20" applyNumberFormat="1" applyFont="1" applyBorder="1" applyAlignment="1">
      <alignment horizontal="center"/>
    </xf>
    <xf numFmtId="0" fontId="1" fillId="0" borderId="11" xfId="14" applyFont="1" applyBorder="1" applyAlignment="1">
      <alignment horizontal="left"/>
    </xf>
    <xf numFmtId="10" fontId="0" fillId="42" borderId="17" xfId="14" applyNumberFormat="1" applyFont="1" applyFill="1" applyBorder="1"/>
    <xf numFmtId="171" fontId="0" fillId="0" borderId="0" xfId="12" applyFont="1"/>
    <xf numFmtId="179" fontId="0" fillId="0" borderId="0" xfId="12" applyNumberFormat="1" applyFont="1"/>
    <xf numFmtId="179" fontId="0" fillId="0" borderId="0" xfId="0" applyNumberFormat="1"/>
    <xf numFmtId="10" fontId="0" fillId="0" borderId="0" xfId="2" applyNumberFormat="1" applyFont="1"/>
    <xf numFmtId="0" fontId="13" fillId="14" borderId="3" xfId="30" applyFont="1" applyFill="1"/>
    <xf numFmtId="0" fontId="13" fillId="14" borderId="6" xfId="30" applyFont="1" applyFill="1" applyBorder="1" applyAlignment="1">
      <alignment wrapText="1"/>
    </xf>
    <xf numFmtId="3" fontId="13" fillId="14" borderId="6" xfId="30" applyNumberFormat="1" applyFont="1" applyFill="1" applyBorder="1" applyAlignment="1">
      <alignment horizontal="center"/>
    </xf>
    <xf numFmtId="0" fontId="13" fillId="14" borderId="75" xfId="30" applyFont="1" applyFill="1" applyBorder="1" applyAlignment="1">
      <alignment horizontal="center"/>
    </xf>
    <xf numFmtId="0" fontId="13" fillId="14" borderId="6" xfId="30" applyFont="1" applyFill="1" applyBorder="1" applyAlignment="1">
      <alignment horizontal="center"/>
    </xf>
    <xf numFmtId="0" fontId="13" fillId="14" borderId="6" xfId="30" applyFont="1" applyFill="1" applyBorder="1" applyAlignment="1">
      <alignment horizontal="left"/>
    </xf>
    <xf numFmtId="0" fontId="13" fillId="14" borderId="6" xfId="30" applyFont="1" applyFill="1" applyBorder="1" applyAlignment="1">
      <alignment horizontal="center" vertical="center" wrapText="1"/>
    </xf>
    <xf numFmtId="9" fontId="13" fillId="14" borderId="6" xfId="30" applyNumberFormat="1" applyFont="1" applyFill="1" applyBorder="1" applyAlignment="1">
      <alignment horizontal="center"/>
    </xf>
    <xf numFmtId="172" fontId="13" fillId="14" borderId="6" xfId="30" applyNumberFormat="1" applyFont="1" applyFill="1" applyBorder="1"/>
    <xf numFmtId="0" fontId="13" fillId="14" borderId="6" xfId="30" applyFont="1" applyFill="1" applyBorder="1"/>
    <xf numFmtId="0" fontId="21" fillId="14" borderId="3" xfId="30" applyFill="1"/>
    <xf numFmtId="0" fontId="13" fillId="14" borderId="1" xfId="30" applyFont="1" applyFill="1" applyBorder="1" applyAlignment="1">
      <alignment wrapText="1"/>
    </xf>
    <xf numFmtId="0" fontId="13" fillId="14" borderId="51" xfId="30" applyFont="1" applyFill="1" applyBorder="1" applyAlignment="1">
      <alignment horizontal="center"/>
    </xf>
    <xf numFmtId="0" fontId="35" fillId="8" borderId="6" xfId="0" applyFont="1" applyFill="1" applyBorder="1" applyAlignment="1">
      <alignment horizontal="center"/>
    </xf>
    <xf numFmtId="0" fontId="33" fillId="8" borderId="6" xfId="0" applyFont="1" applyFill="1" applyBorder="1" applyAlignment="1">
      <alignment horizontal="left" vertical="top"/>
    </xf>
    <xf numFmtId="189" fontId="35" fillId="8" borderId="6" xfId="10" applyNumberFormat="1" applyFont="1" applyFill="1" applyBorder="1" applyAlignment="1">
      <alignment horizontal="right" indent="1"/>
    </xf>
    <xf numFmtId="189" fontId="35" fillId="8" borderId="6" xfId="0" applyNumberFormat="1" applyFont="1" applyFill="1" applyBorder="1" applyAlignment="1">
      <alignment horizontal="right" indent="1"/>
    </xf>
    <xf numFmtId="0" fontId="35" fillId="8" borderId="0" xfId="0" applyFont="1" applyFill="1" applyAlignment="1">
      <alignment horizontal="left"/>
    </xf>
    <xf numFmtId="0" fontId="44" fillId="35" borderId="3" xfId="0" applyFont="1" applyFill="1" applyBorder="1" applyAlignment="1">
      <alignment horizontal="center"/>
    </xf>
    <xf numFmtId="0" fontId="76" fillId="2" borderId="3" xfId="0" applyFont="1" applyFill="1" applyBorder="1" applyAlignment="1">
      <alignment horizontal="left"/>
    </xf>
    <xf numFmtId="164" fontId="69" fillId="20" borderId="37" xfId="3" applyFont="1" applyFill="1" applyBorder="1" applyAlignment="1">
      <alignment horizontal="center" vertical="center"/>
    </xf>
    <xf numFmtId="164" fontId="69" fillId="20" borderId="35" xfId="3" applyFont="1" applyFill="1" applyBorder="1" applyAlignment="1">
      <alignment horizontal="center" vertical="center"/>
    </xf>
    <xf numFmtId="0" fontId="75" fillId="20" borderId="39" xfId="0" applyFont="1" applyFill="1" applyBorder="1" applyAlignment="1">
      <alignment horizontal="center" vertical="center"/>
    </xf>
    <xf numFmtId="0" fontId="75" fillId="20" borderId="40" xfId="0" applyFont="1" applyFill="1" applyBorder="1" applyAlignment="1">
      <alignment horizontal="center" vertical="center"/>
    </xf>
    <xf numFmtId="0" fontId="75" fillId="20" borderId="41" xfId="0" applyFont="1" applyFill="1" applyBorder="1" applyAlignment="1">
      <alignment horizontal="center" vertical="center"/>
    </xf>
    <xf numFmtId="0" fontId="75" fillId="22" borderId="49" xfId="0" applyFont="1" applyFill="1" applyBorder="1" applyAlignment="1">
      <alignment horizontal="center"/>
    </xf>
    <xf numFmtId="0" fontId="75" fillId="22" borderId="50" xfId="0" applyFont="1" applyFill="1" applyBorder="1" applyAlignment="1">
      <alignment horizontal="center"/>
    </xf>
    <xf numFmtId="0" fontId="75" fillId="21" borderId="49" xfId="0" applyFont="1" applyFill="1" applyBorder="1" applyAlignment="1">
      <alignment horizontal="center"/>
    </xf>
    <xf numFmtId="0" fontId="75" fillId="21" borderId="50" xfId="0" applyFont="1" applyFill="1" applyBorder="1" applyAlignment="1">
      <alignment horizontal="center"/>
    </xf>
    <xf numFmtId="0" fontId="75" fillId="21" borderId="39" xfId="0" applyFont="1" applyFill="1" applyBorder="1" applyAlignment="1">
      <alignment horizontal="center"/>
    </xf>
    <xf numFmtId="0" fontId="75" fillId="21" borderId="41" xfId="0" applyFont="1" applyFill="1" applyBorder="1" applyAlignment="1">
      <alignment horizontal="center"/>
    </xf>
    <xf numFmtId="0" fontId="69" fillId="20" borderId="77" xfId="0" applyFont="1" applyFill="1" applyBorder="1" applyAlignment="1">
      <alignment horizontal="center" vertical="center" wrapText="1"/>
    </xf>
    <xf numFmtId="0" fontId="69" fillId="20" borderId="63" xfId="0" applyFont="1" applyFill="1" applyBorder="1" applyAlignment="1">
      <alignment horizontal="center" vertical="center" wrapText="1"/>
    </xf>
    <xf numFmtId="0" fontId="69" fillId="20" borderId="25" xfId="0" applyFont="1" applyFill="1" applyBorder="1" applyAlignment="1">
      <alignment horizontal="center" vertical="center"/>
    </xf>
    <xf numFmtId="0" fontId="69" fillId="20" borderId="34" xfId="0" applyFont="1" applyFill="1" applyBorder="1" applyAlignment="1">
      <alignment horizontal="center" vertical="center"/>
    </xf>
    <xf numFmtId="0" fontId="69" fillId="20" borderId="37" xfId="0" applyFont="1" applyFill="1" applyBorder="1" applyAlignment="1">
      <alignment horizontal="center" vertical="center"/>
    </xf>
    <xf numFmtId="0" fontId="69" fillId="20" borderId="35" xfId="0" applyFont="1" applyFill="1" applyBorder="1" applyAlignment="1">
      <alignment horizontal="center" vertical="center"/>
    </xf>
    <xf numFmtId="0" fontId="75" fillId="23" borderId="25" xfId="0" applyFont="1" applyFill="1" applyBorder="1" applyAlignment="1">
      <alignment horizontal="center"/>
    </xf>
    <xf numFmtId="0" fontId="75" fillId="23" borderId="26" xfId="0" applyFont="1" applyFill="1" applyBorder="1" applyAlignment="1">
      <alignment horizontal="center"/>
    </xf>
    <xf numFmtId="0" fontId="75" fillId="23" borderId="39" xfId="0" applyFont="1" applyFill="1" applyBorder="1" applyAlignment="1">
      <alignment horizontal="center"/>
    </xf>
    <xf numFmtId="0" fontId="75" fillId="23" borderId="41" xfId="0" applyFont="1" applyFill="1" applyBorder="1" applyAlignment="1">
      <alignment horizontal="center"/>
    </xf>
    <xf numFmtId="0" fontId="69" fillId="20" borderId="26" xfId="0" applyFont="1" applyFill="1" applyBorder="1" applyAlignment="1">
      <alignment horizontal="center" vertical="center"/>
    </xf>
    <xf numFmtId="0" fontId="75" fillId="20" borderId="49" xfId="0" applyFont="1" applyFill="1" applyBorder="1" applyAlignment="1">
      <alignment horizontal="center"/>
    </xf>
    <xf numFmtId="0" fontId="75" fillId="20" borderId="50" xfId="0" applyFont="1" applyFill="1" applyBorder="1" applyAlignment="1">
      <alignment horizontal="center"/>
    </xf>
    <xf numFmtId="0" fontId="95" fillId="20" borderId="6" xfId="0" applyFont="1" applyFill="1" applyBorder="1" applyAlignment="1">
      <alignment horizontal="center" vertical="center"/>
    </xf>
    <xf numFmtId="0" fontId="93" fillId="20" borderId="6" xfId="0" applyFont="1" applyFill="1" applyBorder="1" applyAlignment="1">
      <alignment horizontal="center" vertical="center"/>
    </xf>
    <xf numFmtId="0" fontId="93" fillId="20" borderId="6" xfId="0" applyFont="1" applyFill="1" applyBorder="1" applyAlignment="1">
      <alignment horizontal="center" vertical="center" wrapText="1"/>
    </xf>
    <xf numFmtId="164" fontId="93" fillId="20" borderId="6" xfId="3" applyFont="1" applyFill="1" applyBorder="1" applyAlignment="1">
      <alignment horizontal="center" vertical="center" wrapText="1"/>
    </xf>
    <xf numFmtId="0" fontId="23" fillId="0" borderId="3" xfId="0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3" fillId="0" borderId="75" xfId="0" applyFont="1" applyBorder="1" applyAlignment="1">
      <alignment horizontal="center"/>
    </xf>
    <xf numFmtId="0" fontId="23" fillId="0" borderId="53" xfId="0" applyFont="1" applyBorder="1" applyAlignment="1">
      <alignment horizontal="center"/>
    </xf>
    <xf numFmtId="0" fontId="21" fillId="8" borderId="6" xfId="0" applyFont="1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23" fillId="39" borderId="59" xfId="0" applyFont="1" applyFill="1" applyBorder="1" applyAlignment="1">
      <alignment horizontal="center"/>
    </xf>
    <xf numFmtId="0" fontId="23" fillId="39" borderId="88" xfId="0" applyFont="1" applyFill="1" applyBorder="1" applyAlignment="1">
      <alignment horizontal="center"/>
    </xf>
    <xf numFmtId="0" fontId="23" fillId="39" borderId="60" xfId="0" applyFont="1" applyFill="1" applyBorder="1" applyAlignment="1">
      <alignment horizontal="center"/>
    </xf>
    <xf numFmtId="0" fontId="21" fillId="8" borderId="6" xfId="0" applyFont="1" applyFill="1" applyBorder="1" applyAlignment="1">
      <alignment horizontal="center"/>
    </xf>
    <xf numFmtId="0" fontId="23" fillId="12" borderId="39" xfId="0" applyFont="1" applyFill="1" applyBorder="1" applyAlignment="1">
      <alignment horizontal="center"/>
    </xf>
    <xf numFmtId="0" fontId="23" fillId="12" borderId="41" xfId="0" applyFont="1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21" fillId="8" borderId="64" xfId="0" applyFont="1" applyFill="1" applyBorder="1" applyAlignment="1">
      <alignment horizontal="center"/>
    </xf>
    <xf numFmtId="0" fontId="35" fillId="8" borderId="6" xfId="0" applyFont="1" applyFill="1" applyBorder="1" applyAlignment="1">
      <alignment horizontal="center"/>
    </xf>
    <xf numFmtId="0" fontId="23" fillId="24" borderId="6" xfId="0" applyFont="1" applyFill="1" applyBorder="1" applyAlignment="1">
      <alignment horizontal="center"/>
    </xf>
    <xf numFmtId="0" fontId="23" fillId="55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  <xf numFmtId="0" fontId="14" fillId="0" borderId="75" xfId="30" applyFont="1" applyBorder="1" applyAlignment="1">
      <alignment horizontal="center" vertical="center" wrapText="1"/>
    </xf>
    <xf numFmtId="0" fontId="14" fillId="0" borderId="53" xfId="30" applyFont="1" applyBorder="1" applyAlignment="1">
      <alignment horizontal="center" vertical="center" wrapText="1"/>
    </xf>
    <xf numFmtId="0" fontId="13" fillId="0" borderId="3" xfId="30" applyFont="1" applyAlignment="1">
      <alignment horizontal="center"/>
    </xf>
    <xf numFmtId="0" fontId="14" fillId="52" borderId="54" xfId="30" applyFont="1" applyFill="1" applyBorder="1" applyAlignment="1">
      <alignment horizontal="center" wrapText="1"/>
    </xf>
    <xf numFmtId="0" fontId="14" fillId="52" borderId="113" xfId="30" applyFont="1" applyFill="1" applyBorder="1" applyAlignment="1">
      <alignment horizontal="center" wrapText="1"/>
    </xf>
    <xf numFmtId="0" fontId="15" fillId="0" borderId="75" xfId="30" applyFont="1" applyBorder="1" applyAlignment="1">
      <alignment horizontal="center" vertical="center" wrapText="1"/>
    </xf>
    <xf numFmtId="0" fontId="15" fillId="0" borderId="53" xfId="30" applyFont="1" applyBorder="1" applyAlignment="1">
      <alignment horizontal="center" vertical="center" wrapText="1"/>
    </xf>
    <xf numFmtId="0" fontId="28" fillId="14" borderId="49" xfId="14" applyFont="1" applyFill="1" applyBorder="1" applyAlignment="1">
      <alignment horizontal="center"/>
    </xf>
    <xf numFmtId="0" fontId="7" fillId="14" borderId="50" xfId="14" applyFill="1" applyBorder="1" applyAlignment="1">
      <alignment horizontal="center"/>
    </xf>
    <xf numFmtId="0" fontId="50" fillId="8" borderId="59" xfId="0" applyFont="1" applyFill="1" applyBorder="1" applyAlignment="1">
      <alignment horizontal="left"/>
    </xf>
    <xf numFmtId="0" fontId="50" fillId="8" borderId="84" xfId="0" applyFont="1" applyFill="1" applyBorder="1" applyAlignment="1">
      <alignment horizontal="left"/>
    </xf>
    <xf numFmtId="0" fontId="50" fillId="8" borderId="85" xfId="0" applyFont="1" applyFill="1" applyBorder="1" applyAlignment="1">
      <alignment horizontal="left"/>
    </xf>
    <xf numFmtId="0" fontId="50" fillId="8" borderId="53" xfId="0" applyFont="1" applyFill="1" applyBorder="1" applyAlignment="1">
      <alignment horizontal="left"/>
    </xf>
    <xf numFmtId="0" fontId="50" fillId="8" borderId="86" xfId="0" applyFont="1" applyFill="1" applyBorder="1" applyAlignment="1">
      <alignment horizontal="left"/>
    </xf>
    <xf numFmtId="0" fontId="50" fillId="8" borderId="87" xfId="0" applyFont="1" applyFill="1" applyBorder="1" applyAlignment="1">
      <alignment horizontal="left"/>
    </xf>
    <xf numFmtId="0" fontId="49" fillId="57" borderId="49" xfId="0" applyFont="1" applyFill="1" applyBorder="1" applyAlignment="1">
      <alignment horizontal="center"/>
    </xf>
    <xf numFmtId="0" fontId="49" fillId="57" borderId="83" xfId="0" applyFont="1" applyFill="1" applyBorder="1" applyAlignment="1">
      <alignment horizontal="center"/>
    </xf>
    <xf numFmtId="0" fontId="49" fillId="57" borderId="50" xfId="0" applyFont="1" applyFill="1" applyBorder="1" applyAlignment="1">
      <alignment horizontal="center"/>
    </xf>
    <xf numFmtId="0" fontId="43" fillId="57" borderId="103" xfId="0" applyFont="1" applyFill="1" applyBorder="1" applyAlignment="1">
      <alignment horizontal="center"/>
    </xf>
    <xf numFmtId="0" fontId="43" fillId="57" borderId="104" xfId="0" applyFont="1" applyFill="1" applyBorder="1" applyAlignment="1">
      <alignment horizontal="center"/>
    </xf>
    <xf numFmtId="0" fontId="46" fillId="8" borderId="51" xfId="0" applyFont="1" applyFill="1" applyBorder="1" applyAlignment="1">
      <alignment horizontal="center" vertical="center" wrapText="1"/>
    </xf>
    <xf numFmtId="0" fontId="46" fillId="8" borderId="4" xfId="0" applyFont="1" applyFill="1" applyBorder="1" applyAlignment="1">
      <alignment horizontal="center" vertical="center" wrapText="1"/>
    </xf>
    <xf numFmtId="0" fontId="46" fillId="8" borderId="105" xfId="0" applyFont="1" applyFill="1" applyBorder="1" applyAlignment="1">
      <alignment horizontal="center" vertical="center" wrapText="1"/>
    </xf>
    <xf numFmtId="0" fontId="46" fillId="8" borderId="106" xfId="0" applyFont="1" applyFill="1" applyBorder="1" applyAlignment="1">
      <alignment horizontal="center" vertical="center" wrapText="1"/>
    </xf>
    <xf numFmtId="0" fontId="44" fillId="43" borderId="49" xfId="14" applyFont="1" applyFill="1" applyBorder="1" applyAlignment="1">
      <alignment horizontal="center"/>
    </xf>
    <xf numFmtId="0" fontId="44" fillId="43" borderId="83" xfId="14" applyFont="1" applyFill="1" applyBorder="1" applyAlignment="1">
      <alignment horizontal="center"/>
    </xf>
    <xf numFmtId="0" fontId="44" fillId="43" borderId="50" xfId="14" applyFont="1" applyFill="1" applyBorder="1" applyAlignment="1">
      <alignment horizontal="center"/>
    </xf>
    <xf numFmtId="0" fontId="44" fillId="0" borderId="93" xfId="14" applyFont="1" applyBorder="1" applyAlignment="1">
      <alignment horizontal="center" vertical="center"/>
    </xf>
    <xf numFmtId="0" fontId="44" fillId="0" borderId="95" xfId="14" applyFont="1" applyBorder="1" applyAlignment="1">
      <alignment horizontal="center" vertical="center"/>
    </xf>
    <xf numFmtId="0" fontId="44" fillId="0" borderId="49" xfId="14" applyFont="1" applyBorder="1" applyAlignment="1">
      <alignment horizontal="center"/>
    </xf>
    <xf numFmtId="0" fontId="44" fillId="0" borderId="83" xfId="14" applyFont="1" applyBorder="1" applyAlignment="1">
      <alignment horizontal="center"/>
    </xf>
    <xf numFmtId="0" fontId="44" fillId="0" borderId="50" xfId="14" applyFont="1" applyBorder="1" applyAlignment="1">
      <alignment horizontal="center"/>
    </xf>
    <xf numFmtId="0" fontId="44" fillId="8" borderId="49" xfId="14" applyFont="1" applyFill="1" applyBorder="1" applyAlignment="1">
      <alignment horizontal="right"/>
    </xf>
    <xf numFmtId="0" fontId="44" fillId="8" borderId="83" xfId="14" applyFont="1" applyFill="1" applyBorder="1" applyAlignment="1">
      <alignment horizontal="right"/>
    </xf>
    <xf numFmtId="188" fontId="44" fillId="8" borderId="83" xfId="14" applyNumberFormat="1" applyFont="1" applyFill="1" applyBorder="1" applyAlignment="1">
      <alignment horizontal="center"/>
    </xf>
    <xf numFmtId="188" fontId="44" fillId="8" borderId="50" xfId="14" applyNumberFormat="1" applyFont="1" applyFill="1" applyBorder="1" applyAlignment="1">
      <alignment horizontal="center"/>
    </xf>
    <xf numFmtId="0" fontId="53" fillId="0" borderId="11" xfId="23" applyFont="1" applyBorder="1" applyAlignment="1">
      <alignment horizontal="center"/>
    </xf>
    <xf numFmtId="0" fontId="53" fillId="0" borderId="13" xfId="23" applyFont="1" applyBorder="1" applyAlignment="1">
      <alignment horizontal="center"/>
    </xf>
    <xf numFmtId="0" fontId="53" fillId="0" borderId="14" xfId="23" applyFont="1" applyBorder="1" applyAlignment="1">
      <alignment horizontal="center"/>
    </xf>
    <xf numFmtId="0" fontId="53" fillId="0" borderId="15" xfId="23" applyFont="1" applyBorder="1" applyAlignment="1">
      <alignment horizontal="center"/>
    </xf>
    <xf numFmtId="0" fontId="53" fillId="0" borderId="16" xfId="23" applyFont="1" applyBorder="1" applyAlignment="1">
      <alignment horizontal="center"/>
    </xf>
    <xf numFmtId="0" fontId="53" fillId="0" borderId="18" xfId="23" applyFont="1" applyBorder="1" applyAlignment="1">
      <alignment horizontal="center"/>
    </xf>
    <xf numFmtId="0" fontId="54" fillId="0" borderId="12" xfId="23" applyFont="1" applyBorder="1" applyAlignment="1">
      <alignment horizontal="center" vertical="center" wrapText="1"/>
    </xf>
    <xf numFmtId="0" fontId="54" fillId="0" borderId="13" xfId="23" applyFont="1" applyBorder="1" applyAlignment="1">
      <alignment horizontal="center" vertical="center" wrapText="1"/>
    </xf>
    <xf numFmtId="0" fontId="54" fillId="0" borderId="3" xfId="23" applyFont="1" applyAlignment="1">
      <alignment horizontal="center" vertical="center" wrapText="1"/>
    </xf>
    <xf numFmtId="0" fontId="54" fillId="0" borderId="15" xfId="23" applyFont="1" applyBorder="1" applyAlignment="1">
      <alignment horizontal="center" vertical="center" wrapText="1"/>
    </xf>
    <xf numFmtId="0" fontId="54" fillId="0" borderId="17" xfId="23" applyFont="1" applyBorder="1" applyAlignment="1">
      <alignment horizontal="center" vertical="center" wrapText="1"/>
    </xf>
    <xf numFmtId="0" fontId="54" fillId="0" borderId="18" xfId="23" applyFont="1" applyBorder="1" applyAlignment="1">
      <alignment horizontal="center" vertical="center" wrapText="1"/>
    </xf>
    <xf numFmtId="0" fontId="54" fillId="0" borderId="93" xfId="23" applyFont="1" applyBorder="1" applyAlignment="1">
      <alignment horizontal="center" vertical="center"/>
    </xf>
    <xf numFmtId="0" fontId="54" fillId="0" borderId="95" xfId="23" applyFont="1" applyBorder="1" applyAlignment="1">
      <alignment horizontal="center" vertical="center"/>
    </xf>
    <xf numFmtId="0" fontId="28" fillId="0" borderId="93" xfId="23" applyFont="1" applyBorder="1" applyAlignment="1">
      <alignment horizontal="center" vertical="center"/>
    </xf>
    <xf numFmtId="0" fontId="28" fillId="0" borderId="95" xfId="23" applyFont="1" applyBorder="1" applyAlignment="1">
      <alignment horizontal="center" vertical="center"/>
    </xf>
    <xf numFmtId="14" fontId="54" fillId="0" borderId="13" xfId="23" applyNumberFormat="1" applyFont="1" applyBorder="1" applyAlignment="1">
      <alignment horizontal="center" vertical="center" wrapText="1"/>
    </xf>
    <xf numFmtId="3" fontId="52" fillId="44" borderId="11" xfId="23" applyNumberFormat="1" applyFont="1" applyFill="1" applyBorder="1" applyAlignment="1">
      <alignment horizontal="center" vertical="center"/>
    </xf>
    <xf numFmtId="3" fontId="52" fillId="44" borderId="13" xfId="23" applyNumberFormat="1" applyFont="1" applyFill="1" applyBorder="1" applyAlignment="1">
      <alignment horizontal="center" vertical="center"/>
    </xf>
    <xf numFmtId="3" fontId="52" fillId="44" borderId="14" xfId="23" applyNumberFormat="1" applyFont="1" applyFill="1" applyBorder="1" applyAlignment="1">
      <alignment horizontal="center" vertical="center"/>
    </xf>
    <xf numFmtId="3" fontId="52" fillId="44" borderId="15" xfId="23" applyNumberFormat="1" applyFont="1" applyFill="1" applyBorder="1" applyAlignment="1">
      <alignment horizontal="center" vertical="center"/>
    </xf>
    <xf numFmtId="3" fontId="52" fillId="44" borderId="16" xfId="23" applyNumberFormat="1" applyFont="1" applyFill="1" applyBorder="1" applyAlignment="1">
      <alignment horizontal="center" vertical="center"/>
    </xf>
    <xf numFmtId="3" fontId="52" fillId="44" borderId="18" xfId="23" applyNumberFormat="1" applyFont="1" applyFill="1" applyBorder="1" applyAlignment="1">
      <alignment horizontal="center" vertical="center"/>
    </xf>
    <xf numFmtId="0" fontId="56" fillId="0" borderId="11" xfId="23" applyFont="1" applyBorder="1" applyAlignment="1">
      <alignment horizontal="center" vertical="center" wrapText="1"/>
    </xf>
    <xf numFmtId="0" fontId="38" fillId="0" borderId="12" xfId="23" applyFont="1" applyBorder="1" applyAlignment="1">
      <alignment horizontal="center" vertical="center"/>
    </xf>
    <xf numFmtId="0" fontId="38" fillId="0" borderId="13" xfId="23" applyFont="1" applyBorder="1" applyAlignment="1">
      <alignment horizontal="center" vertical="center"/>
    </xf>
    <xf numFmtId="0" fontId="38" fillId="0" borderId="14" xfId="23" applyFont="1" applyBorder="1" applyAlignment="1">
      <alignment horizontal="center" vertical="center"/>
    </xf>
    <xf numFmtId="0" fontId="38" fillId="0" borderId="3" xfId="23" applyFont="1" applyAlignment="1">
      <alignment horizontal="center" vertical="center"/>
    </xf>
    <xf numFmtId="0" fontId="38" fillId="0" borderId="15" xfId="23" applyFont="1" applyBorder="1" applyAlignment="1">
      <alignment horizontal="center" vertical="center"/>
    </xf>
    <xf numFmtId="0" fontId="38" fillId="0" borderId="16" xfId="23" applyFont="1" applyBorder="1" applyAlignment="1">
      <alignment horizontal="center" vertical="center"/>
    </xf>
    <xf numFmtId="0" fontId="38" fillId="0" borderId="17" xfId="23" applyFont="1" applyBorder="1" applyAlignment="1">
      <alignment horizontal="center" vertical="center"/>
    </xf>
    <xf numFmtId="0" fontId="38" fillId="0" borderId="18" xfId="23" applyFont="1" applyBorder="1" applyAlignment="1">
      <alignment horizontal="center" vertical="center"/>
    </xf>
    <xf numFmtId="3" fontId="52" fillId="44" borderId="11" xfId="23" applyNumberFormat="1" applyFont="1" applyFill="1" applyBorder="1" applyAlignment="1">
      <alignment horizontal="center" vertical="center" wrapText="1"/>
    </xf>
    <xf numFmtId="3" fontId="52" fillId="44" borderId="13" xfId="23" applyNumberFormat="1" applyFont="1" applyFill="1" applyBorder="1" applyAlignment="1">
      <alignment horizontal="center" vertical="center" wrapText="1"/>
    </xf>
    <xf numFmtId="3" fontId="52" fillId="44" borderId="16" xfId="23" applyNumberFormat="1" applyFont="1" applyFill="1" applyBorder="1" applyAlignment="1">
      <alignment horizontal="center" vertical="center" wrapText="1"/>
    </xf>
    <xf numFmtId="3" fontId="52" fillId="44" borderId="18" xfId="23" applyNumberFormat="1" applyFont="1" applyFill="1" applyBorder="1" applyAlignment="1">
      <alignment horizontal="center" vertical="center" wrapText="1"/>
    </xf>
    <xf numFmtId="0" fontId="54" fillId="0" borderId="11" xfId="14" applyFont="1" applyBorder="1" applyAlignment="1">
      <alignment horizontal="center" vertical="center" wrapText="1"/>
    </xf>
    <xf numFmtId="0" fontId="54" fillId="0" borderId="13" xfId="14" applyFont="1" applyBorder="1" applyAlignment="1">
      <alignment horizontal="center" vertical="center" wrapText="1"/>
    </xf>
    <xf numFmtId="0" fontId="54" fillId="0" borderId="16" xfId="14" applyFont="1" applyBorder="1" applyAlignment="1">
      <alignment horizontal="center" vertical="center" wrapText="1"/>
    </xf>
    <xf numFmtId="0" fontId="54" fillId="0" borderId="18" xfId="14" applyFont="1" applyBorder="1" applyAlignment="1">
      <alignment horizontal="center" vertical="center" wrapText="1"/>
    </xf>
    <xf numFmtId="0" fontId="52" fillId="44" borderId="16" xfId="23" applyFont="1" applyFill="1" applyBorder="1" applyAlignment="1">
      <alignment horizontal="center" vertical="center"/>
    </xf>
    <xf numFmtId="0" fontId="52" fillId="44" borderId="18" xfId="23" applyFont="1" applyFill="1" applyBorder="1" applyAlignment="1">
      <alignment horizontal="center" vertical="center"/>
    </xf>
    <xf numFmtId="14" fontId="55" fillId="0" borderId="16" xfId="23" applyNumberFormat="1" applyFont="1" applyBorder="1" applyAlignment="1">
      <alignment horizontal="center" vertical="center"/>
    </xf>
    <xf numFmtId="14" fontId="55" fillId="0" borderId="17" xfId="23" applyNumberFormat="1" applyFont="1" applyBorder="1" applyAlignment="1">
      <alignment horizontal="center" vertical="center"/>
    </xf>
    <xf numFmtId="14" fontId="55" fillId="0" borderId="18" xfId="23" applyNumberFormat="1" applyFont="1" applyBorder="1" applyAlignment="1">
      <alignment horizontal="center" vertical="center"/>
    </xf>
    <xf numFmtId="0" fontId="54" fillId="0" borderId="49" xfId="14" applyFont="1" applyBorder="1" applyAlignment="1">
      <alignment horizontal="center" vertical="center" wrapText="1"/>
    </xf>
    <xf numFmtId="0" fontId="54" fillId="0" borderId="50" xfId="14" applyFont="1" applyBorder="1" applyAlignment="1">
      <alignment horizontal="center" vertical="center" wrapText="1"/>
    </xf>
    <xf numFmtId="0" fontId="54" fillId="0" borderId="49" xfId="14" applyFont="1" applyBorder="1" applyAlignment="1">
      <alignment horizontal="center" vertical="center"/>
    </xf>
    <xf numFmtId="0" fontId="54" fillId="0" borderId="83" xfId="14" applyFont="1" applyBorder="1" applyAlignment="1">
      <alignment horizontal="center" vertical="center"/>
    </xf>
    <xf numFmtId="0" fontId="54" fillId="0" borderId="50" xfId="14" applyFont="1" applyBorder="1" applyAlignment="1">
      <alignment horizontal="center" vertical="center"/>
    </xf>
    <xf numFmtId="0" fontId="55" fillId="0" borderId="49" xfId="14" applyFont="1" applyBorder="1" applyAlignment="1">
      <alignment horizontal="center" vertical="center" wrapText="1"/>
    </xf>
    <xf numFmtId="0" fontId="55" fillId="0" borderId="50" xfId="14" applyFont="1" applyBorder="1" applyAlignment="1">
      <alignment horizontal="center" vertical="center" wrapText="1"/>
    </xf>
    <xf numFmtId="0" fontId="52" fillId="44" borderId="11" xfId="23" applyFont="1" applyFill="1" applyBorder="1" applyAlignment="1">
      <alignment horizontal="center" vertical="center"/>
    </xf>
    <xf numFmtId="0" fontId="52" fillId="44" borderId="12" xfId="23" applyFont="1" applyFill="1" applyBorder="1" applyAlignment="1">
      <alignment horizontal="center" vertical="center"/>
    </xf>
    <xf numFmtId="0" fontId="52" fillId="44" borderId="13" xfId="23" applyFont="1" applyFill="1" applyBorder="1" applyAlignment="1">
      <alignment horizontal="center" vertical="center"/>
    </xf>
    <xf numFmtId="0" fontId="57" fillId="0" borderId="11" xfId="23" applyFont="1" applyBorder="1" applyAlignment="1">
      <alignment horizontal="center" vertical="center" wrapText="1"/>
    </xf>
    <xf numFmtId="0" fontId="57" fillId="0" borderId="12" xfId="23" applyFont="1" applyBorder="1" applyAlignment="1">
      <alignment horizontal="center" vertical="center"/>
    </xf>
    <xf numFmtId="0" fontId="57" fillId="0" borderId="13" xfId="23" applyFont="1" applyBorder="1" applyAlignment="1">
      <alignment horizontal="center" vertical="center"/>
    </xf>
    <xf numFmtId="0" fontId="57" fillId="0" borderId="16" xfId="23" applyFont="1" applyBorder="1" applyAlignment="1">
      <alignment horizontal="center" vertical="center"/>
    </xf>
    <xf numFmtId="0" fontId="57" fillId="0" borderId="17" xfId="23" applyFont="1" applyBorder="1" applyAlignment="1">
      <alignment horizontal="center" vertical="center"/>
    </xf>
    <xf numFmtId="0" fontId="57" fillId="0" borderId="18" xfId="23" applyFont="1" applyBorder="1" applyAlignment="1">
      <alignment horizontal="center" vertical="center"/>
    </xf>
    <xf numFmtId="0" fontId="52" fillId="44" borderId="16" xfId="23" applyFont="1" applyFill="1" applyBorder="1" applyAlignment="1">
      <alignment horizontal="center" vertical="center" wrapText="1"/>
    </xf>
    <xf numFmtId="0" fontId="52" fillId="44" borderId="18" xfId="23" applyFont="1" applyFill="1" applyBorder="1" applyAlignment="1">
      <alignment horizontal="center" vertical="center" wrapText="1"/>
    </xf>
    <xf numFmtId="0" fontId="24" fillId="0" borderId="49" xfId="1" applyFill="1" applyBorder="1" applyAlignment="1">
      <alignment horizontal="center" vertical="center" wrapText="1"/>
    </xf>
    <xf numFmtId="0" fontId="57" fillId="0" borderId="83" xfId="23" applyFont="1" applyBorder="1" applyAlignment="1">
      <alignment horizontal="center" vertical="center" wrapText="1"/>
    </xf>
    <xf numFmtId="0" fontId="57" fillId="0" borderId="50" xfId="23" applyFont="1" applyBorder="1" applyAlignment="1">
      <alignment horizontal="center" vertical="center" wrapText="1"/>
    </xf>
    <xf numFmtId="0" fontId="52" fillId="44" borderId="49" xfId="23" applyFont="1" applyFill="1" applyBorder="1" applyAlignment="1">
      <alignment horizontal="center" vertical="center" wrapText="1"/>
    </xf>
    <xf numFmtId="0" fontId="52" fillId="44" borderId="50" xfId="23" applyFont="1" applyFill="1" applyBorder="1" applyAlignment="1">
      <alignment horizontal="center" vertical="center" wrapText="1"/>
    </xf>
    <xf numFmtId="0" fontId="52" fillId="44" borderId="83" xfId="23" applyFont="1" applyFill="1" applyBorder="1" applyAlignment="1">
      <alignment horizontal="center" vertical="center" wrapText="1"/>
    </xf>
    <xf numFmtId="0" fontId="57" fillId="8" borderId="49" xfId="23" applyFont="1" applyFill="1" applyBorder="1" applyAlignment="1" applyProtection="1">
      <alignment horizontal="center" vertical="center" wrapText="1"/>
      <protection locked="0"/>
    </xf>
    <xf numFmtId="0" fontId="57" fillId="8" borderId="96" xfId="23" applyFont="1" applyFill="1" applyBorder="1" applyAlignment="1" applyProtection="1">
      <alignment horizontal="center" vertical="center" wrapText="1"/>
      <protection locked="0"/>
    </xf>
    <xf numFmtId="0" fontId="55" fillId="8" borderId="97" xfId="23" applyFont="1" applyFill="1" applyBorder="1" applyAlignment="1" applyProtection="1">
      <alignment horizontal="center" vertical="center" wrapText="1"/>
      <protection locked="0"/>
    </xf>
    <xf numFmtId="0" fontId="55" fillId="8" borderId="83" xfId="23" applyFont="1" applyFill="1" applyBorder="1" applyAlignment="1" applyProtection="1">
      <alignment horizontal="center" vertical="center" wrapText="1"/>
      <protection locked="0"/>
    </xf>
    <xf numFmtId="0" fontId="55" fillId="8" borderId="96" xfId="23" applyFont="1" applyFill="1" applyBorder="1" applyAlignment="1" applyProtection="1">
      <alignment horizontal="center" vertical="center" wrapText="1"/>
      <protection locked="0"/>
    </xf>
    <xf numFmtId="0" fontId="57" fillId="8" borderId="39" xfId="23" applyFont="1" applyFill="1" applyBorder="1" applyAlignment="1" applyProtection="1">
      <alignment horizontal="center" vertical="center" wrapText="1"/>
      <protection locked="0"/>
    </xf>
    <xf numFmtId="0" fontId="57" fillId="8" borderId="40" xfId="23" applyFont="1" applyFill="1" applyBorder="1" applyAlignment="1" applyProtection="1">
      <alignment horizontal="center" vertical="center" wrapText="1"/>
      <protection locked="0"/>
    </xf>
    <xf numFmtId="0" fontId="55" fillId="8" borderId="40" xfId="23" applyFont="1" applyFill="1" applyBorder="1" applyAlignment="1" applyProtection="1">
      <alignment horizontal="center" vertical="center" wrapText="1"/>
      <protection locked="0"/>
    </xf>
    <xf numFmtId="0" fontId="57" fillId="8" borderId="14" xfId="23" applyFont="1" applyFill="1" applyBorder="1" applyAlignment="1" applyProtection="1">
      <alignment horizontal="center" vertical="center" wrapText="1"/>
      <protection locked="0"/>
    </xf>
    <xf numFmtId="0" fontId="57" fillId="8" borderId="89" xfId="23" applyFont="1" applyFill="1" applyBorder="1" applyAlignment="1" applyProtection="1">
      <alignment horizontal="center" vertical="center" wrapText="1"/>
      <protection locked="0"/>
    </xf>
    <xf numFmtId="0" fontId="55" fillId="8" borderId="98" xfId="23" applyFont="1" applyFill="1" applyBorder="1" applyAlignment="1" applyProtection="1">
      <alignment horizontal="center" vertical="center" wrapText="1"/>
      <protection locked="0"/>
    </xf>
    <xf numFmtId="0" fontId="55" fillId="8" borderId="17" xfId="23" applyFont="1" applyFill="1" applyBorder="1" applyAlignment="1" applyProtection="1">
      <alignment horizontal="center" vertical="center" wrapText="1"/>
      <protection locked="0"/>
    </xf>
    <xf numFmtId="0" fontId="55" fillId="8" borderId="99" xfId="23" applyFont="1" applyFill="1" applyBorder="1" applyAlignment="1" applyProtection="1">
      <alignment horizontal="center" vertical="center" wrapText="1"/>
      <protection locked="0"/>
    </xf>
    <xf numFmtId="0" fontId="57" fillId="8" borderId="11" xfId="23" applyFont="1" applyFill="1" applyBorder="1" applyAlignment="1" applyProtection="1">
      <alignment horizontal="center" vertical="center" wrapText="1"/>
      <protection locked="0"/>
    </xf>
    <xf numFmtId="0" fontId="57" fillId="8" borderId="100" xfId="23" applyFont="1" applyFill="1" applyBorder="1" applyAlignment="1" applyProtection="1">
      <alignment horizontal="center" vertical="center" wrapText="1"/>
      <protection locked="0"/>
    </xf>
    <xf numFmtId="0" fontId="57" fillId="8" borderId="16" xfId="23" applyFont="1" applyFill="1" applyBorder="1" applyAlignment="1" applyProtection="1">
      <alignment horizontal="center" vertical="center" wrapText="1"/>
      <protection locked="0"/>
    </xf>
    <xf numFmtId="0" fontId="57" fillId="8" borderId="99" xfId="23" applyFont="1" applyFill="1" applyBorder="1" applyAlignment="1" applyProtection="1">
      <alignment horizontal="center" vertical="center" wrapText="1"/>
      <protection locked="0"/>
    </xf>
    <xf numFmtId="0" fontId="55" fillId="8" borderId="101" xfId="23" applyFont="1" applyFill="1" applyBorder="1" applyAlignment="1" applyProtection="1">
      <alignment horizontal="center" vertical="center" wrapText="1"/>
      <protection locked="0"/>
    </xf>
    <xf numFmtId="0" fontId="55" fillId="8" borderId="88" xfId="23" applyFont="1" applyFill="1" applyBorder="1" applyAlignment="1" applyProtection="1">
      <alignment horizontal="center" vertical="center" wrapText="1"/>
      <protection locked="0"/>
    </xf>
    <xf numFmtId="0" fontId="55" fillId="8" borderId="84" xfId="23" applyFont="1" applyFill="1" applyBorder="1" applyAlignment="1" applyProtection="1">
      <alignment horizontal="center" vertical="center" wrapText="1"/>
      <protection locked="0"/>
    </xf>
    <xf numFmtId="0" fontId="55" fillId="8" borderId="75" xfId="23" applyFont="1" applyFill="1" applyBorder="1" applyAlignment="1" applyProtection="1">
      <alignment horizontal="center" vertical="center" wrapText="1"/>
      <protection locked="0"/>
    </xf>
    <xf numFmtId="0" fontId="55" fillId="8" borderId="67" xfId="23" applyFont="1" applyFill="1" applyBorder="1" applyAlignment="1" applyProtection="1">
      <alignment horizontal="center" vertical="center" wrapText="1"/>
      <protection locked="0"/>
    </xf>
    <xf numFmtId="0" fontId="55" fillId="8" borderId="53" xfId="23" applyFont="1" applyFill="1" applyBorder="1" applyAlignment="1" applyProtection="1">
      <alignment horizontal="center" vertical="center" wrapText="1"/>
      <protection locked="0"/>
    </xf>
    <xf numFmtId="0" fontId="55" fillId="8" borderId="81" xfId="23" applyFont="1" applyFill="1" applyBorder="1" applyAlignment="1" applyProtection="1">
      <alignment horizontal="center" vertical="center" wrapText="1"/>
      <protection locked="0"/>
    </xf>
    <xf numFmtId="0" fontId="55" fillId="8" borderId="102" xfId="23" applyFont="1" applyFill="1" applyBorder="1" applyAlignment="1" applyProtection="1">
      <alignment horizontal="center" vertical="center" wrapText="1"/>
      <protection locked="0"/>
    </xf>
    <xf numFmtId="0" fontId="55" fillId="8" borderId="87" xfId="23" applyFont="1" applyFill="1" applyBorder="1" applyAlignment="1" applyProtection="1">
      <alignment horizontal="center" vertical="center" wrapText="1"/>
      <protection locked="0"/>
    </xf>
    <xf numFmtId="0" fontId="55" fillId="0" borderId="81" xfId="23" applyFont="1" applyBorder="1" applyAlignment="1">
      <alignment horizontal="center" vertical="center"/>
    </xf>
    <xf numFmtId="0" fontId="55" fillId="0" borderId="102" xfId="23" applyFont="1" applyBorder="1" applyAlignment="1">
      <alignment horizontal="center" vertical="center"/>
    </xf>
    <xf numFmtId="0" fontId="55" fillId="0" borderId="87" xfId="23" applyFont="1" applyBorder="1" applyAlignment="1">
      <alignment horizontal="center" vertical="center"/>
    </xf>
    <xf numFmtId="0" fontId="57" fillId="8" borderId="25" xfId="23" applyFont="1" applyFill="1" applyBorder="1" applyAlignment="1" applyProtection="1">
      <alignment horizontal="center" vertical="center" wrapText="1"/>
      <protection locked="0"/>
    </xf>
    <xf numFmtId="0" fontId="57" fillId="8" borderId="37" xfId="23" applyFont="1" applyFill="1" applyBorder="1" applyAlignment="1" applyProtection="1">
      <alignment horizontal="center" vertical="center" wrapText="1"/>
      <protection locked="0"/>
    </xf>
    <xf numFmtId="0" fontId="57" fillId="8" borderId="27" xfId="23" applyFont="1" applyFill="1" applyBorder="1" applyAlignment="1" applyProtection="1">
      <alignment horizontal="center" vertical="center" wrapText="1"/>
      <protection locked="0"/>
    </xf>
    <xf numFmtId="0" fontId="57" fillId="8" borderId="6" xfId="23" applyFont="1" applyFill="1" applyBorder="1" applyAlignment="1" applyProtection="1">
      <alignment horizontal="center" vertical="center" wrapText="1"/>
      <protection locked="0"/>
    </xf>
    <xf numFmtId="0" fontId="57" fillId="8" borderId="29" xfId="23" applyFont="1" applyFill="1" applyBorder="1" applyAlignment="1" applyProtection="1">
      <alignment horizontal="center" vertical="center" wrapText="1"/>
      <protection locked="0"/>
    </xf>
    <xf numFmtId="0" fontId="57" fillId="8" borderId="33" xfId="23" applyFont="1" applyFill="1" applyBorder="1" applyAlignment="1" applyProtection="1">
      <alignment horizontal="center" vertical="center" wrapText="1"/>
      <protection locked="0"/>
    </xf>
    <xf numFmtId="0" fontId="55" fillId="0" borderId="37" xfId="23" applyFont="1" applyBorder="1" applyAlignment="1">
      <alignment horizontal="center" vertical="top" wrapText="1"/>
    </xf>
    <xf numFmtId="0" fontId="55" fillId="0" borderId="26" xfId="23" applyFont="1" applyBorder="1" applyAlignment="1">
      <alignment horizontal="center" vertical="top" wrapText="1"/>
    </xf>
    <xf numFmtId="0" fontId="55" fillId="0" borderId="6" xfId="23" applyFont="1" applyBorder="1" applyAlignment="1">
      <alignment horizontal="center" vertical="top" wrapText="1"/>
    </xf>
    <xf numFmtId="0" fontId="55" fillId="0" borderId="28" xfId="23" applyFont="1" applyBorder="1" applyAlignment="1">
      <alignment horizontal="center" vertical="top" wrapText="1"/>
    </xf>
    <xf numFmtId="0" fontId="55" fillId="0" borderId="33" xfId="23" applyFont="1" applyBorder="1" applyAlignment="1">
      <alignment horizontal="center" vertical="top" wrapText="1"/>
    </xf>
    <xf numFmtId="0" fontId="55" fillId="0" borderId="30" xfId="23" applyFont="1" applyBorder="1" applyAlignment="1">
      <alignment horizontal="center" vertical="top" wrapText="1"/>
    </xf>
    <xf numFmtId="0" fontId="57" fillId="8" borderId="3" xfId="23" applyFont="1" applyFill="1" applyAlignment="1" applyProtection="1">
      <alignment horizontal="center" vertical="center" wrapText="1"/>
      <protection locked="0"/>
    </xf>
    <xf numFmtId="0" fontId="57" fillId="8" borderId="15" xfId="23" applyFont="1" applyFill="1" applyBorder="1" applyAlignment="1" applyProtection="1">
      <alignment horizontal="center" vertical="center" wrapText="1"/>
      <protection locked="0"/>
    </xf>
    <xf numFmtId="0" fontId="57" fillId="8" borderId="17" xfId="23" applyFont="1" applyFill="1" applyBorder="1" applyAlignment="1" applyProtection="1">
      <alignment horizontal="center" vertical="center" wrapText="1"/>
      <protection locked="0"/>
    </xf>
    <xf numFmtId="0" fontId="57" fillId="8" borderId="18" xfId="23" applyFont="1" applyFill="1" applyBorder="1" applyAlignment="1" applyProtection="1">
      <alignment horizontal="center" vertical="center" wrapText="1"/>
      <protection locked="0"/>
    </xf>
    <xf numFmtId="0" fontId="55" fillId="8" borderId="97" xfId="23" applyFont="1" applyFill="1" applyBorder="1" applyAlignment="1" applyProtection="1">
      <alignment horizontal="left" vertical="center" wrapText="1"/>
      <protection locked="0"/>
    </xf>
    <xf numFmtId="0" fontId="55" fillId="8" borderId="83" xfId="23" applyFont="1" applyFill="1" applyBorder="1" applyAlignment="1" applyProtection="1">
      <alignment horizontal="left" vertical="center" wrapText="1"/>
      <protection locked="0"/>
    </xf>
    <xf numFmtId="0" fontId="55" fillId="8" borderId="50" xfId="23" applyFont="1" applyFill="1" applyBorder="1" applyAlignment="1" applyProtection="1">
      <alignment horizontal="left" vertical="center" wrapText="1"/>
      <protection locked="0"/>
    </xf>
    <xf numFmtId="0" fontId="17" fillId="0" borderId="6" xfId="0" applyFont="1" applyBorder="1" applyAlignment="1">
      <alignment horizontal="center"/>
    </xf>
    <xf numFmtId="0" fontId="21" fillId="0" borderId="54" xfId="0" applyFont="1" applyBorder="1" applyAlignment="1">
      <alignment horizontal="center"/>
    </xf>
    <xf numFmtId="0" fontId="0" fillId="0" borderId="55" xfId="0" applyBorder="1" applyAlignment="1">
      <alignment horizontal="center"/>
    </xf>
    <xf numFmtId="0" fontId="21" fillId="0" borderId="54" xfId="0" applyFont="1" applyBorder="1" applyAlignment="1">
      <alignment horizontal="center" wrapText="1"/>
    </xf>
    <xf numFmtId="0" fontId="0" fillId="0" borderId="55" xfId="0" applyBorder="1" applyAlignment="1">
      <alignment horizontal="center" wrapText="1"/>
    </xf>
    <xf numFmtId="0" fontId="21" fillId="0" borderId="56" xfId="0" applyFont="1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21" fillId="0" borderId="56" xfId="0" applyFont="1" applyBorder="1" applyAlignment="1">
      <alignment horizontal="center" wrapText="1"/>
    </xf>
    <xf numFmtId="0" fontId="0" fillId="0" borderId="57" xfId="0" applyBorder="1" applyAlignment="1">
      <alignment horizontal="center" wrapText="1"/>
    </xf>
    <xf numFmtId="0" fontId="28" fillId="14" borderId="49" xfId="4" applyFont="1" applyFill="1" applyBorder="1" applyAlignment="1">
      <alignment horizontal="center"/>
    </xf>
    <xf numFmtId="0" fontId="27" fillId="14" borderId="50" xfId="4" applyFill="1" applyBorder="1" applyAlignment="1">
      <alignment horizontal="center"/>
    </xf>
    <xf numFmtId="0" fontId="44" fillId="32" borderId="49" xfId="4" applyFont="1" applyFill="1" applyBorder="1" applyAlignment="1">
      <alignment horizontal="center"/>
    </xf>
    <xf numFmtId="0" fontId="46" fillId="32" borderId="50" xfId="4" applyFont="1" applyFill="1" applyBorder="1" applyAlignment="1">
      <alignment horizontal="center"/>
    </xf>
    <xf numFmtId="0" fontId="43" fillId="33" borderId="59" xfId="0" applyFont="1" applyFill="1" applyBorder="1" applyAlignment="1">
      <alignment horizontal="center"/>
    </xf>
    <xf numFmtId="0" fontId="43" fillId="33" borderId="88" xfId="0" applyFont="1" applyFill="1" applyBorder="1" applyAlignment="1">
      <alignment horizontal="center"/>
    </xf>
    <xf numFmtId="0" fontId="43" fillId="33" borderId="84" xfId="0" applyFont="1" applyFill="1" applyBorder="1" applyAlignment="1">
      <alignment horizontal="center"/>
    </xf>
    <xf numFmtId="0" fontId="50" fillId="37" borderId="29" xfId="0" applyFont="1" applyFill="1" applyBorder="1" applyAlignment="1">
      <alignment horizontal="right"/>
    </xf>
    <xf numFmtId="0" fontId="50" fillId="37" borderId="33" xfId="0" applyFont="1" applyFill="1" applyBorder="1" applyAlignment="1">
      <alignment horizontal="right"/>
    </xf>
    <xf numFmtId="0" fontId="50" fillId="37" borderId="25" xfId="0" applyFont="1" applyFill="1" applyBorder="1" applyAlignment="1">
      <alignment horizontal="right"/>
    </xf>
    <xf numFmtId="0" fontId="50" fillId="37" borderId="37" xfId="0" applyFont="1" applyFill="1" applyBorder="1" applyAlignment="1">
      <alignment horizontal="right"/>
    </xf>
    <xf numFmtId="0" fontId="50" fillId="37" borderId="27" xfId="0" applyFont="1" applyFill="1" applyBorder="1" applyAlignment="1">
      <alignment horizontal="right"/>
    </xf>
    <xf numFmtId="0" fontId="50" fillId="37" borderId="6" xfId="0" applyFont="1" applyFill="1" applyBorder="1" applyAlignment="1">
      <alignment horizontal="right"/>
    </xf>
    <xf numFmtId="0" fontId="46" fillId="0" borderId="85" xfId="0" applyFont="1" applyBorder="1" applyAlignment="1">
      <alignment horizontal="center" vertical="center" wrapText="1"/>
    </xf>
    <xf numFmtId="0" fontId="46" fillId="0" borderId="67" xfId="0" applyFont="1" applyBorder="1" applyAlignment="1">
      <alignment horizontal="center" vertical="center" wrapText="1"/>
    </xf>
    <xf numFmtId="0" fontId="46" fillId="0" borderId="53" xfId="0" applyFont="1" applyBorder="1" applyAlignment="1">
      <alignment horizontal="center" vertical="center" wrapText="1"/>
    </xf>
    <xf numFmtId="0" fontId="46" fillId="0" borderId="86" xfId="0" applyFont="1" applyBorder="1" applyAlignment="1">
      <alignment horizontal="center" vertical="center" wrapText="1"/>
    </xf>
    <xf numFmtId="0" fontId="46" fillId="0" borderId="102" xfId="0" applyFont="1" applyBorder="1" applyAlignment="1">
      <alignment horizontal="center" vertical="center" wrapText="1"/>
    </xf>
    <xf numFmtId="0" fontId="46" fillId="0" borderId="87" xfId="0" applyFont="1" applyBorder="1" applyAlignment="1">
      <alignment horizontal="center" vertical="center" wrapText="1"/>
    </xf>
  </cellXfs>
  <cellStyles count="31">
    <cellStyle name="Hipervínculo" xfId="1" builtinId="8"/>
    <cellStyle name="Hipervínculo 2" xfId="11" xr:uid="{608838C9-C2D4-AB46-A14D-B16305B824A4}"/>
    <cellStyle name="Hipervínculo 2 2" xfId="24" xr:uid="{7EFE23C0-01F5-467E-B243-1F3151FCD42A}"/>
    <cellStyle name="Incorrecto" xfId="29" builtinId="27"/>
    <cellStyle name="Millares" xfId="12" builtinId="3"/>
    <cellStyle name="Millares [0]" xfId="13" builtinId="6"/>
    <cellStyle name="Millares [0] 2" xfId="22" xr:uid="{89BF67DD-03FD-4DC2-91D8-87C3EA05D73A}"/>
    <cellStyle name="Millares 2" xfId="5" xr:uid="{00000000-0005-0000-0000-000001000000}"/>
    <cellStyle name="Millares 2 2" xfId="15" xr:uid="{17DCA2BE-48E3-4804-B1BE-510469A74AB8}"/>
    <cellStyle name="Millares 3" xfId="27" xr:uid="{7B7C362C-F0AA-46B8-80FB-99FD377803F3}"/>
    <cellStyle name="Moneda" xfId="3" builtinId="4"/>
    <cellStyle name="Moneda [0]" xfId="10" builtinId="7"/>
    <cellStyle name="Moneda [0] 2" xfId="9" xr:uid="{00000000-0005-0000-0000-000004000000}"/>
    <cellStyle name="Moneda [0] 2 2" xfId="21" xr:uid="{81BA3642-00A3-4F3F-A451-7E232C961836}"/>
    <cellStyle name="Moneda [0] 3" xfId="20" xr:uid="{FCAFCDC9-911C-4BDC-A733-71E870DF919D}"/>
    <cellStyle name="Moneda 2" xfId="7" xr:uid="{00000000-0005-0000-0000-000005000000}"/>
    <cellStyle name="Moneda 2 2" xfId="18" xr:uid="{E0DA7708-34A6-4C15-A121-5A486B25596E}"/>
    <cellStyle name="Moneda 3" xfId="26" xr:uid="{52565400-A5BA-47DB-A959-2132E8E58A8D}"/>
    <cellStyle name="Normal" xfId="0" builtinId="0"/>
    <cellStyle name="Normal 2" xfId="8" xr:uid="{00000000-0005-0000-0000-000007000000}"/>
    <cellStyle name="Normal 2 2" xfId="19" xr:uid="{6B90BCF9-C19C-4407-A3C4-10EA2CC0260F}"/>
    <cellStyle name="Normal 3" xfId="4" xr:uid="{00000000-0005-0000-0000-000008000000}"/>
    <cellStyle name="Normal 3 2" xfId="14" xr:uid="{3B449C1F-EC0C-481D-906B-A47CAAB302F3}"/>
    <cellStyle name="Normal 4" xfId="23" xr:uid="{7B24E1EC-A33D-4F53-BA91-C2539BD62076}"/>
    <cellStyle name="Normal 5" xfId="28" xr:uid="{4C2EF8DA-21AA-4CCE-9856-7B0539A3F82F}"/>
    <cellStyle name="Normal 6" xfId="30" xr:uid="{B0F8DF10-CF60-435F-ACFA-92173638B8F4}"/>
    <cellStyle name="Porcentaje" xfId="2" builtinId="5"/>
    <cellStyle name="Porcentaje 2" xfId="6" xr:uid="{00000000-0005-0000-0000-00000A000000}"/>
    <cellStyle name="Porcentaje 2 2" xfId="16" xr:uid="{9A9F5FA3-60A3-4DA5-ABD4-7A64DDC879B3}"/>
    <cellStyle name="Porcentaje 3" xfId="17" xr:uid="{C4D575DC-6071-4413-B538-785A22B23843}"/>
    <cellStyle name="Porcentaje 3 2" xfId="25" xr:uid="{959B2DA6-E4E4-43F8-B391-68543078F0E2}"/>
  </cellStyles>
  <dxfs count="135"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ont>
        <strike val="0"/>
        <outline val="0"/>
        <shadow val="0"/>
        <vertAlign val="baseline"/>
        <sz val="11"/>
        <name val="Calibri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none"/>
      </font>
      <numFmt numFmtId="172" formatCode="_-&quot;$&quot;\ * #,##0_-;\-&quot;$&quot;\ * #,##0_-;_-&quot;$&quot;\ * &quot;-&quot;_-;_-@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none"/>
      </font>
      <numFmt numFmtId="172" formatCode="_-&quot;$&quot;\ * #,##0_-;\-&quot;$&quot;\ * #,##0_-;_-&quot;$&quot;\ * &quot;-&quot;_-;_-@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2" formatCode="_-&quot;$&quot;\ * #,##0_-;\-&quot;$&quot;\ * #,##0_-;_-&quot;$&quot;\ * &quot;-&quot;_-;_-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3" formatCode="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textRotation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" formatCode="#,##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(* #,##0_);_(* \(#,##0\);_(* &quot;-&quot;_);_(@_)"/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(* #,##0_);_(* \(#,##0\);_(* &quot;-&quot;_);_(@_)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72" formatCode="_-&quot;$&quot;\ * #,##0_-;\-&quot;$&quot;\ * #,##0_-;_-&quot;$&quot;\ * &quot;-&quot;_-;_-@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4" formatCode="0.00%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left style="thin">
          <color rgb="FF000000"/>
        </left>
        <right style="thin">
          <color indexed="64"/>
        </right>
      </border>
    </dxf>
    <dxf>
      <font>
        <strike val="0"/>
        <outline val="0"/>
        <shadow val="0"/>
        <vertAlign val="baseline"/>
        <sz val="1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76" formatCode="_-[$$-240A]\ * #,##0.00_-;\-[$$-240A]\ * #,##0.00_-;_-[$$-240A]\ * &quot;-&quot;??_-;_-@_-"/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75" formatCode="0.00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general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 style="thin">
          <color rgb="FF000000"/>
        </left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none"/>
      </font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aj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color rgb="FF9C5700"/>
      </font>
      <fill>
        <patternFill>
          <bgColor rgb="FFFFEB9C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537848"/>
      <color rgb="FFA40000"/>
      <color rgb="FFE7BC07"/>
      <color rgb="FFCCA606"/>
      <color rgb="FF076A83"/>
      <color rgb="FF465A23"/>
      <color rgb="FFD2AB06"/>
      <color rgb="FF9B9A9A"/>
      <color rgb="FF0B6A85"/>
      <color rgb="FF4670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3.6973972003499563E-2"/>
                  <c:y val="-0.2353320939049285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2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</c:trendlineLbl>
          </c:trendline>
          <c:xVal>
            <c:numRef>
              <c:f>'Mejoras Simón'!$A$27:$A$50</c:f>
              <c:numCache>
                <c:formatCode>General</c:formatCode>
                <c:ptCount val="24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50000</c:v>
                </c:pt>
                <c:pt idx="22">
                  <c:v>100000</c:v>
                </c:pt>
                <c:pt idx="23">
                  <c:v>150000</c:v>
                </c:pt>
              </c:numCache>
            </c:numRef>
          </c:xVal>
          <c:yVal>
            <c:numRef>
              <c:f>'Mejoras Simón'!$B$27:$B$50</c:f>
              <c:numCache>
                <c:formatCode>General</c:formatCode>
                <c:ptCount val="24"/>
                <c:pt idx="0">
                  <c:v>700</c:v>
                </c:pt>
                <c:pt idx="1">
                  <c:v>300</c:v>
                </c:pt>
                <c:pt idx="2">
                  <c:v>178</c:v>
                </c:pt>
                <c:pt idx="3">
                  <c:v>170</c:v>
                </c:pt>
                <c:pt idx="4">
                  <c:v>150</c:v>
                </c:pt>
                <c:pt idx="5">
                  <c:v>137</c:v>
                </c:pt>
                <c:pt idx="6">
                  <c:v>129</c:v>
                </c:pt>
                <c:pt idx="7">
                  <c:v>120</c:v>
                </c:pt>
                <c:pt idx="8">
                  <c:v>112</c:v>
                </c:pt>
                <c:pt idx="9">
                  <c:v>104</c:v>
                </c:pt>
                <c:pt idx="10">
                  <c:v>98</c:v>
                </c:pt>
                <c:pt idx="11">
                  <c:v>94</c:v>
                </c:pt>
                <c:pt idx="12">
                  <c:v>90</c:v>
                </c:pt>
                <c:pt idx="13">
                  <c:v>86</c:v>
                </c:pt>
                <c:pt idx="14">
                  <c:v>82</c:v>
                </c:pt>
                <c:pt idx="15">
                  <c:v>80</c:v>
                </c:pt>
                <c:pt idx="16">
                  <c:v>79</c:v>
                </c:pt>
                <c:pt idx="17">
                  <c:v>78</c:v>
                </c:pt>
                <c:pt idx="18">
                  <c:v>77</c:v>
                </c:pt>
                <c:pt idx="19">
                  <c:v>76</c:v>
                </c:pt>
                <c:pt idx="20">
                  <c:v>75</c:v>
                </c:pt>
                <c:pt idx="21">
                  <c:v>60</c:v>
                </c:pt>
                <c:pt idx="22">
                  <c:v>40</c:v>
                </c:pt>
                <c:pt idx="23">
                  <c:v>33.333333333333336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471-96F1-4893C99D51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0293807"/>
        <c:axId val="2000292143"/>
      </c:scatterChart>
      <c:valAx>
        <c:axId val="2000293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00292143"/>
        <c:crosses val="autoZero"/>
        <c:crossBetween val="midCat"/>
      </c:valAx>
      <c:valAx>
        <c:axId val="2000292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00293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layout>
                <c:manualLayout>
                  <c:x val="1.6046806649168854E-2"/>
                  <c:y val="-0.159527559055118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</c:trendlineLbl>
          </c:trendline>
          <c:xVal>
            <c:numRef>
              <c:f>'Mejoras Simón'!$A$20:$A$23</c:f>
              <c:numCache>
                <c:formatCode>General</c:formatCode>
                <c:ptCount val="4"/>
                <c:pt idx="0">
                  <c:v>1000</c:v>
                </c:pt>
                <c:pt idx="1">
                  <c:v>10000</c:v>
                </c:pt>
                <c:pt idx="2">
                  <c:v>50000</c:v>
                </c:pt>
                <c:pt idx="3">
                  <c:v>100000</c:v>
                </c:pt>
              </c:numCache>
            </c:numRef>
          </c:xVal>
          <c:yVal>
            <c:numRef>
              <c:f>'Mejoras Simón'!$C$20:$C$23</c:f>
              <c:numCache>
                <c:formatCode>General</c:formatCode>
                <c:ptCount val="4"/>
                <c:pt idx="0">
                  <c:v>200000</c:v>
                </c:pt>
                <c:pt idx="1">
                  <c:v>120000</c:v>
                </c:pt>
                <c:pt idx="2">
                  <c:v>80000</c:v>
                </c:pt>
                <c:pt idx="3">
                  <c:v>60000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73-41E3-9A74-944018A7D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2923087"/>
        <c:axId val="642935151"/>
      </c:scatterChart>
      <c:valAx>
        <c:axId val="642923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2935151"/>
        <c:crosses val="autoZero"/>
        <c:crossBetween val="midCat"/>
      </c:valAx>
      <c:valAx>
        <c:axId val="642935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2923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9049606299212599"/>
                  <c:y val="-5.597623213764946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</c:trendlineLbl>
          </c:trendline>
          <c:xVal>
            <c:numRef>
              <c:f>'Datos Equipos'!$E$235:$E$236</c:f>
              <c:numCache>
                <c:formatCode>General</c:formatCode>
                <c:ptCount val="2"/>
              </c:numCache>
            </c:numRef>
          </c:xVal>
          <c:yVal>
            <c:numRef>
              <c:f>'Datos Equipos'!$F$235:$F$236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9E-428C-A21F-7E05A0AA5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2825136"/>
        <c:axId val="976328656"/>
      </c:scatterChart>
      <c:valAx>
        <c:axId val="97282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76328656"/>
        <c:crosses val="autoZero"/>
        <c:crossBetween val="midCat"/>
      </c:valAx>
      <c:valAx>
        <c:axId val="97632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7282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layout>
                <c:manualLayout>
                  <c:x val="-0.14748140857392822"/>
                  <c:y val="7.82870370370370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</c:trendlineLbl>
          </c:trendline>
          <c:xVal>
            <c:strRef>
              <c:f>'Datos Equipos'!$E$178:$E$180</c:f>
              <c:strCache>
                <c:ptCount val="3"/>
                <c:pt idx="1">
                  <c:v>Acometida</c:v>
                </c:pt>
                <c:pt idx="2">
                  <c:v>27,0199926</c:v>
                </c:pt>
              </c:strCache>
            </c:strRef>
          </c:xVal>
          <c:yVal>
            <c:numRef>
              <c:f>'Datos Equipos'!$F$178:$F$180</c:f>
              <c:numCache>
                <c:formatCode>General</c:formatCode>
                <c:ptCount val="3"/>
                <c:pt idx="2">
                  <c:v>50468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9-4D41-AD12-1BB85AFDE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575984"/>
        <c:axId val="106580560"/>
      </c:scatterChart>
      <c:valAx>
        <c:axId val="106575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580560"/>
        <c:crosses val="autoZero"/>
        <c:crossBetween val="midCat"/>
      </c:valAx>
      <c:valAx>
        <c:axId val="10658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575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9049606299212599"/>
                  <c:y val="-5.597623213764946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</c:trendlineLbl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F7-45DF-B04A-8D5A1F278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2825136"/>
        <c:axId val="976328656"/>
      </c:scatterChart>
      <c:valAx>
        <c:axId val="97282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76328656"/>
        <c:crosses val="autoZero"/>
        <c:crossBetween val="midCat"/>
      </c:valAx>
      <c:valAx>
        <c:axId val="97632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7282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layout>
                <c:manualLayout>
                  <c:x val="-0.14748140857392822"/>
                  <c:y val="7.82870370370370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</c:trendlineLbl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0E-4CCB-8CD5-E459DEEDB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575984"/>
        <c:axId val="106580560"/>
      </c:scatterChart>
      <c:valAx>
        <c:axId val="106575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580560"/>
        <c:crosses val="autoZero"/>
        <c:crossBetween val="midCat"/>
      </c:valAx>
      <c:valAx>
        <c:axId val="10658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575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_tradnl"/>
              <a:t>Flujo de Caja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465A23"/>
            </a:solidFill>
            <a:ln>
              <a:noFill/>
            </a:ln>
            <a:effectLst/>
          </c:spPr>
          <c:invertIfNegative val="0"/>
          <c:val>
            <c:numRef>
              <c:f>'PPA Calculos'!$C$48:$AB$48</c:f>
              <c:numCache>
                <c:formatCode>_(* #,##0_);_(* \(#,##0\);_(* "-"??_);_(@_)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'PPA Calculos'!$C$33:$AB$33</c15:sqref>
                        </c15:formulaRef>
                      </c:ext>
                    </c:extLst>
                    <c:numCache>
                      <c:formatCode>General</c:formatCode>
                      <c:ptCount val="2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FE13-4536-BA0F-5EC74C818F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565248"/>
        <c:axId val="174566784"/>
      </c:barChart>
      <c:catAx>
        <c:axId val="1745652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4566784"/>
        <c:crosses val="autoZero"/>
        <c:auto val="1"/>
        <c:lblAlgn val="ctr"/>
        <c:lblOffset val="100"/>
        <c:noMultiLvlLbl val="0"/>
      </c:catAx>
      <c:valAx>
        <c:axId val="17456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456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'PPA Calculos'!$B$49</c:f>
              <c:strCache>
                <c:ptCount val="1"/>
                <c:pt idx="0">
                  <c:v>Flujo de Caja Acumulado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'PPA Calculos'!$C$33:$AB$33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'PPA Calculos'!$C$49:$AB$49</c:f>
              <c:numCache>
                <c:formatCode>_(* #,##0_);_(* \(#,##0\);_(* "-"??_);_(@_)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73-46C9-8795-AE2DD2C12B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678016"/>
        <c:axId val="174679936"/>
      </c:scatterChart>
      <c:valAx>
        <c:axId val="174678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4679936"/>
        <c:crosses val="autoZero"/>
        <c:crossBetween val="midCat"/>
      </c:valAx>
      <c:valAx>
        <c:axId val="17467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4678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Precios!$C$1</c:f>
              <c:strCache>
                <c:ptCount val="1"/>
                <c:pt idx="0">
                  <c:v>$/kWp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Precios!$B$2:$B$7</c:f>
              <c:numCache>
                <c:formatCode>General</c:formatCode>
                <c:ptCount val="6"/>
                <c:pt idx="0">
                  <c:v>2.34</c:v>
                </c:pt>
                <c:pt idx="1">
                  <c:v>5.2649999999999997</c:v>
                </c:pt>
                <c:pt idx="2">
                  <c:v>12.87</c:v>
                </c:pt>
                <c:pt idx="3">
                  <c:v>25.155000000000001</c:v>
                </c:pt>
                <c:pt idx="4">
                  <c:v>62.01</c:v>
                </c:pt>
                <c:pt idx="5">
                  <c:v>123.435</c:v>
                </c:pt>
              </c:numCache>
            </c:numRef>
          </c:xVal>
          <c:yVal>
            <c:numRef>
              <c:f>Precios!$C$2:$C$7</c:f>
              <c:numCache>
                <c:formatCode>_-[$$-240A]\ * #,##0_-;\-[$$-240A]\ * #,##0_-;_-[$$-240A]\ * "-"??_-;_-@_-</c:formatCode>
                <c:ptCount val="6"/>
                <c:pt idx="0">
                  <c:v>6056658.9357674047</c:v>
                </c:pt>
                <c:pt idx="1">
                  <c:v>4462645.5682435259</c:v>
                </c:pt>
                <c:pt idx="2">
                  <c:v>4139714.7060548617</c:v>
                </c:pt>
                <c:pt idx="3">
                  <c:v>4109588.5121149886</c:v>
                </c:pt>
                <c:pt idx="4">
                  <c:v>4075838.790325982</c:v>
                </c:pt>
                <c:pt idx="5">
                  <c:v>4007760.1720611528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EC-42F5-B834-8273835B2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095552"/>
        <c:axId val="267113312"/>
      </c:scatterChart>
      <c:valAx>
        <c:axId val="267095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7113312"/>
        <c:crosses val="autoZero"/>
        <c:crossBetween val="midCat"/>
      </c:valAx>
      <c:valAx>
        <c:axId val="26711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240A]\ * #,##0_-;\-[$$-240A]\ * #,##0_-;_-[$$-240A]\ 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7095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Lovelo Black" panose="02000000000000000000" pitchFamily="50" charset="0"/>
                <a:ea typeface="+mn-ea"/>
                <a:cs typeface="+mn-cs"/>
              </a:defRPr>
            </a:pPr>
            <a:r>
              <a:rPr lang="es-ES_tradnl" sz="1400">
                <a:latin typeface="Lovelo Black" panose="02000000000000000000" pitchFamily="50" charset="0"/>
              </a:rPr>
              <a:t>Flujo de Caja PPA 10 años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Lovelo Black" panose="02000000000000000000" pitchFamily="50" charset="0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Flujo de Caja PPA 10 años</c:v>
          </c:tx>
          <c:spPr>
            <a:solidFill>
              <a:schemeClr val="dk1">
                <a:tint val="55000"/>
              </a:schemeClr>
            </a:solidFill>
            <a:ln>
              <a:noFill/>
            </a:ln>
            <a:effectLst/>
          </c:spPr>
          <c:invertIfNegative val="0"/>
          <c:cat>
            <c:numRef>
              <c:f>'PPA Flujo de Caja Cliente'!$C$4:$AB$4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'PPA Flujo de Caja Cliente'!$C$15:$AB$15</c:f>
              <c:numCache>
                <c:formatCode>_(* #,##0_);_(* \(#,##0\);_(* "-"??_);_(@_)</c:formatCode>
                <c:ptCount val="26"/>
                <c:pt idx="1">
                  <c:v>2767115.3678408731</c:v>
                </c:pt>
                <c:pt idx="2">
                  <c:v>3207222.0941729844</c:v>
                </c:pt>
                <c:pt idx="3">
                  <c:v>3683767.638635511</c:v>
                </c:pt>
                <c:pt idx="4">
                  <c:v>4199345.5763272047</c:v>
                </c:pt>
                <c:pt idx="5">
                  <c:v>4756723.8220123071</c:v>
                </c:pt>
                <c:pt idx="6">
                  <c:v>5358856.0599263413</c:v>
                </c:pt>
                <c:pt idx="7">
                  <c:v>6008893.9142911714</c:v>
                </c:pt>
                <c:pt idx="8">
                  <c:v>6710199.9082767991</c:v>
                </c:pt>
                <c:pt idx="9">
                  <c:v>7466361.2622156488</c:v>
                </c:pt>
                <c:pt idx="10">
                  <c:v>8281204.5851406436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E4-4DC7-BE6A-B33123335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565248"/>
        <c:axId val="174566784"/>
      </c:barChart>
      <c:catAx>
        <c:axId val="1745652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ontserrat" panose="00000500000000000000" pitchFamily="50" charset="0"/>
                <a:ea typeface="+mn-ea"/>
                <a:cs typeface="+mn-cs"/>
              </a:defRPr>
            </a:pPr>
            <a:endParaRPr lang="es-CO"/>
          </a:p>
        </c:txPr>
        <c:crossAx val="174566784"/>
        <c:crosses val="autoZero"/>
        <c:auto val="1"/>
        <c:lblAlgn val="ctr"/>
        <c:lblOffset val="100"/>
        <c:noMultiLvlLbl val="0"/>
      </c:catAx>
      <c:valAx>
        <c:axId val="17456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ontserrat" panose="00000500000000000000" pitchFamily="50" charset="0"/>
                <a:ea typeface="+mn-ea"/>
                <a:cs typeface="+mn-cs"/>
              </a:defRPr>
            </a:pPr>
            <a:endParaRPr lang="es-CO"/>
          </a:p>
        </c:txPr>
        <c:crossAx val="174565248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Montserrat" panose="00000500000000000000" pitchFamily="50" charset="0"/>
                    <a:ea typeface="+mn-ea"/>
                    <a:cs typeface="+mn-cs"/>
                  </a:defRPr>
                </a:pPr>
                <a:endParaRPr lang="es-CO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Montserrat" panose="00000500000000000000" pitchFamily="50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s-ES_tradnl" sz="14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  <a:latin typeface="Lovelo Black" panose="02000000000000000000" pitchFamily="50" charset="0"/>
                <a:ea typeface="+mn-ea"/>
                <a:cs typeface="+mn-cs"/>
              </a:defRPr>
            </a:pPr>
            <a:r>
              <a:rPr lang="es-ES_tradnl" sz="14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  <a:latin typeface="Lovelo Black" panose="02000000000000000000" pitchFamily="50" charset="0"/>
                <a:ea typeface="+mn-ea"/>
                <a:cs typeface="+mn-cs"/>
              </a:rPr>
              <a:t>Flujo de Caja PPA 12 años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s-ES_tradnl" sz="14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Lovelo Black" panose="02000000000000000000" pitchFamily="50" charset="0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Flujo de Caja PPA 15 años</c:v>
          </c:tx>
          <c:spPr>
            <a:solidFill>
              <a:schemeClr val="dk1">
                <a:tint val="55000"/>
              </a:schemeClr>
            </a:solidFill>
            <a:ln>
              <a:noFill/>
            </a:ln>
            <a:effectLst/>
          </c:spPr>
          <c:invertIfNegative val="0"/>
          <c:cat>
            <c:numRef>
              <c:f>'PPA Flujo de Caja Cliente'!$C$20:$AB$20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'PPA Flujo de Caja Cliente'!$C$31:$AB$31</c:f>
              <c:numCache>
                <c:formatCode>_(* #,##0_);_(* \(#,##0\);_(* "-"??_);_(@_)</c:formatCode>
                <c:ptCount val="26"/>
                <c:pt idx="1">
                  <c:v>3243331.1670246017</c:v>
                </c:pt>
                <c:pt idx="2">
                  <c:v>3698341.7811158658</c:v>
                </c:pt>
                <c:pt idx="3">
                  <c:v>4190257.6528608012</c:v>
                </c:pt>
                <c:pt idx="4">
                  <c:v>4721686.9552826975</c:v>
                </c:pt>
                <c:pt idx="5">
                  <c:v>5295412.6579342792</c:v>
                </c:pt>
                <c:pt idx="6">
                  <c:v>5914403.9710017461</c:v>
                </c:pt>
                <c:pt idx="7">
                  <c:v>6581828.5305655468</c:v>
                </c:pt>
                <c:pt idx="8">
                  <c:v>7301065.3727694042</c:v>
                </c:pt>
                <c:pt idx="9">
                  <c:v>8075718.7477177475</c:v>
                </c:pt>
                <c:pt idx="10">
                  <c:v>8909632.8271877579</c:v>
                </c:pt>
                <c:pt idx="11">
                  <c:v>9806907.3637175355</c:v>
                </c:pt>
                <c:pt idx="12">
                  <c:v>10771914.362330521</c:v>
                </c:pt>
                <c:pt idx="13">
                  <c:v>22149162.299938958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CE-4D14-A977-F51A30BF40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565248"/>
        <c:axId val="174566784"/>
      </c:barChart>
      <c:catAx>
        <c:axId val="1745652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/>
                </a:solidFill>
                <a:latin typeface="Montserrat" panose="00000500000000000000" pitchFamily="50" charset="0"/>
                <a:ea typeface="+mn-ea"/>
                <a:cs typeface="+mn-cs"/>
              </a:defRPr>
            </a:pPr>
            <a:endParaRPr lang="es-CO"/>
          </a:p>
        </c:txPr>
        <c:crossAx val="174566784"/>
        <c:crosses val="autoZero"/>
        <c:auto val="1"/>
        <c:lblAlgn val="ctr"/>
        <c:lblOffset val="100"/>
        <c:noMultiLvlLbl val="0"/>
      </c:catAx>
      <c:valAx>
        <c:axId val="17456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/>
                </a:solidFill>
                <a:latin typeface="Montserrat" panose="00000500000000000000" pitchFamily="50" charset="0"/>
                <a:ea typeface="+mn-ea"/>
                <a:cs typeface="+mn-cs"/>
              </a:defRPr>
            </a:pPr>
            <a:endParaRPr lang="es-CO"/>
          </a:p>
        </c:txPr>
        <c:crossAx val="174565248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tx1"/>
                    </a:solidFill>
                    <a:latin typeface="Montserrat" panose="00000500000000000000" pitchFamily="50" charset="0"/>
                    <a:ea typeface="+mn-ea"/>
                    <a:cs typeface="+mn-cs"/>
                  </a:defRPr>
                </a:pPr>
                <a:endParaRPr lang="es-CO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tx1"/>
          </a:solidFill>
          <a:latin typeface="Montserrat" panose="00000500000000000000" pitchFamily="50" charset="0"/>
          <a:ea typeface="+mn-ea"/>
          <a:cs typeface="+mn-cs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s-ES_tradnl" sz="14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  <a:latin typeface="Lovelo Black" panose="02000000000000000000" pitchFamily="50" charset="0"/>
                <a:ea typeface="+mn-ea"/>
                <a:cs typeface="+mn-cs"/>
              </a:defRPr>
            </a:pPr>
            <a:r>
              <a:rPr lang="es-ES_tradnl" sz="14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  <a:latin typeface="Lovelo Black" panose="02000000000000000000" pitchFamily="50" charset="0"/>
                <a:ea typeface="+mn-ea"/>
                <a:cs typeface="+mn-cs"/>
              </a:rPr>
              <a:t>Flujo de Caja PPA 15 años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s-ES_tradnl" sz="14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Lovelo Black" panose="02000000000000000000" pitchFamily="50" charset="0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Flujo de Caja PPA 20 años</c:v>
          </c:tx>
          <c:spPr>
            <a:solidFill>
              <a:schemeClr val="dk1">
                <a:tint val="55000"/>
              </a:schemeClr>
            </a:solidFill>
            <a:ln>
              <a:noFill/>
            </a:ln>
            <a:effectLst/>
          </c:spPr>
          <c:invertIfNegative val="0"/>
          <c:cat>
            <c:numRef>
              <c:f>'PPA Flujo de Caja Cliente'!$C$36:$AB$36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'PPA Flujo de Caja Cliente'!$C$47:$AB$47</c:f>
              <c:numCache>
                <c:formatCode>_(* #,##0_);_(* \(#,##0\);_(* "-"??_);_(@_)</c:formatCode>
                <c:ptCount val="26"/>
                <c:pt idx="1">
                  <c:v>6471564.9085789155</c:v>
                </c:pt>
                <c:pt idx="2">
                  <c:v>7027607.9399627354</c:v>
                </c:pt>
                <c:pt idx="3">
                  <c:v>7623718.1900480194</c:v>
                </c:pt>
                <c:pt idx="4">
                  <c:v>8262602.7901719958</c:v>
                </c:pt>
                <c:pt idx="5">
                  <c:v>8947146.7652501911</c:v>
                </c:pt>
                <c:pt idx="6">
                  <c:v>9680424.5748072695</c:v>
                </c:pt>
                <c:pt idx="7">
                  <c:v>10465712.39819807</c:v>
                </c:pt>
                <c:pt idx="8">
                  <c:v>11306501.211865289</c:v>
                </c:pt>
                <c:pt idx="9">
                  <c:v>12206510.709551897</c:v>
                </c:pt>
                <c:pt idx="10">
                  <c:v>13169704.119655449</c:v>
                </c:pt>
                <c:pt idx="11">
                  <c:v>14200303.977389941</c:v>
                </c:pt>
                <c:pt idx="12">
                  <c:v>15302808.913122721</c:v>
                </c:pt>
                <c:pt idx="13">
                  <c:v>16482011.522193206</c:v>
                </c:pt>
                <c:pt idx="14">
                  <c:v>17743017.385712154</c:v>
                </c:pt>
                <c:pt idx="15">
                  <c:v>19091265.316301096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04-4415-8404-EBCC10C02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565248"/>
        <c:axId val="174566784"/>
      </c:barChart>
      <c:catAx>
        <c:axId val="1745652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/>
                </a:solidFill>
                <a:latin typeface="Montserrat" panose="00000500000000000000" pitchFamily="50" charset="0"/>
                <a:ea typeface="+mn-ea"/>
                <a:cs typeface="+mn-cs"/>
              </a:defRPr>
            </a:pPr>
            <a:endParaRPr lang="es-CO"/>
          </a:p>
        </c:txPr>
        <c:crossAx val="174566784"/>
        <c:crosses val="autoZero"/>
        <c:auto val="1"/>
        <c:lblAlgn val="ctr"/>
        <c:lblOffset val="100"/>
        <c:noMultiLvlLbl val="0"/>
      </c:catAx>
      <c:valAx>
        <c:axId val="17456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/>
                </a:solidFill>
                <a:latin typeface="Montserrat" panose="00000500000000000000" pitchFamily="50" charset="0"/>
                <a:ea typeface="+mn-ea"/>
                <a:cs typeface="+mn-cs"/>
              </a:defRPr>
            </a:pPr>
            <a:endParaRPr lang="es-CO"/>
          </a:p>
        </c:txPr>
        <c:crossAx val="174565248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tx1"/>
                    </a:solidFill>
                    <a:latin typeface="Montserrat" panose="00000500000000000000" pitchFamily="50" charset="0"/>
                    <a:ea typeface="+mn-ea"/>
                    <a:cs typeface="+mn-cs"/>
                  </a:defRPr>
                </a:pPr>
                <a:endParaRPr lang="es-CO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tx1"/>
          </a:solidFill>
          <a:latin typeface="Montserrat" panose="00000500000000000000" pitchFamily="50" charset="0"/>
          <a:ea typeface="+mn-ea"/>
          <a:cs typeface="+mn-cs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>
                <a:solidFill>
                  <a:srgbClr val="757575"/>
                </a:solidFill>
                <a:latin typeface="+mn-lt"/>
              </a:defRPr>
            </a:pPr>
            <a:r>
              <a:rPr lang="es-419" sz="1200">
                <a:latin typeface="Lovelo Black" panose="02000000000000000000" pitchFamily="50" charset="0"/>
              </a:rPr>
              <a:t>Proyección de Consumo y Generación de Energía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80192475940507"/>
          <c:y val="0.15204872975783687"/>
          <c:w val="0.84830918635170605"/>
          <c:h val="0.52412335250546516"/>
        </c:manualLayout>
      </c:layout>
      <c:barChart>
        <c:barDir val="col"/>
        <c:grouping val="clustered"/>
        <c:varyColors val="1"/>
        <c:ser>
          <c:idx val="2"/>
          <c:order val="0"/>
          <c:tx>
            <c:strRef>
              <c:f>Graficas!$J$2</c:f>
              <c:strCache>
                <c:ptCount val="1"/>
                <c:pt idx="0">
                  <c:v>Consumos mensuales (kWh)</c:v>
                </c:pt>
              </c:strCache>
            </c:strRef>
          </c:tx>
          <c:spPr>
            <a:solidFill>
              <a:srgbClr val="7F7F7F"/>
            </a:solidFill>
            <a:ln>
              <a:noFill/>
            </a:ln>
          </c:spPr>
          <c:invertIfNegative val="1"/>
          <c:cat>
            <c:strRef>
              <c:f>Graficas!$I$3:$I$14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Graficas!$J$3:$J$14</c:f>
              <c:numCache>
                <c:formatCode>General</c:formatCode>
                <c:ptCount val="12"/>
                <c:pt idx="0">
                  <c:v>850</c:v>
                </c:pt>
                <c:pt idx="1">
                  <c:v>850</c:v>
                </c:pt>
                <c:pt idx="2">
                  <c:v>850</c:v>
                </c:pt>
                <c:pt idx="3">
                  <c:v>850</c:v>
                </c:pt>
                <c:pt idx="4">
                  <c:v>850</c:v>
                </c:pt>
                <c:pt idx="5">
                  <c:v>850</c:v>
                </c:pt>
                <c:pt idx="6">
                  <c:v>850</c:v>
                </c:pt>
                <c:pt idx="7">
                  <c:v>850</c:v>
                </c:pt>
                <c:pt idx="8">
                  <c:v>850</c:v>
                </c:pt>
                <c:pt idx="9">
                  <c:v>850</c:v>
                </c:pt>
                <c:pt idx="10">
                  <c:v>850</c:v>
                </c:pt>
                <c:pt idx="11">
                  <c:v>850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C92F-46C8-8086-3C8A1AFD6316}"/>
            </c:ext>
          </c:extLst>
        </c:ser>
        <c:ser>
          <c:idx val="0"/>
          <c:order val="1"/>
          <c:tx>
            <c:strRef>
              <c:f>Graficas!$K$2</c:f>
              <c:strCache>
                <c:ptCount val="1"/>
                <c:pt idx="0">
                  <c:v>Generación (kWh)</c:v>
                </c:pt>
              </c:strCache>
            </c:strRef>
          </c:tx>
          <c:spPr>
            <a:solidFill>
              <a:srgbClr val="D2AB06"/>
            </a:solidFill>
          </c:spPr>
          <c:invertIfNegative val="0"/>
          <c:val>
            <c:numRef>
              <c:f>Graficas!$K$3:$K$14</c:f>
              <c:numCache>
                <c:formatCode>General</c:formatCode>
                <c:ptCount val="12"/>
                <c:pt idx="0">
                  <c:v>728.54315352000003</c:v>
                </c:pt>
                <c:pt idx="1">
                  <c:v>763.12945800000011</c:v>
                </c:pt>
                <c:pt idx="2">
                  <c:v>743.14795463999997</c:v>
                </c:pt>
                <c:pt idx="3">
                  <c:v>802.02475079999988</c:v>
                </c:pt>
                <c:pt idx="4">
                  <c:v>894.66799967999987</c:v>
                </c:pt>
                <c:pt idx="5">
                  <c:v>958.00631472000009</c:v>
                </c:pt>
                <c:pt idx="6">
                  <c:v>1008.3604658400001</c:v>
                </c:pt>
                <c:pt idx="7">
                  <c:v>953.52572951999991</c:v>
                </c:pt>
                <c:pt idx="8">
                  <c:v>872.24600735999979</c:v>
                </c:pt>
                <c:pt idx="9">
                  <c:v>821.39613192000002</c:v>
                </c:pt>
                <c:pt idx="10">
                  <c:v>768.56335919999992</c:v>
                </c:pt>
                <c:pt idx="11">
                  <c:v>795.69473256000003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18-4EE5-80E6-6475CEBE5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7894528"/>
        <c:axId val="197896448"/>
      </c:barChart>
      <c:catAx>
        <c:axId val="197894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s-419"/>
              </a:p>
            </c:rich>
          </c:tx>
          <c:overlay val="0"/>
        </c:title>
        <c:numFmt formatCode="General" sourceLinked="1"/>
        <c:majorTickMark val="cross"/>
        <c:minorTickMark val="cross"/>
        <c:tickLblPos val="nextTo"/>
        <c:txPr>
          <a:bodyPr/>
          <a:lstStyle/>
          <a:p>
            <a:pPr lvl="0">
              <a:defRPr sz="800" b="0">
                <a:solidFill>
                  <a:srgbClr val="000000"/>
                </a:solidFill>
                <a:latin typeface="Montserrat" panose="00000500000000000000" pitchFamily="50" charset="0"/>
              </a:defRPr>
            </a:pPr>
            <a:endParaRPr lang="es-CO"/>
          </a:p>
        </c:txPr>
        <c:crossAx val="197896448"/>
        <c:crosses val="autoZero"/>
        <c:auto val="1"/>
        <c:lblAlgn val="ctr"/>
        <c:lblOffset val="100"/>
        <c:noMultiLvlLbl val="1"/>
      </c:catAx>
      <c:valAx>
        <c:axId val="19789644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s-419" sz="900">
                    <a:latin typeface="Montserrat" panose="00000500000000000000" pitchFamily="50" charset="0"/>
                  </a:rPr>
                  <a:t>Energía Mensual (kWh)</a:t>
                </a:r>
              </a:p>
            </c:rich>
          </c:tx>
          <c:overlay val="0"/>
        </c:title>
        <c:numFmt formatCode="General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sz="900" b="0">
                <a:solidFill>
                  <a:srgbClr val="000000"/>
                </a:solidFill>
                <a:latin typeface="Montserrat" panose="00000500000000000000" pitchFamily="50" charset="0"/>
              </a:defRPr>
            </a:pPr>
            <a:endParaRPr lang="es-CO"/>
          </a:p>
        </c:txPr>
        <c:crossAx val="19789452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4618199233716491E-2"/>
          <c:y val="0.88829141640313825"/>
          <c:w val="0.78315804597701144"/>
          <c:h val="6.4988008574399903E-2"/>
        </c:manualLayout>
      </c:layout>
      <c:overlay val="0"/>
      <c:txPr>
        <a:bodyPr/>
        <a:lstStyle/>
        <a:p>
          <a:pPr lvl="0" rtl="0">
            <a:defRPr sz="900" b="0">
              <a:solidFill>
                <a:srgbClr val="1A1A1A"/>
              </a:solidFill>
              <a:latin typeface="Montserrat" panose="00000500000000000000" pitchFamily="50" charset="0"/>
            </a:defRPr>
          </a:pPr>
          <a:endParaRPr lang="es-CO"/>
        </a:p>
      </c:txPr>
    </c:legend>
    <c:plotVisOnly val="1"/>
    <c:dispBlanksAs val="zero"/>
    <c:showDLblsOverMax val="1"/>
  </c:chart>
  <c:spPr>
    <a:ln>
      <a:solidFill>
        <a:schemeClr val="bg1">
          <a:lumMod val="8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Lovelo Black" panose="02000000000000000000" pitchFamily="50" charset="0"/>
                <a:ea typeface="+mn-ea"/>
                <a:cs typeface="+mn-cs"/>
              </a:defRPr>
            </a:pPr>
            <a:r>
              <a:rPr lang="es-419" sz="1200">
                <a:latin typeface="Lovelo Black" panose="02000000000000000000" pitchFamily="50" charset="0"/>
              </a:rPr>
              <a:t>Ahorro Proyectado Mensual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Lovelo Black" panose="02000000000000000000" pitchFamily="50" charset="0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1"/>
        <c:ser>
          <c:idx val="1"/>
          <c:order val="0"/>
          <c:spPr>
            <a:gradFill>
              <a:gsLst>
                <a:gs pos="0">
                  <a:srgbClr val="D2AB06"/>
                </a:gs>
                <a:gs pos="48000">
                  <a:srgbClr val="465A23"/>
                </a:gs>
                <a:gs pos="100000">
                  <a:srgbClr val="076A83"/>
                </a:gs>
              </a:gsLst>
              <a:lin ang="5400000" scaled="1"/>
            </a:gradFill>
          </c:spPr>
          <c:invertIfNegative val="1"/>
          <c:dPt>
            <c:idx val="0"/>
            <c:invertIfNegative val="1"/>
            <c:bubble3D val="0"/>
            <c:spPr>
              <a:gradFill>
                <a:gsLst>
                  <a:gs pos="0">
                    <a:srgbClr val="D2AB06"/>
                  </a:gs>
                  <a:gs pos="48000">
                    <a:srgbClr val="465A23"/>
                  </a:gs>
                  <a:gs pos="100000">
                    <a:srgbClr val="076A83"/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362-484D-B635-11320B2B84AB}"/>
              </c:ext>
            </c:extLst>
          </c:dPt>
          <c:dPt>
            <c:idx val="1"/>
            <c:invertIfNegative val="1"/>
            <c:bubble3D val="0"/>
            <c:spPr>
              <a:gradFill>
                <a:gsLst>
                  <a:gs pos="0">
                    <a:srgbClr val="D2AB06"/>
                  </a:gs>
                  <a:gs pos="48000">
                    <a:srgbClr val="465A23"/>
                  </a:gs>
                  <a:gs pos="100000">
                    <a:srgbClr val="076A83"/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362-484D-B635-11320B2B84AB}"/>
              </c:ext>
            </c:extLst>
          </c:dPt>
          <c:dPt>
            <c:idx val="2"/>
            <c:invertIfNegative val="1"/>
            <c:bubble3D val="0"/>
            <c:spPr>
              <a:gradFill>
                <a:gsLst>
                  <a:gs pos="0">
                    <a:srgbClr val="D2AB06"/>
                  </a:gs>
                  <a:gs pos="48000">
                    <a:srgbClr val="465A23"/>
                  </a:gs>
                  <a:gs pos="100000">
                    <a:srgbClr val="076A83"/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362-484D-B635-11320B2B84AB}"/>
              </c:ext>
            </c:extLst>
          </c:dPt>
          <c:dPt>
            <c:idx val="3"/>
            <c:invertIfNegative val="1"/>
            <c:bubble3D val="0"/>
            <c:spPr>
              <a:gradFill>
                <a:gsLst>
                  <a:gs pos="0">
                    <a:srgbClr val="D2AB06"/>
                  </a:gs>
                  <a:gs pos="48000">
                    <a:srgbClr val="465A23"/>
                  </a:gs>
                  <a:gs pos="100000">
                    <a:srgbClr val="076A83"/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362-484D-B635-11320B2B84AB}"/>
              </c:ext>
            </c:extLst>
          </c:dPt>
          <c:dPt>
            <c:idx val="4"/>
            <c:invertIfNegative val="1"/>
            <c:bubble3D val="0"/>
            <c:spPr>
              <a:gradFill>
                <a:gsLst>
                  <a:gs pos="0">
                    <a:srgbClr val="D2AB06"/>
                  </a:gs>
                  <a:gs pos="48000">
                    <a:srgbClr val="465A23"/>
                  </a:gs>
                  <a:gs pos="100000">
                    <a:srgbClr val="076A83"/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362-484D-B635-11320B2B84AB}"/>
              </c:ext>
            </c:extLst>
          </c:dPt>
          <c:dPt>
            <c:idx val="5"/>
            <c:invertIfNegative val="1"/>
            <c:bubble3D val="0"/>
            <c:spPr>
              <a:gradFill>
                <a:gsLst>
                  <a:gs pos="0">
                    <a:srgbClr val="D2AB06"/>
                  </a:gs>
                  <a:gs pos="48000">
                    <a:srgbClr val="465A23"/>
                  </a:gs>
                  <a:gs pos="100000">
                    <a:srgbClr val="076A83"/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362-484D-B635-11320B2B84AB}"/>
              </c:ext>
            </c:extLst>
          </c:dPt>
          <c:dPt>
            <c:idx val="6"/>
            <c:invertIfNegative val="1"/>
            <c:bubble3D val="0"/>
            <c:spPr>
              <a:gradFill>
                <a:gsLst>
                  <a:gs pos="0">
                    <a:srgbClr val="D2AB06"/>
                  </a:gs>
                  <a:gs pos="48000">
                    <a:srgbClr val="465A23"/>
                  </a:gs>
                  <a:gs pos="100000">
                    <a:srgbClr val="076A83"/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362-484D-B635-11320B2B84AB}"/>
              </c:ext>
            </c:extLst>
          </c:dPt>
          <c:dPt>
            <c:idx val="7"/>
            <c:invertIfNegative val="1"/>
            <c:bubble3D val="0"/>
            <c:spPr>
              <a:gradFill>
                <a:gsLst>
                  <a:gs pos="0">
                    <a:srgbClr val="D2AB06"/>
                  </a:gs>
                  <a:gs pos="48000">
                    <a:srgbClr val="465A23"/>
                  </a:gs>
                  <a:gs pos="100000">
                    <a:srgbClr val="076A83"/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A362-484D-B635-11320B2B84AB}"/>
              </c:ext>
            </c:extLst>
          </c:dPt>
          <c:dPt>
            <c:idx val="8"/>
            <c:invertIfNegative val="1"/>
            <c:bubble3D val="0"/>
            <c:spPr>
              <a:gradFill>
                <a:gsLst>
                  <a:gs pos="0">
                    <a:srgbClr val="D2AB06"/>
                  </a:gs>
                  <a:gs pos="48000">
                    <a:srgbClr val="465A23"/>
                  </a:gs>
                  <a:gs pos="100000">
                    <a:srgbClr val="076A83"/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A362-484D-B635-11320B2B84AB}"/>
              </c:ext>
            </c:extLst>
          </c:dPt>
          <c:dPt>
            <c:idx val="9"/>
            <c:invertIfNegative val="1"/>
            <c:bubble3D val="0"/>
            <c:spPr>
              <a:gradFill>
                <a:gsLst>
                  <a:gs pos="0">
                    <a:srgbClr val="D2AB06"/>
                  </a:gs>
                  <a:gs pos="48000">
                    <a:srgbClr val="465A23"/>
                  </a:gs>
                  <a:gs pos="100000">
                    <a:srgbClr val="076A83"/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A362-484D-B635-11320B2B84AB}"/>
              </c:ext>
            </c:extLst>
          </c:dPt>
          <c:dPt>
            <c:idx val="10"/>
            <c:invertIfNegative val="1"/>
            <c:bubble3D val="0"/>
            <c:spPr>
              <a:gradFill>
                <a:gsLst>
                  <a:gs pos="0">
                    <a:srgbClr val="D2AB06"/>
                  </a:gs>
                  <a:gs pos="48000">
                    <a:srgbClr val="465A23"/>
                  </a:gs>
                  <a:gs pos="100000">
                    <a:srgbClr val="076A83"/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A362-484D-B635-11320B2B84AB}"/>
              </c:ext>
            </c:extLst>
          </c:dPt>
          <c:dPt>
            <c:idx val="11"/>
            <c:invertIfNegative val="1"/>
            <c:bubble3D val="0"/>
            <c:spPr>
              <a:gradFill>
                <a:gsLst>
                  <a:gs pos="0">
                    <a:srgbClr val="D2AB06"/>
                  </a:gs>
                  <a:gs pos="48000">
                    <a:srgbClr val="465A23"/>
                  </a:gs>
                  <a:gs pos="100000">
                    <a:srgbClr val="076A83"/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A362-484D-B635-11320B2B84AB}"/>
              </c:ext>
            </c:extLst>
          </c:dPt>
          <c:cat>
            <c:strRef>
              <c:f>Graficas!$I$3:$I$14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Graficas!$L$3:$L$14</c:f>
              <c:numCache>
                <c:formatCode>_-"$"* #,##0_-;_-"$"* \-#,##0_-;_-"$"* "-"??_-;_-@</c:formatCode>
                <c:ptCount val="12"/>
                <c:pt idx="0">
                  <c:v>792063.7236898155</c:v>
                </c:pt>
                <c:pt idx="1">
                  <c:v>829665.55548624403</c:v>
                </c:pt>
                <c:pt idx="2">
                  <c:v>807941.8952201705</c:v>
                </c:pt>
                <c:pt idx="3">
                  <c:v>871952.06974463072</c:v>
                </c:pt>
                <c:pt idx="4">
                  <c:v>972672.74267673958</c:v>
                </c:pt>
                <c:pt idx="5">
                  <c:v>1041533.4291308386</c:v>
                </c:pt>
                <c:pt idx="6">
                  <c:v>1096277.8821486817</c:v>
                </c:pt>
                <c:pt idx="7">
                  <c:v>1036662.1885177399</c:v>
                </c:pt>
                <c:pt idx="8">
                  <c:v>948295.81092778698</c:v>
                </c:pt>
                <c:pt idx="9">
                  <c:v>893012.41213998431</c:v>
                </c:pt>
                <c:pt idx="10">
                  <c:v>835573.23027234199</c:v>
                </c:pt>
                <c:pt idx="11">
                  <c:v>865070.14683591295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0C-4AB9-8B92-2F3FA4CA3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7497600"/>
        <c:axId val="217499520"/>
      </c:barChart>
      <c:catAx>
        <c:axId val="2174976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ontserrat" panose="00000500000000000000" pitchFamily="50" charset="0"/>
                <a:ea typeface="+mn-ea"/>
                <a:cs typeface="+mn-cs"/>
              </a:defRPr>
            </a:pPr>
            <a:endParaRPr lang="es-CO"/>
          </a:p>
        </c:txPr>
        <c:crossAx val="217499520"/>
        <c:crosses val="autoZero"/>
        <c:auto val="1"/>
        <c:lblAlgn val="ctr"/>
        <c:lblOffset val="100"/>
        <c:noMultiLvlLbl val="1"/>
      </c:catAx>
      <c:valAx>
        <c:axId val="21749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Montserrat" panose="00000500000000000000" pitchFamily="50" charset="0"/>
                    <a:ea typeface="+mn-ea"/>
                    <a:cs typeface="+mn-cs"/>
                  </a:defRPr>
                </a:pPr>
                <a:r>
                  <a:rPr lang="es-419" sz="900">
                    <a:latin typeface="Montserrat" panose="00000500000000000000" pitchFamily="50" charset="0"/>
                  </a:rPr>
                  <a:t>Pesos (COP)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Montserrat" panose="00000500000000000000" pitchFamily="50" charset="0"/>
                  <a:ea typeface="+mn-ea"/>
                  <a:cs typeface="+mn-cs"/>
                </a:defRPr>
              </a:pPr>
              <a:endParaRPr lang="es-CO"/>
            </a:p>
          </c:txPr>
        </c:title>
        <c:numFmt formatCode="_-&quot;$&quot;* #,##0_-;_-&quot;$&quot;* \-#,##0_-;_-&quot;$&quot;* &quot;-&quot;??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ontserrat" panose="00000500000000000000" pitchFamily="50" charset="0"/>
                <a:ea typeface="+mn-ea"/>
                <a:cs typeface="+mn-cs"/>
              </a:defRPr>
            </a:pPr>
            <a:endParaRPr lang="es-CO"/>
          </a:p>
        </c:txPr>
        <c:crossAx val="21749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/>
              <a:t>Consumo y Generación de Energia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Graficas!$Q$21</c:f>
              <c:strCache>
                <c:ptCount val="1"/>
                <c:pt idx="0">
                  <c:v>Generación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Graficas!$J$22:$J$46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Graficas!$Q$22:$Q$46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0.40949999999999998</c:v>
                </c:pt>
                <c:pt idx="7">
                  <c:v>1.2284999999999999</c:v>
                </c:pt>
                <c:pt idx="8">
                  <c:v>2.4569999999999999</c:v>
                </c:pt>
                <c:pt idx="9">
                  <c:v>4.9139999999999997</c:v>
                </c:pt>
                <c:pt idx="10">
                  <c:v>6.5519999999999996</c:v>
                </c:pt>
                <c:pt idx="11">
                  <c:v>7.7804999999999991</c:v>
                </c:pt>
                <c:pt idx="12">
                  <c:v>8.19</c:v>
                </c:pt>
                <c:pt idx="13">
                  <c:v>7.7804999999999991</c:v>
                </c:pt>
                <c:pt idx="14">
                  <c:v>6.5519999999999996</c:v>
                </c:pt>
                <c:pt idx="15">
                  <c:v>4.9139999999999997</c:v>
                </c:pt>
                <c:pt idx="16">
                  <c:v>2.4569999999999999</c:v>
                </c:pt>
                <c:pt idx="17">
                  <c:v>1.2284999999999999</c:v>
                </c:pt>
                <c:pt idx="18">
                  <c:v>0.40949999999999998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C8-4587-9427-828D89C9C296}"/>
            </c:ext>
          </c:extLst>
        </c:ser>
        <c:ser>
          <c:idx val="1"/>
          <c:order val="1"/>
          <c:tx>
            <c:strRef>
              <c:f>Graficas!$K$21</c:f>
              <c:strCache>
                <c:ptCount val="1"/>
                <c:pt idx="0">
                  <c:v>Consumo</c:v>
                </c:pt>
              </c:strCache>
            </c:strRef>
          </c:tx>
          <c:spPr>
            <a:ln w="34925" cap="rnd">
              <a:solidFill>
                <a:srgbClr val="92D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Graficas!$K$22:$K$46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C8-4587-9427-828D89C9C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008512"/>
        <c:axId val="209027072"/>
      </c:lineChart>
      <c:catAx>
        <c:axId val="209008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/>
                  <a:t>Hora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9027072"/>
        <c:crosses val="autoZero"/>
        <c:auto val="1"/>
        <c:lblAlgn val="ctr"/>
        <c:lblOffset val="100"/>
        <c:noMultiLvlLbl val="0"/>
      </c:catAx>
      <c:valAx>
        <c:axId val="20902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/>
                  <a:t>Potencia</a:t>
                </a:r>
                <a:r>
                  <a:rPr lang="es-419" baseline="0"/>
                  <a:t> kW</a:t>
                </a:r>
                <a:endParaRPr lang="es-419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9008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/>
              <a:t>Consumo y Generación de Energia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Graficas!$Q$21</c:f>
              <c:strCache>
                <c:ptCount val="1"/>
                <c:pt idx="0">
                  <c:v>Generación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Graficas!$J$22:$J$46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Graficas!$Q$22:$Q$46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0.40949999999999998</c:v>
                </c:pt>
                <c:pt idx="7">
                  <c:v>1.2284999999999999</c:v>
                </c:pt>
                <c:pt idx="8">
                  <c:v>2.4569999999999999</c:v>
                </c:pt>
                <c:pt idx="9">
                  <c:v>4.9139999999999997</c:v>
                </c:pt>
                <c:pt idx="10">
                  <c:v>6.5519999999999996</c:v>
                </c:pt>
                <c:pt idx="11">
                  <c:v>7.7804999999999991</c:v>
                </c:pt>
                <c:pt idx="12">
                  <c:v>8.19</c:v>
                </c:pt>
                <c:pt idx="13">
                  <c:v>7.7804999999999991</c:v>
                </c:pt>
                <c:pt idx="14">
                  <c:v>6.5519999999999996</c:v>
                </c:pt>
                <c:pt idx="15">
                  <c:v>4.9139999999999997</c:v>
                </c:pt>
                <c:pt idx="16">
                  <c:v>2.4569999999999999</c:v>
                </c:pt>
                <c:pt idx="17">
                  <c:v>1.2284999999999999</c:v>
                </c:pt>
                <c:pt idx="18">
                  <c:v>0.40949999999999998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77-48A9-A928-A2D2F4CB920A}"/>
            </c:ext>
          </c:extLst>
        </c:ser>
        <c:ser>
          <c:idx val="2"/>
          <c:order val="1"/>
          <c:tx>
            <c:strRef>
              <c:f>Graficas!$M$21</c:f>
              <c:strCache>
                <c:ptCount val="1"/>
                <c:pt idx="0">
                  <c:v>Consumo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Graficas!$M$22:$M$46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77-48A9-A928-A2D2F4CB9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058048"/>
        <c:axId val="208929152"/>
      </c:lineChart>
      <c:catAx>
        <c:axId val="209058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/>
                  <a:t>Hora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8929152"/>
        <c:crosses val="autoZero"/>
        <c:auto val="1"/>
        <c:lblAlgn val="ctr"/>
        <c:lblOffset val="100"/>
        <c:noMultiLvlLbl val="0"/>
      </c:catAx>
      <c:valAx>
        <c:axId val="20892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/>
                  <a:t>Potencia</a:t>
                </a:r>
                <a:r>
                  <a:rPr lang="es-419" baseline="0"/>
                  <a:t> kW</a:t>
                </a:r>
                <a:endParaRPr lang="es-419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9058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/>
              <a:t>Consumo y Generación de Energia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Graficas!$Q$21</c:f>
              <c:strCache>
                <c:ptCount val="1"/>
                <c:pt idx="0">
                  <c:v>Generación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Graficas!$J$22:$J$46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Graficas!$Q$22:$Q$46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0.40949999999999998</c:v>
                </c:pt>
                <c:pt idx="7">
                  <c:v>1.2284999999999999</c:v>
                </c:pt>
                <c:pt idx="8">
                  <c:v>2.4569999999999999</c:v>
                </c:pt>
                <c:pt idx="9">
                  <c:v>4.9139999999999997</c:v>
                </c:pt>
                <c:pt idx="10">
                  <c:v>6.5519999999999996</c:v>
                </c:pt>
                <c:pt idx="11">
                  <c:v>7.7804999999999991</c:v>
                </c:pt>
                <c:pt idx="12">
                  <c:v>8.19</c:v>
                </c:pt>
                <c:pt idx="13">
                  <c:v>7.7804999999999991</c:v>
                </c:pt>
                <c:pt idx="14">
                  <c:v>6.5519999999999996</c:v>
                </c:pt>
                <c:pt idx="15">
                  <c:v>4.9139999999999997</c:v>
                </c:pt>
                <c:pt idx="16">
                  <c:v>2.4569999999999999</c:v>
                </c:pt>
                <c:pt idx="17">
                  <c:v>1.2284999999999999</c:v>
                </c:pt>
                <c:pt idx="18">
                  <c:v>0.40949999999999998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A7-4EB2-9D21-74D9F015DD93}"/>
            </c:ext>
          </c:extLst>
        </c:ser>
        <c:ser>
          <c:idx val="3"/>
          <c:order val="1"/>
          <c:tx>
            <c:strRef>
              <c:f>Graficas!$O$21</c:f>
              <c:strCache>
                <c:ptCount val="1"/>
                <c:pt idx="0">
                  <c:v>Consumo</c:v>
                </c:pt>
              </c:strCache>
            </c:strRef>
          </c:tx>
          <c:spPr>
            <a:ln w="34925" cap="rnd">
              <a:solidFill>
                <a:srgbClr val="92D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Graficas!$O$22:$O$46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A7-4EB2-9D21-74D9F015D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991360"/>
        <c:axId val="208993280"/>
      </c:lineChart>
      <c:catAx>
        <c:axId val="20899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/>
                  <a:t>Hora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8993280"/>
        <c:crosses val="autoZero"/>
        <c:auto val="1"/>
        <c:lblAlgn val="ctr"/>
        <c:lblOffset val="100"/>
        <c:noMultiLvlLbl val="0"/>
      </c:catAx>
      <c:valAx>
        <c:axId val="20899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/>
                  <a:t>Potencia</a:t>
                </a:r>
                <a:r>
                  <a:rPr lang="es-419" baseline="0"/>
                  <a:t> kW</a:t>
                </a:r>
                <a:endParaRPr lang="es-419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899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_tradnl" sz="1200">
                <a:latin typeface="Lovelo Black" panose="02000000000000000000" pitchFamily="50" charset="0"/>
              </a:rPr>
              <a:t>Flujo de Caja del proyecto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dk1">
                <a:tint val="55000"/>
              </a:schemeClr>
            </a:solidFill>
            <a:ln>
              <a:noFill/>
            </a:ln>
            <a:effectLst/>
          </c:spPr>
          <c:invertIfNegative val="0"/>
          <c:cat>
            <c:numRef>
              <c:f>'Flujo de caja'!$C$35:$AB$35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'Flujo de caja'!$C$57:$AB$57</c:f>
              <c:numCache>
                <c:formatCode>_(* #,##0_);_(* \(#,##0\);_(* "-"??_);_(@_)</c:formatCode>
                <c:ptCount val="26"/>
                <c:pt idx="0">
                  <c:v>#N/A</c:v>
                </c:pt>
                <c:pt idx="1">
                  <c:v>11143369.990774091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AD-5548-9C3D-AD54F32E7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565248"/>
        <c:axId val="174566784"/>
      </c:barChart>
      <c:catAx>
        <c:axId val="1745652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ontserrat" panose="00000500000000000000" pitchFamily="50" charset="0"/>
                <a:ea typeface="+mn-ea"/>
                <a:cs typeface="+mn-cs"/>
              </a:defRPr>
            </a:pPr>
            <a:endParaRPr lang="es-CO"/>
          </a:p>
        </c:txPr>
        <c:crossAx val="174566784"/>
        <c:crosses val="autoZero"/>
        <c:auto val="1"/>
        <c:lblAlgn val="ctr"/>
        <c:lblOffset val="100"/>
        <c:noMultiLvlLbl val="0"/>
      </c:catAx>
      <c:valAx>
        <c:axId val="17456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ontserrat" panose="00000500000000000000" pitchFamily="50" charset="0"/>
                <a:ea typeface="+mn-ea"/>
                <a:cs typeface="+mn-cs"/>
              </a:defRPr>
            </a:pPr>
            <a:endParaRPr lang="es-CO"/>
          </a:p>
        </c:txPr>
        <c:crossAx val="174565248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200">
                <a:latin typeface="Lovelo Black" panose="02000000000000000000" pitchFamily="50" charset="0"/>
              </a:rPr>
              <a:t>Flujo de Caja Acumulado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'Flujo de caja'!$B$58</c:f>
              <c:strCache>
                <c:ptCount val="1"/>
              </c:strCache>
            </c:strRef>
          </c:tx>
          <c:spPr>
            <a:ln w="19050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dk1">
                  <a:tint val="88500"/>
                </a:schemeClr>
              </a:solidFill>
              <a:ln w="9525">
                <a:solidFill>
                  <a:schemeClr val="dk1">
                    <a:tint val="88500"/>
                  </a:schemeClr>
                </a:solidFill>
              </a:ln>
              <a:effectLst/>
            </c:spPr>
          </c:marker>
          <c:xVal>
            <c:numRef>
              <c:f>'Flujo de caja'!$C$35:$AB$35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'Flujo de caja'!$C$58:$AB$58</c:f>
              <c:numCache>
                <c:formatCode>_(* #,##0_);_(* \(#,##0\);_(* "-"??_);_(@_)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7E-A84A-A0E9-C48B2FAD00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678016"/>
        <c:axId val="174679936"/>
      </c:scatterChart>
      <c:valAx>
        <c:axId val="174678016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ontserrat" panose="00000500000000000000" pitchFamily="50" charset="0"/>
                <a:ea typeface="+mn-ea"/>
                <a:cs typeface="+mn-cs"/>
              </a:defRPr>
            </a:pPr>
            <a:endParaRPr lang="es-CO"/>
          </a:p>
        </c:txPr>
        <c:crossAx val="174679936"/>
        <c:crosses val="autoZero"/>
        <c:crossBetween val="midCat"/>
      </c:valAx>
      <c:valAx>
        <c:axId val="17467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ontserrat" panose="00000500000000000000" pitchFamily="50" charset="0"/>
                <a:ea typeface="+mn-ea"/>
                <a:cs typeface="+mn-cs"/>
              </a:defRPr>
            </a:pPr>
            <a:endParaRPr lang="es-CO"/>
          </a:p>
        </c:txPr>
        <c:crossAx val="174678016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Montserrat" panose="00000500000000000000" pitchFamily="50" charset="0"/>
                    <a:ea typeface="+mn-ea"/>
                    <a:cs typeface="+mn-cs"/>
                  </a:defRPr>
                </a:pPr>
                <a:endParaRPr lang="es-CO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_tradnl" sz="1200">
                <a:latin typeface="Lovelo Black" panose="02000000000000000000" pitchFamily="50" charset="0"/>
              </a:rPr>
              <a:t>Comportamiento Financiación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Pago Crédito</c:v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numRef>
              <c:f>'Flujo de caja'!$D$35:$M$35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'Flujo de caja'!$D$62:$M$62</c:f>
              <c:numCache>
                <c:formatCode>"$"\ #,##0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D0-496E-BDD4-0E3C54FA8F8E}"/>
            </c:ext>
          </c:extLst>
        </c:ser>
        <c:ser>
          <c:idx val="0"/>
          <c:order val="1"/>
          <c:tx>
            <c:v>Ahorro</c:v>
          </c:tx>
          <c:spPr>
            <a:solidFill>
              <a:srgbClr val="537848"/>
            </a:solidFill>
            <a:ln>
              <a:noFill/>
            </a:ln>
            <a:effectLst/>
          </c:spPr>
          <c:invertIfNegative val="0"/>
          <c:val>
            <c:numRef>
              <c:f>'Flujo de caja'!$D$40:$M$40</c:f>
              <c:numCache>
                <c:formatCode>_(* #,##0.00_);_(* \(#,##0.00\);_(* "-"??_);_(@_)</c:formatCode>
                <c:ptCount val="10"/>
                <c:pt idx="0" formatCode="_(* #,##0_);_(* \(#,##0\);_(* &quot;-&quot;??_);_(@_)">
                  <c:v>11143369.990774091</c:v>
                </c:pt>
                <c:pt idx="1">
                  <c:v>11851865.454787508</c:v>
                </c:pt>
                <c:pt idx="2" formatCode="_(* #,##0_);_(* \(#,##0\);_(* &quot;-&quot;??_);_(@_)">
                  <c:v>12605407.060402896</c:v>
                </c:pt>
                <c:pt idx="3" formatCode="_(* #,##0_);_(* \(#,##0\);_(* &quot;-&quot;??_);_(@_)">
                  <c:v>13406858.841303313</c:v>
                </c:pt>
                <c:pt idx="4" formatCode="_(* #,##0_);_(* \(#,##0\);_(* &quot;-&quot;??_);_(@_)">
                  <c:v>14259266.926433379</c:v>
                </c:pt>
                <c:pt idx="5" formatCode="_(* #,##0_);_(* \(#,##0\);_(* &quot;-&quot;??_);_(@_)">
                  <c:v>15165871.117616015</c:v>
                </c:pt>
                <c:pt idx="6" formatCode="_(* #,##0_);_(* \(#,##0\);_(* &quot;-&quot;??_);_(@_)">
                  <c:v>16130117.203274041</c:v>
                </c:pt>
                <c:pt idx="7" formatCode="_(* #,##0_);_(* \(#,##0\);_(* &quot;-&quot;??_);_(@_)">
                  <c:v>17155670.055058207</c:v>
                </c:pt>
                <c:pt idx="8" formatCode="_(* #,##0_);_(* \(#,##0\);_(* &quot;-&quot;??_);_(@_)">
                  <c:v>18246427.557158805</c:v>
                </c:pt>
                <c:pt idx="9" formatCode="_(* #,##0_);_(* \(#,##0\);_(* &quot;-&quot;??_);_(@_)">
                  <c:v>19406535.42124296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D6-4FA2-B010-97C98A3E2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565248"/>
        <c:axId val="174566784"/>
      </c:barChart>
      <c:catAx>
        <c:axId val="1745652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900">
                    <a:latin typeface="Montserrat" panose="00000500000000000000" pitchFamily="50" charset="0"/>
                  </a:rPr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ontserrat" panose="00000500000000000000" pitchFamily="50" charset="0"/>
                <a:ea typeface="+mn-ea"/>
                <a:cs typeface="+mn-cs"/>
              </a:defRPr>
            </a:pPr>
            <a:endParaRPr lang="es-CO"/>
          </a:p>
        </c:txPr>
        <c:crossAx val="174566784"/>
        <c:crosses val="autoZero"/>
        <c:auto val="1"/>
        <c:lblAlgn val="ctr"/>
        <c:lblOffset val="100"/>
        <c:noMultiLvlLbl val="0"/>
      </c:catAx>
      <c:valAx>
        <c:axId val="17456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ontserrat" panose="00000500000000000000" pitchFamily="50" charset="0"/>
                <a:ea typeface="+mn-ea"/>
                <a:cs typeface="+mn-cs"/>
              </a:defRPr>
            </a:pPr>
            <a:endParaRPr lang="es-CO"/>
          </a:p>
        </c:txPr>
        <c:crossAx val="174565248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8419903580055683"/>
          <c:y val="0.84645356376439151"/>
          <c:w val="0.44739122665538344"/>
          <c:h val="7.86050225438268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ontserrat" panose="00000500000000000000" pitchFamily="50" charset="0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_tradnl" sz="1200">
                <a:latin typeface="Lovelo Black" panose="02000000000000000000" pitchFamily="50" charset="0"/>
              </a:rPr>
              <a:t>Comportamiento Financiación</a:t>
            </a:r>
            <a:r>
              <a:rPr lang="es-ES_tradnl" sz="1200" baseline="0">
                <a:latin typeface="Lovelo Black" panose="02000000000000000000" pitchFamily="50" charset="0"/>
              </a:rPr>
              <a:t> año 1</a:t>
            </a:r>
            <a:endParaRPr lang="es-ES_tradnl" sz="1200">
              <a:latin typeface="Lovelo Black" panose="02000000000000000000" pitchFamily="50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Pago Crédito</c:v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numRef>
              <c:f>'Flujo de caja'!$R$4:$AC$4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'Flujo de caja'!$R$7:$AC$7</c:f>
              <c:numCache>
                <c:formatCode>_("$"* #,##0_);_("$"* \(#,##0\);_("$"* "-"_);_(@_)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86-480F-889B-E42BEC217297}"/>
            </c:ext>
          </c:extLst>
        </c:ser>
        <c:ser>
          <c:idx val="0"/>
          <c:order val="1"/>
          <c:tx>
            <c:v>Ahorro</c:v>
          </c:tx>
          <c:spPr>
            <a:solidFill>
              <a:srgbClr val="537848"/>
            </a:solidFill>
            <a:ln>
              <a:noFill/>
            </a:ln>
            <a:effectLst/>
          </c:spPr>
          <c:invertIfNegative val="0"/>
          <c:cat>
            <c:numRef>
              <c:f>'Flujo de caja'!$R$4:$AC$4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'Flujo de caja'!$R$6:$AC$6</c:f>
              <c:numCache>
                <c:formatCode>_("$"* #,##0_);_("$"* \(#,##0\);_("$"* "-"_);_(@_)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1392921.2488467614</c:v>
                </c:pt>
                <c:pt idx="5">
                  <c:v>1399885.8550909951</c:v>
                </c:pt>
                <c:pt idx="6">
                  <c:v>1406885.2843664498</c:v>
                </c:pt>
                <c:pt idx="7">
                  <c:v>1413919.7107882819</c:v>
                </c:pt>
                <c:pt idx="8">
                  <c:v>1420989.3093422232</c:v>
                </c:pt>
                <c:pt idx="9">
                  <c:v>1428094.2558889342</c:v>
                </c:pt>
                <c:pt idx="10">
                  <c:v>1435234.7271683787</c:v>
                </c:pt>
                <c:pt idx="11">
                  <c:v>1442410.9008042205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86-480F-889B-E42BEC217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565248"/>
        <c:axId val="174566784"/>
      </c:barChart>
      <c:catAx>
        <c:axId val="1745652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900">
                    <a:latin typeface="Montserrat" panose="00000500000000000000" pitchFamily="50" charset="0"/>
                  </a:rPr>
                  <a:t>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ontserrat" panose="00000500000000000000" pitchFamily="50" charset="0"/>
                <a:ea typeface="+mn-ea"/>
                <a:cs typeface="+mn-cs"/>
              </a:defRPr>
            </a:pPr>
            <a:endParaRPr lang="es-CO"/>
          </a:p>
        </c:txPr>
        <c:crossAx val="174566784"/>
        <c:crosses val="autoZero"/>
        <c:auto val="1"/>
        <c:lblAlgn val="ctr"/>
        <c:lblOffset val="100"/>
        <c:noMultiLvlLbl val="0"/>
      </c:catAx>
      <c:valAx>
        <c:axId val="17456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ontserrat" panose="00000500000000000000" pitchFamily="50" charset="0"/>
                <a:ea typeface="+mn-ea"/>
                <a:cs typeface="+mn-cs"/>
              </a:defRPr>
            </a:pPr>
            <a:endParaRPr lang="es-CO"/>
          </a:p>
        </c:txPr>
        <c:crossAx val="174565248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8419903580055683"/>
          <c:y val="0.84645356376439151"/>
          <c:w val="0.44739122665538344"/>
          <c:h val="7.86050225438268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ontserrat" panose="00000500000000000000" pitchFamily="50" charset="0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tx1"/>
                </a:solidFill>
                <a:latin typeface="Lovelo Black" panose="02000000000000000000" pitchFamily="50" charset="0"/>
                <a:ea typeface="+mn-ea"/>
                <a:cs typeface="+mn-cs"/>
              </a:defRPr>
            </a:pPr>
            <a:r>
              <a:rPr lang="es-ES_tradnl" sz="1400">
                <a:latin typeface="Lovelo Black" panose="02000000000000000000" pitchFamily="50" charset="0"/>
              </a:rPr>
              <a:t>Flujo de Caja Con FINanciación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spc="0" baseline="0">
              <a:solidFill>
                <a:schemeClr val="tx1"/>
              </a:solidFill>
              <a:latin typeface="Lovelo Black" panose="02000000000000000000" pitchFamily="50" charset="0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dk1">
                <a:tint val="55000"/>
              </a:schemeClr>
            </a:solidFill>
            <a:ln>
              <a:noFill/>
            </a:ln>
            <a:effectLst/>
          </c:spPr>
          <c:invertIfNegative val="0"/>
          <c:cat>
            <c:numRef>
              <c:f>'Flujo de caja'!$C$35:$AB$35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'Flujo de caja'!$C$60:$AB$60</c:f>
              <c:numCache>
                <c:formatCode>_(* #,##0_);_(* \(#,##0\);_(* "-"??_);_(@_)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4D-4BBA-95E6-4E2E61526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565248"/>
        <c:axId val="174566784"/>
      </c:barChart>
      <c:catAx>
        <c:axId val="1745652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/>
                </a:solidFill>
                <a:latin typeface="Montserrat" panose="00000500000000000000" pitchFamily="50" charset="0"/>
                <a:ea typeface="+mn-ea"/>
                <a:cs typeface="+mn-cs"/>
              </a:defRPr>
            </a:pPr>
            <a:endParaRPr lang="es-CO"/>
          </a:p>
        </c:txPr>
        <c:crossAx val="174566784"/>
        <c:crosses val="autoZero"/>
        <c:auto val="1"/>
        <c:lblAlgn val="ctr"/>
        <c:lblOffset val="100"/>
        <c:noMultiLvlLbl val="0"/>
      </c:catAx>
      <c:valAx>
        <c:axId val="17456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/>
                </a:solidFill>
                <a:latin typeface="Montserrat" panose="00000500000000000000" pitchFamily="50" charset="0"/>
                <a:ea typeface="+mn-ea"/>
                <a:cs typeface="+mn-cs"/>
              </a:defRPr>
            </a:pPr>
            <a:endParaRPr lang="es-CO"/>
          </a:p>
        </c:txPr>
        <c:crossAx val="174565248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tx1"/>
                    </a:solidFill>
                    <a:latin typeface="Montserrat" panose="00000500000000000000" pitchFamily="50" charset="0"/>
                    <a:ea typeface="+mn-ea"/>
                    <a:cs typeface="+mn-cs"/>
                  </a:defRPr>
                </a:pPr>
                <a:endParaRPr lang="es-CO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tx1"/>
          </a:solidFill>
          <a:latin typeface="Montserrat" panose="00000500000000000000" pitchFamily="50" charset="0"/>
          <a:ea typeface="+mn-ea"/>
          <a:cs typeface="+mn-cs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8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0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jpe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14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3" Type="http://schemas.openxmlformats.org/officeDocument/2006/relationships/image" Target="../media/image13.jpeg"/><Relationship Id="rId7" Type="http://schemas.openxmlformats.org/officeDocument/2006/relationships/image" Target="../media/image15.png"/><Relationship Id="rId2" Type="http://schemas.openxmlformats.org/officeDocument/2006/relationships/image" Target="../media/image12.jpeg"/><Relationship Id="rId1" Type="http://schemas.openxmlformats.org/officeDocument/2006/relationships/image" Target="../media/image5.png"/><Relationship Id="rId6" Type="http://schemas.openxmlformats.org/officeDocument/2006/relationships/image" Target="../media/image6.png"/><Relationship Id="rId5" Type="http://schemas.openxmlformats.org/officeDocument/2006/relationships/image" Target="../media/image14.jpeg"/><Relationship Id="rId4" Type="http://schemas.openxmlformats.org/officeDocument/2006/relationships/image" Target="../media/image8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5" Type="http://schemas.openxmlformats.org/officeDocument/2006/relationships/chart" Target="../charts/chart22.xml"/><Relationship Id="rId4" Type="http://schemas.openxmlformats.org/officeDocument/2006/relationships/chart" Target="../charts/chart21.xml"/></Relationships>
</file>

<file path=xl/drawings/_rels/drawing20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3" Type="http://schemas.openxmlformats.org/officeDocument/2006/relationships/image" Target="../media/image6.png"/><Relationship Id="rId7" Type="http://schemas.openxmlformats.org/officeDocument/2006/relationships/image" Target="../media/image15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jpe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695325</xdr:colOff>
          <xdr:row>42</xdr:row>
          <xdr:rowOff>95250</xdr:rowOff>
        </xdr:from>
        <xdr:to>
          <xdr:col>6</xdr:col>
          <xdr:colOff>2676525</xdr:colOff>
          <xdr:row>44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CO" sz="2400" b="1" i="1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SIMULAR EPC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1</xdr:row>
          <xdr:rowOff>161925</xdr:rowOff>
        </xdr:from>
        <xdr:to>
          <xdr:col>6</xdr:col>
          <xdr:colOff>2847975</xdr:colOff>
          <xdr:row>3</xdr:row>
          <xdr:rowOff>133350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s-CO" sz="2600" b="1" i="1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685800</xdr:colOff>
          <xdr:row>47</xdr:row>
          <xdr:rowOff>9525</xdr:rowOff>
        </xdr:from>
        <xdr:to>
          <xdr:col>6</xdr:col>
          <xdr:colOff>2686050</xdr:colOff>
          <xdr:row>49</xdr:row>
          <xdr:rowOff>85725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CO" sz="2400" b="1" i="1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SIMULAR CON PPA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2095500</xdr:colOff>
          <xdr:row>34</xdr:row>
          <xdr:rowOff>161925</xdr:rowOff>
        </xdr:from>
        <xdr:to>
          <xdr:col>17</xdr:col>
          <xdr:colOff>2105025</xdr:colOff>
          <xdr:row>37</xdr:row>
          <xdr:rowOff>38100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3366"/>
                  </a:solidFill>
                  <a:latin typeface="Lovelo Black"/>
                </a:rPr>
                <a:t>DIMENSIONAR Y COTIZAR PROYECTO COMPLETO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114300</xdr:rowOff>
        </xdr:from>
        <xdr:to>
          <xdr:col>11</xdr:col>
          <xdr:colOff>9525</xdr:colOff>
          <xdr:row>3</xdr:row>
          <xdr:rowOff>38100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600" b="1" i="0" u="none" strike="noStrike" baseline="0">
                  <a:solidFill>
                    <a:srgbClr val="003366"/>
                  </a:solidFill>
                  <a:latin typeface="Lovelo Black"/>
                </a:rPr>
                <a:t>MENÚ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609600</xdr:colOff>
          <xdr:row>38</xdr:row>
          <xdr:rowOff>28575</xdr:rowOff>
        </xdr:from>
        <xdr:to>
          <xdr:col>17</xdr:col>
          <xdr:colOff>0</xdr:colOff>
          <xdr:row>40</xdr:row>
          <xdr:rowOff>0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1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66CC"/>
                  </a:solidFill>
                  <a:latin typeface="Lovelo Black"/>
                </a:rPr>
                <a:t>Generar Word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180975</xdr:colOff>
          <xdr:row>38</xdr:row>
          <xdr:rowOff>9525</xdr:rowOff>
        </xdr:from>
        <xdr:to>
          <xdr:col>18</xdr:col>
          <xdr:colOff>647700</xdr:colOff>
          <xdr:row>40</xdr:row>
          <xdr:rowOff>0</xdr:rowOff>
        </xdr:to>
        <xdr:sp macro="" textlink="">
          <xdr:nvSpPr>
            <xdr:cNvPr id="9237" name="Button 21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1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66CC"/>
                  </a:solidFill>
                  <a:latin typeface="Lovelo Black"/>
                </a:rPr>
                <a:t>Generar Word KIT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114300</xdr:rowOff>
        </xdr:from>
        <xdr:to>
          <xdr:col>17</xdr:col>
          <xdr:colOff>152400</xdr:colOff>
          <xdr:row>2</xdr:row>
          <xdr:rowOff>47625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4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3366"/>
                  </a:solidFill>
                  <a:latin typeface="Avenir Next LT Pro Light"/>
                </a:rPr>
                <a:t>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1457325</xdr:colOff>
          <xdr:row>1</xdr:row>
          <xdr:rowOff>114300</xdr:rowOff>
        </xdr:from>
        <xdr:to>
          <xdr:col>6</xdr:col>
          <xdr:colOff>333375</xdr:colOff>
          <xdr:row>3</xdr:row>
          <xdr:rowOff>47625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5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3366"/>
                  </a:solidFill>
                  <a:latin typeface="Avenir Next LT Pro Light"/>
                </a:rPr>
                <a:t>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1038225</xdr:colOff>
          <xdr:row>7</xdr:row>
          <xdr:rowOff>114300</xdr:rowOff>
        </xdr:from>
        <xdr:to>
          <xdr:col>4</xdr:col>
          <xdr:colOff>571500</xdr:colOff>
          <xdr:row>9</xdr:row>
          <xdr:rowOff>9525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6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3366"/>
                  </a:solidFill>
                  <a:latin typeface="Avenir Next LT Pro Light"/>
                </a:rPr>
                <a:t>MENÚ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909721</xdr:colOff>
      <xdr:row>24</xdr:row>
      <xdr:rowOff>102510</xdr:rowOff>
    </xdr:from>
    <xdr:to>
      <xdr:col>18</xdr:col>
      <xdr:colOff>1784908</xdr:colOff>
      <xdr:row>36</xdr:row>
      <xdr:rowOff>92485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985040" y="4358361"/>
          <a:ext cx="3982634" cy="2097634"/>
        </a:xfrm>
        <a:prstGeom prst="rect">
          <a:avLst/>
        </a:prstGeom>
      </xdr:spPr>
    </xdr:pic>
    <xdr:clientData/>
  </xdr:twoCellAnchor>
  <xdr:twoCellAnchor editAs="oneCell">
    <xdr:from>
      <xdr:col>13</xdr:col>
      <xdr:colOff>1119606</xdr:colOff>
      <xdr:row>24</xdr:row>
      <xdr:rowOff>88900</xdr:rowOff>
    </xdr:from>
    <xdr:to>
      <xdr:col>15</xdr:col>
      <xdr:colOff>1496903</xdr:colOff>
      <xdr:row>36</xdr:row>
      <xdr:rowOff>88901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370006" y="4381500"/>
          <a:ext cx="3560764" cy="2133600"/>
        </a:xfrm>
        <a:prstGeom prst="rect">
          <a:avLst/>
        </a:prstGeom>
      </xdr:spPr>
    </xdr:pic>
    <xdr:clientData/>
  </xdr:twoCellAnchor>
  <xdr:twoCellAnchor editAs="oneCell">
    <xdr:from>
      <xdr:col>20</xdr:col>
      <xdr:colOff>50800</xdr:colOff>
      <xdr:row>22</xdr:row>
      <xdr:rowOff>76200</xdr:rowOff>
    </xdr:from>
    <xdr:to>
      <xdr:col>22</xdr:col>
      <xdr:colOff>1473199</xdr:colOff>
      <xdr:row>40</xdr:row>
      <xdr:rowOff>184150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578800" y="4013200"/>
          <a:ext cx="5511800" cy="33782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1257300</xdr:colOff>
          <xdr:row>0</xdr:row>
          <xdr:rowOff>38100</xdr:rowOff>
        </xdr:from>
        <xdr:to>
          <xdr:col>5</xdr:col>
          <xdr:colOff>3048000</xdr:colOff>
          <xdr:row>1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7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3366"/>
                  </a:solidFill>
                  <a:latin typeface="Avenir Next LT Pro Light"/>
                </a:rPr>
                <a:t>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500062</xdr:colOff>
      <xdr:row>29</xdr:row>
      <xdr:rowOff>171450</xdr:rowOff>
    </xdr:from>
    <xdr:to>
      <xdr:col>10</xdr:col>
      <xdr:colOff>42862</xdr:colOff>
      <xdr:row>45</xdr:row>
      <xdr:rowOff>19050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623887</xdr:colOff>
      <xdr:row>12</xdr:row>
      <xdr:rowOff>57150</xdr:rowOff>
    </xdr:from>
    <xdr:to>
      <xdr:col>10</xdr:col>
      <xdr:colOff>166687</xdr:colOff>
      <xdr:row>27</xdr:row>
      <xdr:rowOff>85725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261937</xdr:colOff>
      <xdr:row>233</xdr:row>
      <xdr:rowOff>63102</xdr:rowOff>
    </xdr:from>
    <xdr:to>
      <xdr:col>3</xdr:col>
      <xdr:colOff>166687</xdr:colOff>
      <xdr:row>246</xdr:row>
      <xdr:rowOff>175021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490682</xdr:colOff>
      <xdr:row>174</xdr:row>
      <xdr:rowOff>192809</xdr:rowOff>
    </xdr:from>
    <xdr:to>
      <xdr:col>11</xdr:col>
      <xdr:colOff>871682</xdr:colOff>
      <xdr:row>188</xdr:row>
      <xdr:rowOff>188191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1000125</xdr:colOff>
          <xdr:row>3</xdr:row>
          <xdr:rowOff>104775</xdr:rowOff>
        </xdr:from>
        <xdr:to>
          <xdr:col>12</xdr:col>
          <xdr:colOff>342900</xdr:colOff>
          <xdr:row>4</xdr:row>
          <xdr:rowOff>180975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3366"/>
                  </a:solidFill>
                  <a:latin typeface="Lovelo Black"/>
                </a:rPr>
                <a:t>MENÚ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261937</xdr:colOff>
      <xdr:row>235</xdr:row>
      <xdr:rowOff>63102</xdr:rowOff>
    </xdr:from>
    <xdr:to>
      <xdr:col>3</xdr:col>
      <xdr:colOff>166687</xdr:colOff>
      <xdr:row>248</xdr:row>
      <xdr:rowOff>175021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490682</xdr:colOff>
      <xdr:row>176</xdr:row>
      <xdr:rowOff>192809</xdr:rowOff>
    </xdr:from>
    <xdr:to>
      <xdr:col>11</xdr:col>
      <xdr:colOff>871682</xdr:colOff>
      <xdr:row>190</xdr:row>
      <xdr:rowOff>188191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1000125</xdr:colOff>
          <xdr:row>3</xdr:row>
          <xdr:rowOff>104775</xdr:rowOff>
        </xdr:from>
        <xdr:to>
          <xdr:col>12</xdr:col>
          <xdr:colOff>342900</xdr:colOff>
          <xdr:row>4</xdr:row>
          <xdr:rowOff>180975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B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3366"/>
                  </a:solidFill>
                  <a:latin typeface="Lovelo Black"/>
                </a:rPr>
                <a:t>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872399</xdr:colOff>
      <xdr:row>6</xdr:row>
      <xdr:rowOff>679</xdr:rowOff>
    </xdr:from>
    <xdr:to>
      <xdr:col>10</xdr:col>
      <xdr:colOff>314212</xdr:colOff>
      <xdr:row>29</xdr:row>
      <xdr:rowOff>15240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655320</xdr:colOff>
      <xdr:row>6</xdr:row>
      <xdr:rowOff>0</xdr:rowOff>
    </xdr:from>
    <xdr:to>
      <xdr:col>16</xdr:col>
      <xdr:colOff>442523</xdr:colOff>
      <xdr:row>29</xdr:row>
      <xdr:rowOff>7620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129241</xdr:colOff>
      <xdr:row>120</xdr:row>
      <xdr:rowOff>97865</xdr:rowOff>
    </xdr:from>
    <xdr:to>
      <xdr:col>10</xdr:col>
      <xdr:colOff>842682</xdr:colOff>
      <xdr:row>121</xdr:row>
      <xdr:rowOff>189005</xdr:rowOff>
    </xdr:to>
    <xdr:sp macro="[0]!RunPPA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11387791" y="10226115"/>
          <a:ext cx="1970741" cy="29434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CO" sz="1200" b="0" cap="none" spc="0">
              <a:ln w="0"/>
              <a:solidFill>
                <a:schemeClr val="tx2">
                  <a:lumMod val="95000"/>
                  <a:lumOff val="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Lovelo Black" panose="02000000000000000000" pitchFamily="50" charset="0"/>
            </a:rPr>
            <a:t>Correr PPA 10, 15, 20 años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2</xdr:row>
          <xdr:rowOff>28575</xdr:rowOff>
        </xdr:from>
        <xdr:to>
          <xdr:col>10</xdr:col>
          <xdr:colOff>676275</xdr:colOff>
          <xdr:row>3</xdr:row>
          <xdr:rowOff>104775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C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3366"/>
                  </a:solidFill>
                  <a:latin typeface="Lovelo Black"/>
                </a:rPr>
                <a:t>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981075</xdr:colOff>
          <xdr:row>2</xdr:row>
          <xdr:rowOff>76200</xdr:rowOff>
        </xdr:from>
        <xdr:to>
          <xdr:col>6</xdr:col>
          <xdr:colOff>600075</xdr:colOff>
          <xdr:row>3</xdr:row>
          <xdr:rowOff>104775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3366"/>
                  </a:solidFill>
                  <a:latin typeface="Lovelo Black"/>
                </a:rPr>
                <a:t>VOLVER AL INICIO 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136525</xdr:colOff>
      <xdr:row>6</xdr:row>
      <xdr:rowOff>57150</xdr:rowOff>
    </xdr:from>
    <xdr:ext cx="895350" cy="771525"/>
    <xdr:pic>
      <xdr:nvPicPr>
        <xdr:cNvPr id="3" name="image2.png" title="Imagen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 preferRelativeResize="0"/>
      </xdr:nvPicPr>
      <xdr:blipFill rotWithShape="1">
        <a:blip xmlns:r="http://schemas.openxmlformats.org/officeDocument/2006/relationships" r:embed="rId1" cstate="print"/>
        <a:srcRect b="6897"/>
        <a:stretch/>
      </xdr:blipFill>
      <xdr:spPr>
        <a:xfrm>
          <a:off x="6094942" y="1930400"/>
          <a:ext cx="895350" cy="771525"/>
        </a:xfrm>
        <a:prstGeom prst="rect">
          <a:avLst/>
        </a:prstGeom>
        <a:noFill/>
      </xdr:spPr>
    </xdr:pic>
    <xdr:clientData fLocksWithSheet="0"/>
  </xdr:oneCellAnchor>
  <xdr:oneCellAnchor>
    <xdr:from>
      <xdr:col>5</xdr:col>
      <xdr:colOff>165100</xdr:colOff>
      <xdr:row>7</xdr:row>
      <xdr:rowOff>79375</xdr:rowOff>
    </xdr:from>
    <xdr:ext cx="857250" cy="723900"/>
    <xdr:pic>
      <xdr:nvPicPr>
        <xdr:cNvPr id="4" name="image3.png" title="Image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757636" y="3685268"/>
          <a:ext cx="857250" cy="723900"/>
        </a:xfrm>
        <a:prstGeom prst="rect">
          <a:avLst/>
        </a:prstGeom>
        <a:noFill/>
      </xdr:spPr>
    </xdr:pic>
    <xdr:clientData fLocksWithSheet="0"/>
  </xdr:oneCellAnchor>
  <xdr:oneCellAnchor>
    <xdr:from>
      <xdr:col>5</xdr:col>
      <xdr:colOff>215901</xdr:colOff>
      <xdr:row>8</xdr:row>
      <xdr:rowOff>47625</xdr:rowOff>
    </xdr:from>
    <xdr:ext cx="704850" cy="666751"/>
    <xdr:pic>
      <xdr:nvPicPr>
        <xdr:cNvPr id="5" name="image4.png" title="Imagen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5788026" y="3752850"/>
          <a:ext cx="704850" cy="666751"/>
        </a:xfrm>
        <a:prstGeom prst="rect">
          <a:avLst/>
        </a:prstGeom>
        <a:noFill/>
      </xdr:spPr>
    </xdr:pic>
    <xdr:clientData fLocksWithSheet="0"/>
  </xdr:oneCellAnchor>
  <xdr:oneCellAnchor>
    <xdr:from>
      <xdr:col>5</xdr:col>
      <xdr:colOff>193675</xdr:colOff>
      <xdr:row>10</xdr:row>
      <xdr:rowOff>101600</xdr:rowOff>
    </xdr:from>
    <xdr:ext cx="866775" cy="361950"/>
    <xdr:pic>
      <xdr:nvPicPr>
        <xdr:cNvPr id="6" name="image5.png" title="Imagen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5786211" y="6252029"/>
          <a:ext cx="866775" cy="361950"/>
        </a:xfrm>
        <a:prstGeom prst="rect">
          <a:avLst/>
        </a:prstGeom>
        <a:noFill/>
      </xdr:spPr>
    </xdr:pic>
    <xdr:clientData fLocksWithSheet="0"/>
  </xdr:oneCellAnchor>
  <xdr:oneCellAnchor>
    <xdr:from>
      <xdr:col>5</xdr:col>
      <xdr:colOff>180975</xdr:colOff>
      <xdr:row>9</xdr:row>
      <xdr:rowOff>98425</xdr:rowOff>
    </xdr:from>
    <xdr:ext cx="771525" cy="685800"/>
    <xdr:pic>
      <xdr:nvPicPr>
        <xdr:cNvPr id="7" name="image6.png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5753100" y="4575175"/>
          <a:ext cx="771525" cy="685800"/>
        </a:xfrm>
        <a:prstGeom prst="rect">
          <a:avLst/>
        </a:prstGeom>
        <a:noFill/>
      </xdr:spPr>
    </xdr:pic>
    <xdr:clientData fLocksWithSheet="0"/>
  </xdr:oneCellAnchor>
  <xdr:oneCellAnchor>
    <xdr:from>
      <xdr:col>5</xdr:col>
      <xdr:colOff>223143</xdr:colOff>
      <xdr:row>5</xdr:row>
      <xdr:rowOff>54568</xdr:rowOff>
    </xdr:from>
    <xdr:ext cx="708484" cy="707432"/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8"/>
        <a:stretch/>
      </xdr:blipFill>
      <xdr:spPr>
        <a:xfrm>
          <a:off x="5797339" y="1089894"/>
          <a:ext cx="708484" cy="707432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12</xdr:row>
          <xdr:rowOff>152400</xdr:rowOff>
        </xdr:from>
        <xdr:to>
          <xdr:col>4</xdr:col>
          <xdr:colOff>381000</xdr:colOff>
          <xdr:row>15</xdr:row>
          <xdr:rowOff>28575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E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CO" sz="2400" b="1" i="1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Generar Word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15</xdr:row>
          <xdr:rowOff>161925</xdr:rowOff>
        </xdr:from>
        <xdr:to>
          <xdr:col>4</xdr:col>
          <xdr:colOff>381000</xdr:colOff>
          <xdr:row>17</xdr:row>
          <xdr:rowOff>57150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E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CO" sz="2400" b="1" i="1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Generar Word LIGHT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17</xdr:row>
          <xdr:rowOff>161925</xdr:rowOff>
        </xdr:from>
        <xdr:to>
          <xdr:col>4</xdr:col>
          <xdr:colOff>381000</xdr:colOff>
          <xdr:row>19</xdr:row>
          <xdr:rowOff>76200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E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CO" sz="2400" b="1" i="1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Generar Word PPA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19</xdr:row>
          <xdr:rowOff>171450</xdr:rowOff>
        </xdr:from>
        <xdr:to>
          <xdr:col>4</xdr:col>
          <xdr:colOff>381000</xdr:colOff>
          <xdr:row>21</xdr:row>
          <xdr:rowOff>114300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E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CO" sz="2400" b="1" i="1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Generar Word EPC FINANCIADO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0</xdr:colOff>
      <xdr:row>8</xdr:row>
      <xdr:rowOff>0</xdr:rowOff>
    </xdr:from>
    <xdr:to>
      <xdr:col>12</xdr:col>
      <xdr:colOff>718820</xdr:colOff>
      <xdr:row>8</xdr:row>
      <xdr:rowOff>718820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863" t="-39934" r="3651" b="-41898"/>
        <a:stretch/>
      </xdr:blipFill>
      <xdr:spPr bwMode="auto">
        <a:xfrm>
          <a:off x="13815786" y="3556000"/>
          <a:ext cx="718820" cy="718820"/>
        </a:xfrm>
        <a:prstGeom prst="ellipse">
          <a:avLst/>
        </a:prstGeom>
        <a:ln>
          <a:solidFill>
            <a:schemeClr val="tx1">
              <a:lumMod val="50000"/>
              <a:lumOff val="50000"/>
            </a:schemeClr>
          </a:solidFill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85437</xdr:colOff>
      <xdr:row>0</xdr:row>
      <xdr:rowOff>12987</xdr:rowOff>
    </xdr:from>
    <xdr:to>
      <xdr:col>10</xdr:col>
      <xdr:colOff>485775</xdr:colOff>
      <xdr:row>12</xdr:row>
      <xdr:rowOff>133350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380999</xdr:colOff>
      <xdr:row>0</xdr:row>
      <xdr:rowOff>190501</xdr:rowOff>
    </xdr:from>
    <xdr:to>
      <xdr:col>35</xdr:col>
      <xdr:colOff>446999</xdr:colOff>
      <xdr:row>20</xdr:row>
      <xdr:rowOff>161566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394607</xdr:colOff>
      <xdr:row>21</xdr:row>
      <xdr:rowOff>40823</xdr:rowOff>
    </xdr:from>
    <xdr:to>
      <xdr:col>35</xdr:col>
      <xdr:colOff>450273</xdr:colOff>
      <xdr:row>41</xdr:row>
      <xdr:rowOff>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381000</xdr:colOff>
      <xdr:row>42</xdr:row>
      <xdr:rowOff>18556</xdr:rowOff>
    </xdr:from>
    <xdr:to>
      <xdr:col>35</xdr:col>
      <xdr:colOff>447000</xdr:colOff>
      <xdr:row>59</xdr:row>
      <xdr:rowOff>71263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469024</xdr:colOff>
      <xdr:row>0</xdr:row>
      <xdr:rowOff>148277</xdr:rowOff>
    </xdr:from>
    <xdr:to>
      <xdr:col>1</xdr:col>
      <xdr:colOff>1237599</xdr:colOff>
      <xdr:row>3</xdr:row>
      <xdr:rowOff>71640</xdr:rowOff>
    </xdr:to>
    <xdr:pic>
      <xdr:nvPicPr>
        <xdr:cNvPr id="2" name="Imagen 1" descr="INELCO S.A.S - Trabajamos con Energía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9297"/>
        <a:stretch/>
      </xdr:blipFill>
      <xdr:spPr bwMode="auto">
        <a:xfrm>
          <a:off x="469024" y="148277"/>
          <a:ext cx="1597250" cy="6377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292992</xdr:colOff>
      <xdr:row>9</xdr:row>
      <xdr:rowOff>129943</xdr:rowOff>
    </xdr:from>
    <xdr:ext cx="794791" cy="670711"/>
    <xdr:pic>
      <xdr:nvPicPr>
        <xdr:cNvPr id="4" name="image3.png" title="Image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230557" y="4757160"/>
          <a:ext cx="794791" cy="670711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2</xdr:col>
      <xdr:colOff>325783</xdr:colOff>
      <xdr:row>6</xdr:row>
      <xdr:rowOff>66259</xdr:rowOff>
    </xdr:from>
    <xdr:to>
      <xdr:col>2</xdr:col>
      <xdr:colOff>999436</xdr:colOff>
      <xdr:row>6</xdr:row>
      <xdr:rowOff>739912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190" t="5398" r="8714" b="5211"/>
        <a:stretch/>
      </xdr:blipFill>
      <xdr:spPr>
        <a:xfrm>
          <a:off x="3263348" y="2208694"/>
          <a:ext cx="673653" cy="673653"/>
        </a:xfrm>
        <a:prstGeom prst="flowChartConnector">
          <a:avLst/>
        </a:prstGeom>
      </xdr:spPr>
    </xdr:pic>
    <xdr:clientData/>
  </xdr:twoCellAnchor>
  <xdr:twoCellAnchor editAs="oneCell">
    <xdr:from>
      <xdr:col>2</xdr:col>
      <xdr:colOff>277753</xdr:colOff>
      <xdr:row>7</xdr:row>
      <xdr:rowOff>32096</xdr:rowOff>
    </xdr:from>
    <xdr:to>
      <xdr:col>2</xdr:col>
      <xdr:colOff>1060174</xdr:colOff>
      <xdr:row>7</xdr:row>
      <xdr:rowOff>800651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81" t="3322" r="4930" b="4165"/>
        <a:stretch/>
      </xdr:blipFill>
      <xdr:spPr>
        <a:xfrm>
          <a:off x="3215318" y="3002792"/>
          <a:ext cx="782421" cy="768555"/>
        </a:xfrm>
        <a:prstGeom prst="flowChartConnector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647700</xdr:colOff>
          <xdr:row>2</xdr:row>
          <xdr:rowOff>114300</xdr:rowOff>
        </xdr:from>
        <xdr:to>
          <xdr:col>9</xdr:col>
          <xdr:colOff>800100</xdr:colOff>
          <xdr:row>3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CO" sz="1800" b="1" i="0" u="none" strike="noStrike" baseline="0">
                  <a:solidFill>
                    <a:srgbClr val="003366"/>
                  </a:solidFill>
                  <a:latin typeface="Lovelo Black"/>
                </a:rPr>
                <a:t>MENÚ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267521</xdr:colOff>
      <xdr:row>11</xdr:row>
      <xdr:rowOff>92363</xdr:rowOff>
    </xdr:from>
    <xdr:ext cx="771525" cy="685800"/>
    <xdr:pic>
      <xdr:nvPicPr>
        <xdr:cNvPr id="11" name="image6.png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3211612" y="6407727"/>
          <a:ext cx="771525" cy="685800"/>
        </a:xfrm>
        <a:prstGeom prst="rect">
          <a:avLst/>
        </a:prstGeom>
        <a:noFill/>
      </xdr:spPr>
    </xdr:pic>
    <xdr:clientData fLocksWithSheet="0"/>
  </xdr:oneCellAnchor>
  <xdr:oneCellAnchor>
    <xdr:from>
      <xdr:col>2</xdr:col>
      <xdr:colOff>281099</xdr:colOff>
      <xdr:row>5</xdr:row>
      <xdr:rowOff>13266</xdr:rowOff>
    </xdr:from>
    <xdr:ext cx="758167" cy="770822"/>
    <xdr:pic>
      <xdr:nvPicPr>
        <xdr:cNvPr id="62" name="Imagen 61">
          <a:extLst>
            <a:ext uri="{FF2B5EF4-FFF2-40B4-BE49-F238E27FC236}">
              <a16:creationId xmlns:a16="http://schemas.microsoft.com/office/drawing/2014/main" id="{00000000-0008-0000-1400-00003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04" b="1119"/>
        <a:stretch/>
      </xdr:blipFill>
      <xdr:spPr>
        <a:xfrm>
          <a:off x="3218664" y="1327440"/>
          <a:ext cx="758167" cy="770822"/>
        </a:xfrm>
        <a:prstGeom prst="flowChartConnector">
          <a:avLst/>
        </a:prstGeom>
      </xdr:spPr>
    </xdr:pic>
    <xdr:clientData/>
  </xdr:oneCellAnchor>
  <xdr:oneCellAnchor>
    <xdr:from>
      <xdr:col>2</xdr:col>
      <xdr:colOff>301830</xdr:colOff>
      <xdr:row>10</xdr:row>
      <xdr:rowOff>103909</xdr:rowOff>
    </xdr:from>
    <xdr:ext cx="704850" cy="628650"/>
    <xdr:pic>
      <xdr:nvPicPr>
        <xdr:cNvPr id="22" name="image4.png" title="Imagen"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3245921" y="5588000"/>
          <a:ext cx="704850" cy="628650"/>
        </a:xfrm>
        <a:prstGeom prst="rect">
          <a:avLst/>
        </a:prstGeom>
        <a:noFill/>
      </xdr:spPr>
    </xdr:pic>
    <xdr:clientData fLocksWithSheet="0"/>
  </xdr:oneCellAnchor>
  <xdr:twoCellAnchor>
    <xdr:from>
      <xdr:col>2</xdr:col>
      <xdr:colOff>283687</xdr:colOff>
      <xdr:row>8</xdr:row>
      <xdr:rowOff>103371</xdr:rowOff>
    </xdr:from>
    <xdr:to>
      <xdr:col>2</xdr:col>
      <xdr:colOff>987960</xdr:colOff>
      <xdr:row>8</xdr:row>
      <xdr:rowOff>766658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pSpPr/>
      </xdr:nvGrpSpPr>
      <xdr:grpSpPr>
        <a:xfrm>
          <a:off x="3215270" y="3913371"/>
          <a:ext cx="704273" cy="663287"/>
          <a:chOff x="3174065" y="5607493"/>
          <a:chExt cx="869485" cy="845344"/>
        </a:xfrm>
      </xdr:grpSpPr>
      <xdr:sp macro="" textlink="">
        <xdr:nvSpPr>
          <xdr:cNvPr id="15" name="Elipse 14">
            <a:extLst>
              <a:ext uri="{FF2B5EF4-FFF2-40B4-BE49-F238E27FC236}">
                <a16:creationId xmlns:a16="http://schemas.microsoft.com/office/drawing/2014/main" id="{00000000-0008-0000-1400-00000F000000}"/>
              </a:ext>
            </a:extLst>
          </xdr:cNvPr>
          <xdr:cNvSpPr/>
        </xdr:nvSpPr>
        <xdr:spPr>
          <a:xfrm>
            <a:off x="3174065" y="5607493"/>
            <a:ext cx="845344" cy="845344"/>
          </a:xfrm>
          <a:prstGeom prst="ellipse">
            <a:avLst/>
          </a:prstGeom>
          <a:solidFill>
            <a:schemeClr val="bg1"/>
          </a:solidFill>
          <a:ln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pic>
        <xdr:nvPicPr>
          <xdr:cNvPr id="16" name="Imagen 15">
            <a:extLst>
              <a:ext uri="{FF2B5EF4-FFF2-40B4-BE49-F238E27FC236}">
                <a16:creationId xmlns:a16="http://schemas.microsoft.com/office/drawing/2014/main" id="{00000000-0008-0000-14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9949" b="89796" l="8723" r="90000">
                        <a14:foregroundMark x1="29574" y1="44643" x2="36383" y2="45918"/>
                        <a14:foregroundMark x1="9574" y1="42347" x2="28085" y2="56888"/>
                        <a14:foregroundMark x1="28085" y1="56888" x2="45106" y2="57143"/>
                        <a14:foregroundMark x1="8723" y1="44388" x2="13191" y2="54592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203832" y="5715841"/>
            <a:ext cx="839718" cy="70127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4</xdr:row>
          <xdr:rowOff>114300</xdr:rowOff>
        </xdr:from>
        <xdr:to>
          <xdr:col>10</xdr:col>
          <xdr:colOff>1066800</xdr:colOff>
          <xdr:row>5</xdr:row>
          <xdr:rowOff>304800</xdr:rowOff>
        </xdr:to>
        <xdr:sp macro="" textlink="">
          <xdr:nvSpPr>
            <xdr:cNvPr id="13332" name="Button 20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14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66CC"/>
                  </a:solidFill>
                  <a:latin typeface="Lovelo Black"/>
                </a:rPr>
                <a:t>Generar Word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0</xdr:row>
          <xdr:rowOff>114300</xdr:rowOff>
        </xdr:from>
        <xdr:to>
          <xdr:col>9</xdr:col>
          <xdr:colOff>381000</xdr:colOff>
          <xdr:row>0</xdr:row>
          <xdr:rowOff>390525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3366"/>
                  </a:solidFill>
                  <a:latin typeface="Avenir Next LT Pro Light"/>
                </a:rPr>
                <a:t>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282575</xdr:colOff>
      <xdr:row>10</xdr:row>
      <xdr:rowOff>152400</xdr:rowOff>
    </xdr:from>
    <xdr:ext cx="5220000" cy="3227700"/>
    <xdr:graphicFrame macro="">
      <xdr:nvGraphicFramePr>
        <xdr:cNvPr id="221464217" name="Chart 1" title="Gráfico">
          <a:extLst>
            <a:ext uri="{FF2B5EF4-FFF2-40B4-BE49-F238E27FC236}">
              <a16:creationId xmlns:a16="http://schemas.microsoft.com/office/drawing/2014/main" id="{00000000-0008-0000-1600-00009946330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0</xdr:col>
      <xdr:colOff>292100</xdr:colOff>
      <xdr:row>29</xdr:row>
      <xdr:rowOff>53975</xdr:rowOff>
    </xdr:from>
    <xdr:ext cx="5220000" cy="3227700"/>
    <xdr:graphicFrame macro="">
      <xdr:nvGraphicFramePr>
        <xdr:cNvPr id="428848210" name="Chart 2" title="Gráfico">
          <a:extLst>
            <a:ext uri="{FF2B5EF4-FFF2-40B4-BE49-F238E27FC236}">
              <a16:creationId xmlns:a16="http://schemas.microsoft.com/office/drawing/2014/main" id="{00000000-0008-0000-1600-000052B48F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twoCellAnchor>
    <xdr:from>
      <xdr:col>5</xdr:col>
      <xdr:colOff>0</xdr:colOff>
      <xdr:row>48</xdr:row>
      <xdr:rowOff>0</xdr:rowOff>
    </xdr:from>
    <xdr:to>
      <xdr:col>9</xdr:col>
      <xdr:colOff>723900</xdr:colOff>
      <xdr:row>62</xdr:row>
      <xdr:rowOff>76200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48</xdr:row>
      <xdr:rowOff>0</xdr:rowOff>
    </xdr:from>
    <xdr:to>
      <xdr:col>14</xdr:col>
      <xdr:colOff>723900</xdr:colOff>
      <xdr:row>62</xdr:row>
      <xdr:rowOff>76200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0</xdr:colOff>
      <xdr:row>48</xdr:row>
      <xdr:rowOff>0</xdr:rowOff>
    </xdr:from>
    <xdr:to>
      <xdr:col>19</xdr:col>
      <xdr:colOff>723900</xdr:colOff>
      <xdr:row>62</xdr:row>
      <xdr:rowOff>76200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838200</xdr:colOff>
          <xdr:row>3</xdr:row>
          <xdr:rowOff>114300</xdr:rowOff>
        </xdr:from>
        <xdr:to>
          <xdr:col>5</xdr:col>
          <xdr:colOff>723900</xdr:colOff>
          <xdr:row>5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3366"/>
                  </a:solidFill>
                  <a:latin typeface="Avenir Next LT Pro Light"/>
                </a:rPr>
                <a:t>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</xdr:row>
          <xdr:rowOff>9525</xdr:rowOff>
        </xdr:from>
        <xdr:to>
          <xdr:col>11</xdr:col>
          <xdr:colOff>390525</xdr:colOff>
          <xdr:row>4</xdr:row>
          <xdr:rowOff>180975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17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CO" sz="1200" b="0" i="0" u="none" strike="noStrike" baseline="0">
                  <a:solidFill>
                    <a:srgbClr val="000080"/>
                  </a:solidFill>
                  <a:latin typeface="Lovelo Black"/>
                </a:rPr>
                <a:t>CONTRATO PERSONA NATURAL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5</xdr:row>
          <xdr:rowOff>152400</xdr:rowOff>
        </xdr:from>
        <xdr:to>
          <xdr:col>11</xdr:col>
          <xdr:colOff>381000</xdr:colOff>
          <xdr:row>8</xdr:row>
          <xdr:rowOff>123825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17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CO" sz="1200" b="0" i="0" u="none" strike="noStrike" baseline="0">
                  <a:solidFill>
                    <a:srgbClr val="000080"/>
                  </a:solidFill>
                  <a:latin typeface="Lovelo Black"/>
                </a:rPr>
                <a:t>CONTRATO PERSONA JURÍDICA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468923</xdr:colOff>
      <xdr:row>10</xdr:row>
      <xdr:rowOff>40059</xdr:rowOff>
    </xdr:from>
    <xdr:to>
      <xdr:col>8</xdr:col>
      <xdr:colOff>770213</xdr:colOff>
      <xdr:row>26</xdr:row>
      <xdr:rowOff>0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35975</xdr:colOff>
      <xdr:row>10</xdr:row>
      <xdr:rowOff>36635</xdr:rowOff>
    </xdr:from>
    <xdr:to>
      <xdr:col>13</xdr:col>
      <xdr:colOff>465119</xdr:colOff>
      <xdr:row>26</xdr:row>
      <xdr:rowOff>1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85725</xdr:rowOff>
        </xdr:from>
        <xdr:to>
          <xdr:col>8</xdr:col>
          <xdr:colOff>581025</xdr:colOff>
          <xdr:row>5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8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3366"/>
                  </a:solidFill>
                  <a:latin typeface="Avenir Next LT Pro Light"/>
                </a:rPr>
                <a:t>MENÚ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489857</xdr:colOff>
      <xdr:row>63</xdr:row>
      <xdr:rowOff>154214</xdr:rowOff>
    </xdr:from>
    <xdr:to>
      <xdr:col>9</xdr:col>
      <xdr:colOff>190500</xdr:colOff>
      <xdr:row>77</xdr:row>
      <xdr:rowOff>118431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431405</xdr:colOff>
      <xdr:row>64</xdr:row>
      <xdr:rowOff>8032</xdr:rowOff>
    </xdr:from>
    <xdr:to>
      <xdr:col>14</xdr:col>
      <xdr:colOff>240905</xdr:colOff>
      <xdr:row>77</xdr:row>
      <xdr:rowOff>156160</xdr:rowOff>
    </xdr:to>
    <xdr:graphicFrame macro="">
      <xdr:nvGraphicFramePr>
        <xdr:cNvPr id="6" name="Chart 3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79</xdr:row>
      <xdr:rowOff>1</xdr:rowOff>
    </xdr:from>
    <xdr:to>
      <xdr:col>11</xdr:col>
      <xdr:colOff>503550</xdr:colOff>
      <xdr:row>93</xdr:row>
      <xdr:rowOff>160501</xdr:rowOff>
    </xdr:to>
    <xdr:graphicFrame macro="">
      <xdr:nvGraphicFramePr>
        <xdr:cNvPr id="7" name="Chart 3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9525</xdr:rowOff>
        </xdr:from>
        <xdr:to>
          <xdr:col>3</xdr:col>
          <xdr:colOff>638175</xdr:colOff>
          <xdr:row>3</xdr:row>
          <xdr:rowOff>38100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A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3366"/>
                  </a:solidFill>
                  <a:latin typeface="Lovelo Black"/>
                </a:rPr>
                <a:t>VOLVER AL INICIO 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1</xdr:row>
          <xdr:rowOff>114300</xdr:rowOff>
        </xdr:from>
        <xdr:to>
          <xdr:col>12</xdr:col>
          <xdr:colOff>581025</xdr:colOff>
          <xdr:row>2</xdr:row>
          <xdr:rowOff>228600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B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3366"/>
                  </a:solidFill>
                  <a:latin typeface="Avenir Next LT Pro Light"/>
                </a:rPr>
                <a:t>MENÚ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136525</xdr:colOff>
      <xdr:row>6</xdr:row>
      <xdr:rowOff>57150</xdr:rowOff>
    </xdr:from>
    <xdr:ext cx="895350" cy="771525"/>
    <xdr:pic>
      <xdr:nvPicPr>
        <xdr:cNvPr id="3" name="image2.png" title="Imagen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PicPr preferRelativeResize="0"/>
      </xdr:nvPicPr>
      <xdr:blipFill rotWithShape="1">
        <a:blip xmlns:r="http://schemas.openxmlformats.org/officeDocument/2006/relationships" r:embed="rId1" cstate="print"/>
        <a:srcRect b="6897"/>
        <a:stretch/>
      </xdr:blipFill>
      <xdr:spPr>
        <a:xfrm>
          <a:off x="5708650" y="1895475"/>
          <a:ext cx="895350" cy="771525"/>
        </a:xfrm>
        <a:prstGeom prst="rect">
          <a:avLst/>
        </a:prstGeom>
        <a:noFill/>
      </xdr:spPr>
    </xdr:pic>
    <xdr:clientData fLocksWithSheet="0"/>
  </xdr:oneCellAnchor>
  <xdr:oneCellAnchor>
    <xdr:from>
      <xdr:col>5</xdr:col>
      <xdr:colOff>210206</xdr:colOff>
      <xdr:row>8</xdr:row>
      <xdr:rowOff>26824</xdr:rowOff>
    </xdr:from>
    <xdr:ext cx="742294" cy="682625"/>
    <xdr:pic>
      <xdr:nvPicPr>
        <xdr:cNvPr id="4" name="image3.png" title="Image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PicPr preferRelativeResize="0"/>
      </xdr:nvPicPr>
      <xdr:blipFill rotWithShape="1">
        <a:blip xmlns:r="http://schemas.openxmlformats.org/officeDocument/2006/relationships" r:embed="rId2" cstate="print"/>
        <a:srcRect l="8327" r="5082" b="5702"/>
        <a:stretch/>
      </xdr:blipFill>
      <xdr:spPr>
        <a:xfrm>
          <a:off x="5793827" y="3600341"/>
          <a:ext cx="742294" cy="682625"/>
        </a:xfrm>
        <a:prstGeom prst="rect">
          <a:avLst/>
        </a:prstGeom>
        <a:noFill/>
      </xdr:spPr>
    </xdr:pic>
    <xdr:clientData fLocksWithSheet="0"/>
  </xdr:oneCellAnchor>
  <xdr:oneCellAnchor>
    <xdr:from>
      <xdr:col>5</xdr:col>
      <xdr:colOff>222001</xdr:colOff>
      <xdr:row>9</xdr:row>
      <xdr:rowOff>13843</xdr:rowOff>
    </xdr:from>
    <xdr:ext cx="704850" cy="629916"/>
    <xdr:pic>
      <xdr:nvPicPr>
        <xdr:cNvPr id="5" name="image4.png" title="Imagen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PicPr preferRelativeResize="0"/>
      </xdr:nvPicPr>
      <xdr:blipFill rotWithShape="1">
        <a:blip xmlns:r="http://schemas.openxmlformats.org/officeDocument/2006/relationships" r:embed="rId3" cstate="print"/>
        <a:srcRect b="5525"/>
        <a:stretch/>
      </xdr:blipFill>
      <xdr:spPr>
        <a:xfrm>
          <a:off x="5805622" y="4415050"/>
          <a:ext cx="704850" cy="629916"/>
        </a:xfrm>
        <a:prstGeom prst="rect">
          <a:avLst/>
        </a:prstGeom>
        <a:noFill/>
      </xdr:spPr>
    </xdr:pic>
    <xdr:clientData fLocksWithSheet="0"/>
  </xdr:oneCellAnchor>
  <xdr:oneCellAnchor>
    <xdr:from>
      <xdr:col>5</xdr:col>
      <xdr:colOff>193675</xdr:colOff>
      <xdr:row>11</xdr:row>
      <xdr:rowOff>101600</xdr:rowOff>
    </xdr:from>
    <xdr:ext cx="866775" cy="361950"/>
    <xdr:pic>
      <xdr:nvPicPr>
        <xdr:cNvPr id="6" name="image5.png" title="Imagen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5765800" y="5330825"/>
          <a:ext cx="866775" cy="361950"/>
        </a:xfrm>
        <a:prstGeom prst="rect">
          <a:avLst/>
        </a:prstGeom>
        <a:noFill/>
      </xdr:spPr>
    </xdr:pic>
    <xdr:clientData fLocksWithSheet="0"/>
  </xdr:oneCellAnchor>
  <xdr:oneCellAnchor>
    <xdr:from>
      <xdr:col>5</xdr:col>
      <xdr:colOff>180975</xdr:colOff>
      <xdr:row>10</xdr:row>
      <xdr:rowOff>13028</xdr:rowOff>
    </xdr:from>
    <xdr:ext cx="771525" cy="650437"/>
    <xdr:pic>
      <xdr:nvPicPr>
        <xdr:cNvPr id="7" name="image6.png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PicPr preferRelativeResize="0"/>
      </xdr:nvPicPr>
      <xdr:blipFill rotWithShape="1">
        <a:blip xmlns:r="http://schemas.openxmlformats.org/officeDocument/2006/relationships" r:embed="rId5" cstate="print"/>
        <a:srcRect b="5156"/>
        <a:stretch/>
      </xdr:blipFill>
      <xdr:spPr>
        <a:xfrm>
          <a:off x="5764596" y="5084269"/>
          <a:ext cx="771525" cy="650437"/>
        </a:xfrm>
        <a:prstGeom prst="rect">
          <a:avLst/>
        </a:prstGeom>
        <a:noFill/>
      </xdr:spPr>
    </xdr:pic>
    <xdr:clientData fLocksWithSheet="0"/>
  </xdr:oneCellAnchor>
  <xdr:oneCellAnchor>
    <xdr:from>
      <xdr:col>5</xdr:col>
      <xdr:colOff>223143</xdr:colOff>
      <xdr:row>5</xdr:row>
      <xdr:rowOff>54568</xdr:rowOff>
    </xdr:from>
    <xdr:ext cx="708484" cy="707432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1B00-000008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8"/>
        <a:stretch/>
      </xdr:blipFill>
      <xdr:spPr>
        <a:xfrm>
          <a:off x="5795268" y="1092793"/>
          <a:ext cx="708484" cy="707432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7</xdr:row>
      <xdr:rowOff>66675</xdr:rowOff>
    </xdr:from>
    <xdr:to>
      <xdr:col>5</xdr:col>
      <xdr:colOff>894773</xdr:colOff>
      <xdr:row>7</xdr:row>
      <xdr:rowOff>729962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pSpPr/>
      </xdr:nvGrpSpPr>
      <xdr:grpSpPr>
        <a:xfrm>
          <a:off x="5742878" y="2796401"/>
          <a:ext cx="704273" cy="663287"/>
          <a:chOff x="3174065" y="5607493"/>
          <a:chExt cx="869485" cy="845344"/>
        </a:xfrm>
      </xdr:grpSpPr>
      <xdr:sp macro="" textlink="">
        <xdr:nvSpPr>
          <xdr:cNvPr id="9" name="Elipse 8">
            <a:extLst>
              <a:ext uri="{FF2B5EF4-FFF2-40B4-BE49-F238E27FC236}">
                <a16:creationId xmlns:a16="http://schemas.microsoft.com/office/drawing/2014/main" id="{00000000-0008-0000-1B00-000009000000}"/>
              </a:ext>
            </a:extLst>
          </xdr:cNvPr>
          <xdr:cNvSpPr/>
        </xdr:nvSpPr>
        <xdr:spPr>
          <a:xfrm>
            <a:off x="3174065" y="5607493"/>
            <a:ext cx="845344" cy="845344"/>
          </a:xfrm>
          <a:prstGeom prst="ellipse">
            <a:avLst/>
          </a:prstGeom>
          <a:solidFill>
            <a:schemeClr val="bg1"/>
          </a:solidFill>
          <a:ln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pic>
        <xdr:nvPicPr>
          <xdr:cNvPr id="11" name="Imagen 10">
            <a:extLst>
              <a:ext uri="{FF2B5EF4-FFF2-40B4-BE49-F238E27FC236}">
                <a16:creationId xmlns:a16="http://schemas.microsoft.com/office/drawing/2014/main" id="{00000000-0008-0000-1B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9949" b="89796" l="8723" r="90000">
                        <a14:foregroundMark x1="29574" y1="44643" x2="36383" y2="45918"/>
                        <a14:foregroundMark x1="9574" y1="42347" x2="28085" y2="56888"/>
                        <a14:foregroundMark x1="28085" y1="56888" x2="45106" y2="57143"/>
                        <a14:foregroundMark x1="8723" y1="44388" x2="13191" y2="54592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203832" y="5715841"/>
            <a:ext cx="839718" cy="701277"/>
          </a:xfrm>
          <a:prstGeom prst="rect">
            <a:avLst/>
          </a:prstGeom>
        </xdr:spPr>
      </xdr:pic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Hugo Andres Gomez Aristizabal" id="{EF65E37F-0EEA-F54F-A7A7-E922D9314A6A}" userId="S::hagomez@eafit.edu.co::276512c6-4272-4a09-bdfe-b1a15f8031e8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FBA8B4-866D-4F44-ACAE-6A8571C34005}" name="Tabla2" displayName="Tabla2" ref="A1:A4" totalsRowShown="0" headerRowDxfId="118">
  <autoFilter ref="A1:A4" xr:uid="{7A237741-330F-4193-84EC-57EBDECC3F8C}"/>
  <tableColumns count="1">
    <tableColumn id="1" xr3:uid="{9775F6B7-02A6-4498-871A-744A00382BB3}" name="Nombre">
      <calculatedColumnFormula>+C2&amp;D2&amp;"Cristalino "&amp;E2&amp;"W"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36BF20-6B84-4FC1-9E34-9CAAFAD5C182}" name="Tabla1" displayName="Tabla1" ref="I1048571:J1048573" totalsRowShown="0" headerRowDxfId="114" dataDxfId="113" tableBorderDxfId="112">
  <autoFilter ref="I1048571:J1048573" xr:uid="{096B9A6D-0718-4F2A-9949-BCF5BEF9D2C1}"/>
  <tableColumns count="2">
    <tableColumn id="1" xr3:uid="{C339C968-E6FE-4EF1-AAE9-208AB4CECFD4}" name="Tipo de carga" dataDxfId="111"/>
    <tableColumn id="2" xr3:uid="{79DF90C5-646E-410B-8AB1-E8DA6618F319}" name="Tipo controlador" dataDxfId="1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4D0CD74-24C4-4C80-99FA-87498E4BC679}" name="Tabla5" displayName="Tabla5" ref="A2:C54" totalsRowShown="0" headerRowDxfId="109" dataDxfId="107" headerRowBorderDxfId="108" tableBorderDxfId="106" totalsRowBorderDxfId="105">
  <tableColumns count="3">
    <tableColumn id="1" xr3:uid="{7DFF89B7-2CC5-4BA1-A9F1-BC23A65A2F27}" name="nombre" dataDxfId="104"/>
    <tableColumn id="2" xr3:uid="{4C2FEC52-6F58-4774-97AB-2097E7276C9F}" name="Columna1" dataDxfId="103"/>
    <tableColumn id="3" xr3:uid="{F8AA1AAC-B6A4-4873-9EE1-6BCD297BF75D}" name="Columna2" dataDxfId="10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69B1C24-5157-4738-923A-CE0630A12055}" name="Tabla6" displayName="Tabla6" ref="A140:A149" totalsRowShown="0" headerRowDxfId="101" dataDxfId="99" headerRowBorderDxfId="100" tableBorderDxfId="98" totalsRowBorderDxfId="97">
  <autoFilter ref="A140:A149" xr:uid="{EB80188C-C32F-4D9D-B18A-CC7F9A50898F}"/>
  <tableColumns count="1">
    <tableColumn id="1" xr3:uid="{8C43C053-E3BD-414E-BD7C-2DE26AFCED58}" name="Columna1" dataDxfId="9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062D77B-C945-4DF5-9C14-007721D8B05D}" name="Tabla3" displayName="Tabla3" ref="A57:A100" totalsRowShown="0" headerRowDxfId="95" dataDxfId="93" headerRowBorderDxfId="94" tableBorderDxfId="92" totalsRowBorderDxfId="91">
  <tableColumns count="1">
    <tableColumn id="1" xr3:uid="{7B6E310B-EAE4-4FCB-B1C9-D359F6F1960D}" name="MultiPlus Compact 12/2000/80-50 120V VE.Bus (UL) Victron Energy" dataDxfId="9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AEB263E-682C-4A82-A6B7-5114D1225161}" name="Tabla41223" displayName="Tabla41223" ref="C2:D5" totalsRowShown="0" headerRowDxfId="89" dataDxfId="87" headerRowBorderDxfId="88" tableBorderDxfId="86">
  <autoFilter ref="C2:D5" xr:uid="{8AEB263E-682C-4A82-A6B7-5114D1225161}"/>
  <tableColumns count="2">
    <tableColumn id="1" xr3:uid="{C5235C92-5B44-4132-B0E2-E9ACA147B66A}" name="Via del cableado " dataDxfId="85"/>
    <tableColumn id="2" xr3:uid="{A8E6BB13-5208-4BCF-856F-A6A15B2D889E}" name="Si" dataDxfId="8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0546299-A758-4865-A605-7B62823CE478}" name="Tabla71324" displayName="Tabla71324" ref="B193:P207" totalsRowShown="0" headerRowDxfId="83" dataDxfId="81" headerRowBorderDxfId="82" tableBorderDxfId="80" totalsRowBorderDxfId="79">
  <autoFilter ref="B193:P207" xr:uid="{E0546299-A758-4865-A605-7B62823CE478}"/>
  <tableColumns count="15">
    <tableColumn id="1" xr3:uid="{3A8A2A3B-E409-4C5E-B2C9-D7D7ECBAF128}" name="Ciudad" dataDxfId="78"/>
    <tableColumn id="2" xr3:uid="{F15A65BB-A056-4A9C-BD09-29A2A63DFDDC}" name="Radiación (kWh/m2/día)" dataDxfId="77">
      <calculatedColumnFormula>+Tabla71324[[#This Row],[Horas pico de sol/dia Prom]]</calculatedColumnFormula>
    </tableColumn>
    <tableColumn id="3" xr3:uid="{0EF72D0B-E2F2-42CA-B6DC-F2F43885F758}" name="Horas pico de sol/dia Prom" dataDxfId="76">
      <calculatedColumnFormula>SUM(E194:P194)/COUNTA(E194:P194)</calculatedColumnFormula>
    </tableColumn>
    <tableColumn id="4" xr3:uid="{97C0281B-894E-4C61-A26C-136F92DAE86B}" name="Enero" dataDxfId="75"/>
    <tableColumn id="5" xr3:uid="{5C01703F-B89F-4347-97C4-9C8E86E7463E}" name="febrero" dataDxfId="74"/>
    <tableColumn id="6" xr3:uid="{633A013B-D203-4DEC-B86B-7BDE1B724CFB}" name="marzo" dataDxfId="73"/>
    <tableColumn id="7" xr3:uid="{5CC3B6C9-2764-4166-9FF8-A5513E8DE8EA}" name="abril" dataDxfId="72"/>
    <tableColumn id="8" xr3:uid="{52720DEE-B5CB-4D8C-9B9C-EAF64E0FE344}" name="mayo" dataDxfId="71"/>
    <tableColumn id="9" xr3:uid="{4E2B8A28-0F92-4BCD-BC9E-7B0B572D648A}" name="junio" dataDxfId="70"/>
    <tableColumn id="10" xr3:uid="{91761E23-A433-490A-8402-AB6A1EA5BA47}" name="julio" dataDxfId="69"/>
    <tableColumn id="11" xr3:uid="{72B69840-3354-431F-B2F2-3B8C0A6F628D}" name="agosto" dataDxfId="68"/>
    <tableColumn id="12" xr3:uid="{0247BD64-6377-4754-8B3C-8D61C6235FAC}" name="septiembre" dataDxfId="67"/>
    <tableColumn id="13" xr3:uid="{F786DDAD-1309-45F5-9727-E869129A0A2A}" name="octubre" dataDxfId="66"/>
    <tableColumn id="14" xr3:uid="{F2057497-A952-42D6-B918-17E5BF061F83}" name="noviembre" dataDxfId="65"/>
    <tableColumn id="15" xr3:uid="{7B68DA18-E841-434D-AD2D-27655BA18B02}" name="diciembre" dataDxfId="64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F87308F-407C-4098-8AC8-DB130ACA8279}" name="Tabla81525" displayName="Tabla81525" ref="B217:C220" totalsRowShown="0" headerRowDxfId="63" dataDxfId="61" headerRowBorderDxfId="62" tableBorderDxfId="60" totalsRowBorderDxfId="59">
  <autoFilter ref="B217:C220" xr:uid="{8F87308F-407C-4098-8AC8-DB130ACA8279}"/>
  <tableColumns count="2">
    <tableColumn id="1" xr3:uid="{05D65EE7-7203-4872-9882-12C0C641F01F}" name="tipo" dataDxfId="58"/>
    <tableColumn id="2" xr3:uid="{751DAD7B-A61D-4908-AACD-7BCDDF561100}" name="Precio /unidad" dataDxfId="57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D55FE769-6084-4B89-8BE8-81350E2B82D9}" name="Tabla91626" displayName="Tabla91626" ref="B8:N24" totalsRowShown="0" headerRowDxfId="56" dataDxfId="55" tableBorderDxfId="54">
  <autoFilter ref="B8:N24" xr:uid="{D55FE769-6084-4B89-8BE8-81350E2B82D9}"/>
  <tableColumns count="13">
    <tableColumn id="1" xr3:uid="{B4B4BBD0-D3C9-4D93-8794-6C1E998DBC0D}" name="Tipo de Panel" dataDxfId="53"/>
    <tableColumn id="2" xr3:uid="{95C519F4-1EA9-4280-A8D7-DAAA9E469A12}" name="Descripción" dataDxfId="52"/>
    <tableColumn id="3" xr3:uid="{31343455-1844-4B49-AE3D-DC5987DD0BEA}" name="Ancho (m)" dataDxfId="51"/>
    <tableColumn id="4" xr3:uid="{FFA04920-1F87-4294-8FAA-9C405D1CEB37}" name="Largo (m)" dataDxfId="50"/>
    <tableColumn id="5" xr3:uid="{BCBCCD3D-FF80-4CE8-9D4B-31DDF0C9A6D0}" name="Voltaje pico (V)" dataDxfId="49"/>
    <tableColumn id="6" xr3:uid="{87B5F5AB-5B79-43EA-8AFE-B6181D0FAAFF}" name="Potencia Pico (W)" dataDxfId="48"/>
    <tableColumn id="7" xr3:uid="{36B4F061-AF4D-4D41-BADC-46C6AEB41999}" name="Voltaje de circuito abierto (Voc)" dataDxfId="47"/>
    <tableColumn id="8" xr3:uid="{A27EBC54-B7E2-4874-BCCB-E1207F7841EB}" name="Corriente de corto circuito (Icc)" dataDxfId="46"/>
    <tableColumn id="9" xr3:uid="{14730E40-11E6-4D41-84FE-AE9F36F070C0}" name="Eficiencia (%)" dataDxfId="45"/>
    <tableColumn id="10" xr3:uid="{636F522E-1DEF-4726-A94A-494498B4CC25}" name="Corriente Máxima (Imp)" dataDxfId="44"/>
    <tableColumn id="11" xr3:uid="{8720D5E2-53D5-4828-9305-D69E44A05602}" name="Costo Wp" dataDxfId="43"/>
    <tableColumn id="12" xr3:uid="{410121E8-8692-49B0-8971-EEDB091CF8D2}" name="Área (m2)" dataDxfId="42">
      <calculatedColumnFormula>+Tabla91626[[#This Row],[Ancho (m)]]*Tabla91626[[#This Row],[Largo (m)]]</calculatedColumnFormula>
    </tableColumn>
    <tableColumn id="13" xr3:uid="{7EF60A01-8475-491E-A045-54FFBFA577B9}" name="Costo" dataDxfId="41">
      <calculatedColumnFormula>+Tabla91626[[#This Row],[Costo Wp]]*Tabla91626[[#This Row],[Potencia Pico (W)]]</calculatedColumnFormula>
    </tableColumn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46474340-0AFB-45EA-A13D-F90A68244E1F}" name="Tabla102227" displayName="Tabla102227" ref="B27:U63" totalsRowShown="0" headerRowDxfId="40" dataDxfId="39">
  <autoFilter ref="B27:U63" xr:uid="{46474340-0AFB-45EA-A13D-F90A68244E1F}"/>
  <sortState xmlns:xlrd2="http://schemas.microsoft.com/office/spreadsheetml/2017/richdata2" ref="B28:U63">
    <sortCondition ref="D27:D63"/>
  </sortState>
  <tableColumns count="20">
    <tableColumn id="1" xr3:uid="{175FE1B4-9C4C-4344-ABBA-0B0C9453A46E}" name="Tipo  " dataDxfId="38"/>
    <tableColumn id="2" xr3:uid="{450DC26E-C67D-418C-90CF-7CB4244986D0}" name="Descripción" dataDxfId="37"/>
    <tableColumn id="3" xr3:uid="{8D723AAD-F074-4FFA-984C-18E9A785AA71}" name="Potencia (VA)" dataDxfId="36"/>
    <tableColumn id="4" xr3:uid="{50D4E671-2E91-4B74-81D0-8FA6A99BEE6F}" name="Mppt's de entrada (A)" dataDxfId="35"/>
    <tableColumn id="5" xr3:uid="{E16D31DA-2106-4DDA-A8C1-B93CBD2D5B97}" name="Voltaje de entrada maximo  (V)" dataDxfId="34"/>
    <tableColumn id="6" xr3:uid="{986B5E28-5D16-4559-81C1-014F0F8C8932}" name="Voltaje salida nominal  (V)" dataDxfId="33"/>
    <tableColumn id="7" xr3:uid="{688D22DE-5917-48F2-A69D-34A6640A8265}" name="Corriente de corto circuito Icc (A)" dataDxfId="32"/>
    <tableColumn id="8" xr3:uid="{1511C3F0-514A-4954-A691-447F3F02E441}" name="corriente de salida nominal Imax (A)" dataDxfId="31"/>
    <tableColumn id="9" xr3:uid="{A3F2D1E1-93B9-4D83-8E35-E96BFD6A7BE6}" name="Eficiencia (%)" dataDxfId="30"/>
    <tableColumn id="10" xr3:uid="{3A9CA90A-66F8-4E2B-8594-85B64A819ED2}" name="Precio" dataDxfId="29"/>
    <tableColumn id="11" xr3:uid="{B172F9B5-3D6B-426B-89EE-EA36D5CF5A0B}" name="Mondeda" dataDxfId="28"/>
    <tableColumn id="12" xr3:uid="{4FF354E4-9922-4687-BE5B-A65C5BD8CC3E}" name="costo" dataDxfId="27">
      <calculatedColumnFormula>+IF(Tabla102227[[#This Row],[Mondeda]]="USD",Tabla102227[[#This Row],[Precio]]*'Datos de Entrada (On Grid)'!$D$15,Tabla102227[[#This Row],[Precio]])</calculatedColumnFormula>
    </tableColumn>
    <tableColumn id="13" xr3:uid="{E0825875-B471-4471-9061-658B42C845DE}" name="total" dataDxfId="26"/>
    <tableColumn id="14" xr3:uid="{D7847C95-3BD9-4BF5-8751-30D457968B54}" name="Marca" dataDxfId="25"/>
    <tableColumn id="15" xr3:uid="{2F508748-BE72-41EC-839C-8A9C70B3A4BC}" name="Voltaje Minimo" dataDxfId="24"/>
    <tableColumn id="16" xr3:uid="{A71F4682-A04D-4B31-8242-8EF9FA5E2976}" name="Voltaje Máximo" dataDxfId="23"/>
    <tableColumn id="17" xr3:uid="{2F0E8719-6481-4B57-AFA0-AD0EB7D405FE}" name="Tipo" dataDxfId="22"/>
    <tableColumn id="18" xr3:uid="{0C7C7F5E-909B-454E-ADFF-0DCF8A5F25F9}" name="Columna1" dataDxfId="21">
      <calculatedColumnFormula>+Tabla102227[[#This Row],[costo]]/0.8</calculatedColumnFormula>
    </tableColumn>
    <tableColumn id="19" xr3:uid="{70163750-0562-494A-8460-73733E2BF920}" name="Costo por watio" dataDxfId="20">
      <calculatedColumnFormula>+Tabla102227[[#This Row],[Precio]]/Tabla102227[[#This Row],[Potencia (VA)]]</calculatedColumnFormula>
    </tableColumn>
    <tableColumn id="20" xr3:uid="{5C4381F8-D184-4DEB-8A1A-8FCA0A2F5656}" name="Columna2" dataDxfId="19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BE86799-6DBD-44EB-BCEB-737AD89858CB}" name="Tabla11217" displayName="Tabla11217" ref="A1:A4" totalsRowShown="0" headerRowDxfId="16" dataDxfId="15">
  <autoFilter ref="A1:A4" xr:uid="{4BE86799-6DBD-44EB-BCEB-737AD89858CB}"/>
  <tableColumns count="1">
    <tableColumn id="1" xr3:uid="{63F8BA45-76A4-4924-85AC-3BA83B8EA707}" name="Modalidad del Proyecto" dataDxfId="14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89CFCC1-5F4A-4BA4-AB63-423D670F7BF4}" name="Tabla21318" displayName="Tabla21318" ref="C1:C3" totalsRowShown="0" headerRowDxfId="13" dataDxfId="12">
  <autoFilter ref="C1:C3" xr:uid="{289CFCC1-5F4A-4BA4-AB63-423D670F7BF4}"/>
  <tableColumns count="1">
    <tableColumn id="1" xr3:uid="{FAC468F4-6DB4-4861-A9BC-0003C7A44413}" name="Contribución en la tarifa" dataDxfId="11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A67E45D-3FAF-472F-AD6D-A8D6665B5E9D}" name="Tabla31419" displayName="Tabla31419" ref="E1:E4" totalsRowShown="0" headerRowDxfId="10" dataDxfId="9">
  <autoFilter ref="E1:E4" xr:uid="{2A67E45D-3FAF-472F-AD6D-A8D6665B5E9D}"/>
  <tableColumns count="1">
    <tableColumn id="1" xr3:uid="{76CB606E-6336-40C8-BBE1-5BB0DE65EFA5}" name="USUARIO" dataDxfId="8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A581075-720B-4622-B9D3-3772DFB6CD44}" name="Tabla41520" displayName="Tabla41520" ref="G1:G7" totalsRowShown="0" headerRowDxfId="7">
  <autoFilter ref="G1:G7" xr:uid="{DA581075-720B-4622-B9D3-3772DFB6CD44}"/>
  <tableColumns count="1">
    <tableColumn id="1" xr3:uid="{7D7F20FA-DF01-4D5A-86F4-A030BCECE7BF}" name="Modalidad PPA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E890E98-BB57-4777-855B-A102BE5117DB}" name="Tabla51621" displayName="Tabla51621" ref="I1:I16" totalsRowShown="0" headerRowDxfId="6">
  <autoFilter ref="I1:I16" xr:uid="{AE890E98-BB57-4777-855B-A102BE5117DB}"/>
  <tableColumns count="1">
    <tableColumn id="1" xr3:uid="{B888E11C-3DD6-4B7C-98F4-EA3E3ADB548B}" name="Duración PPA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R27" dT="2020-04-23T14:40:48.64" personId="{EF65E37F-0EEA-F54F-A7A7-E922D9314A6A}" id="{7A8C6001-19A7-2D4A-A618-063D816A9E5A}">
    <text>No mas de 3 series, ojala maximo 2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8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energie.ws/datos-radiacion-solar-colombia-atla" TargetMode="External"/><Relationship Id="rId6" Type="http://schemas.openxmlformats.org/officeDocument/2006/relationships/ctrlProp" Target="../ctrlProps/ctrlProp13.xml"/><Relationship Id="rId11" Type="http://schemas.openxmlformats.org/officeDocument/2006/relationships/table" Target="../tables/table10.xml"/><Relationship Id="rId5" Type="http://schemas.openxmlformats.org/officeDocument/2006/relationships/ctrlProp" Target="../ctrlProps/ctrlProp12.xml"/><Relationship Id="rId10" Type="http://schemas.openxmlformats.org/officeDocument/2006/relationships/table" Target="../tables/table9.xml"/><Relationship Id="rId4" Type="http://schemas.openxmlformats.org/officeDocument/2006/relationships/vmlDrawing" Target="../drawings/vmlDrawing7.vml"/><Relationship Id="rId9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4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mailto:ceo@comedica.com.co" TargetMode="External"/><Relationship Id="rId1" Type="http://schemas.openxmlformats.org/officeDocument/2006/relationships/hyperlink" Target="mailto:hugo.gomez@mundosos.com" TargetMode="External"/><Relationship Id="rId6" Type="http://schemas.openxmlformats.org/officeDocument/2006/relationships/ctrlProp" Target="../ctrlProps/ctrlProp22.xml"/><Relationship Id="rId5" Type="http://schemas.openxmlformats.org/officeDocument/2006/relationships/vmlDrawing" Target="../drawings/vmlDrawing11.vml"/><Relationship Id="rId4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2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27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Y1008"/>
  <sheetViews>
    <sheetView topLeftCell="B37" zoomScale="106" zoomScaleNormal="106" workbookViewId="0">
      <selection activeCell="G22" sqref="G22"/>
    </sheetView>
  </sheetViews>
  <sheetFormatPr baseColWidth="10" defaultColWidth="12.5" defaultRowHeight="15" customHeight="1"/>
  <cols>
    <col min="1" max="1" width="12" style="516" customWidth="1"/>
    <col min="2" max="2" width="2" style="520" customWidth="1"/>
    <col min="3" max="3" width="34.875" style="520" customWidth="1"/>
    <col min="4" max="4" width="32.875" style="520" bestFit="1" customWidth="1"/>
    <col min="5" max="5" width="2.5" style="520" customWidth="1"/>
    <col min="6" max="6" width="37" style="520" customWidth="1"/>
    <col min="7" max="7" width="37.5" style="520" customWidth="1"/>
    <col min="8" max="8" width="4.125" style="520" customWidth="1"/>
    <col min="9" max="9" width="3" style="516" customWidth="1"/>
    <col min="10" max="10" width="11.625" style="516" bestFit="1" customWidth="1"/>
    <col min="11" max="11" width="9.375" style="516" customWidth="1"/>
    <col min="12" max="12" width="9" style="516" customWidth="1"/>
    <col min="13" max="20" width="9.375" style="516" customWidth="1"/>
    <col min="21" max="25" width="12.5" style="516"/>
    <col min="26" max="16384" width="12.5" style="520"/>
  </cols>
  <sheetData>
    <row r="1" spans="2:8" s="516" customFormat="1" ht="15" customHeight="1" thickBot="1"/>
    <row r="2" spans="2:8" ht="15.75" thickBot="1">
      <c r="B2" s="517"/>
      <c r="C2" s="518"/>
      <c r="D2" s="518"/>
      <c r="E2" s="518"/>
      <c r="F2" s="518"/>
      <c r="G2" s="518"/>
      <c r="H2" s="519"/>
    </row>
    <row r="3" spans="2:8" ht="16.5" thickBot="1">
      <c r="B3" s="521"/>
      <c r="C3" s="844" t="s">
        <v>3773</v>
      </c>
      <c r="D3" s="892">
        <v>45532</v>
      </c>
      <c r="E3" s="295"/>
      <c r="F3" s="295"/>
      <c r="G3" s="295"/>
      <c r="H3" s="523"/>
    </row>
    <row r="4" spans="2:8" ht="15.75" thickBot="1">
      <c r="B4" s="521"/>
      <c r="C4" s="295"/>
      <c r="D4" s="295"/>
      <c r="E4" s="295"/>
      <c r="F4" s="524"/>
      <c r="G4" s="295"/>
      <c r="H4" s="523"/>
    </row>
    <row r="5" spans="2:8" ht="17.25" thickTop="1" thickBot="1">
      <c r="B5" s="521"/>
      <c r="C5" s="546" t="s">
        <v>21</v>
      </c>
      <c r="D5" s="295"/>
      <c r="E5" s="295"/>
      <c r="F5" s="546" t="s">
        <v>164</v>
      </c>
      <c r="G5" s="295"/>
      <c r="H5" s="523"/>
    </row>
    <row r="6" spans="2:8" ht="15.75" thickBot="1">
      <c r="B6" s="521"/>
      <c r="C6" s="734" t="s">
        <v>22</v>
      </c>
      <c r="D6" s="1108" t="s">
        <v>0</v>
      </c>
      <c r="E6" s="295"/>
      <c r="F6" s="745" t="s">
        <v>1655</v>
      </c>
      <c r="G6" s="720" t="s">
        <v>133</v>
      </c>
      <c r="H6" s="523"/>
    </row>
    <row r="7" spans="2:8" ht="15.75" thickBot="1">
      <c r="B7" s="521"/>
      <c r="C7" s="735" t="s">
        <v>25</v>
      </c>
      <c r="D7" s="1109" t="s">
        <v>4490</v>
      </c>
      <c r="E7" s="295"/>
      <c r="F7" s="524"/>
      <c r="G7" s="295"/>
      <c r="H7" s="523"/>
    </row>
    <row r="8" spans="2:8" ht="17.25" thickTop="1" thickBot="1">
      <c r="B8" s="521"/>
      <c r="C8" s="735" t="s">
        <v>26</v>
      </c>
      <c r="D8" s="1110"/>
      <c r="E8" s="295"/>
      <c r="F8" s="546" t="s">
        <v>27</v>
      </c>
      <c r="G8" s="295"/>
      <c r="H8" s="523"/>
    </row>
    <row r="9" spans="2:8">
      <c r="B9" s="521"/>
      <c r="C9" s="735" t="s">
        <v>28</v>
      </c>
      <c r="D9" s="1111"/>
      <c r="E9" s="295"/>
      <c r="F9" s="738" t="s">
        <v>29</v>
      </c>
      <c r="G9" s="721" t="s">
        <v>4</v>
      </c>
      <c r="H9" s="523"/>
    </row>
    <row r="10" spans="2:8">
      <c r="B10" s="521"/>
      <c r="C10" s="735" t="s">
        <v>30</v>
      </c>
      <c r="D10" s="1112"/>
      <c r="E10" s="295"/>
      <c r="F10" s="735" t="s">
        <v>3775</v>
      </c>
      <c r="G10" s="1156">
        <v>0</v>
      </c>
      <c r="H10" s="523"/>
    </row>
    <row r="11" spans="2:8">
      <c r="B11" s="521"/>
      <c r="C11" s="735" t="s">
        <v>31</v>
      </c>
      <c r="D11" s="1112"/>
      <c r="E11" s="295"/>
      <c r="F11" s="735" t="s">
        <v>32</v>
      </c>
      <c r="G11" s="721" t="s">
        <v>4</v>
      </c>
      <c r="H11" s="523"/>
    </row>
    <row r="12" spans="2:8" ht="15.75" thickBot="1">
      <c r="B12" s="521"/>
      <c r="C12" s="736" t="s">
        <v>23</v>
      </c>
      <c r="D12" s="1112" t="s">
        <v>715</v>
      </c>
      <c r="E12" s="295"/>
      <c r="F12" s="735" t="s">
        <v>771</v>
      </c>
      <c r="G12" s="721" t="s">
        <v>8</v>
      </c>
      <c r="H12" s="821"/>
    </row>
    <row r="13" spans="2:8" ht="15.75" thickBot="1">
      <c r="B13" s="521"/>
      <c r="C13" s="525"/>
      <c r="D13" s="526"/>
      <c r="E13" s="295"/>
      <c r="F13" s="744" t="s">
        <v>772</v>
      </c>
      <c r="G13" s="721" t="s">
        <v>1035</v>
      </c>
      <c r="H13" s="523"/>
    </row>
    <row r="14" spans="2:8" ht="17.25" thickTop="1" thickBot="1">
      <c r="B14" s="521"/>
      <c r="C14" s="546" t="s">
        <v>2260</v>
      </c>
      <c r="D14" s="295"/>
      <c r="E14" s="295"/>
      <c r="F14" s="744" t="s">
        <v>3774</v>
      </c>
      <c r="G14" s="1113">
        <v>45</v>
      </c>
      <c r="H14" s="523"/>
    </row>
    <row r="15" spans="2:8" ht="15.75" thickBot="1">
      <c r="B15" s="521"/>
      <c r="C15" s="737" t="s">
        <v>1128</v>
      </c>
      <c r="D15" s="722">
        <v>4000</v>
      </c>
      <c r="E15" s="295"/>
      <c r="F15" s="744" t="s">
        <v>1674</v>
      </c>
      <c r="G15" s="721" t="s">
        <v>8</v>
      </c>
      <c r="H15" s="523"/>
    </row>
    <row r="16" spans="2:8" ht="15.75" thickBot="1">
      <c r="B16" s="521"/>
      <c r="C16" s="737" t="s">
        <v>2261</v>
      </c>
      <c r="D16" s="771">
        <v>0.6</v>
      </c>
      <c r="E16" s="295"/>
      <c r="F16" s="736" t="s">
        <v>2065</v>
      </c>
      <c r="G16" s="758" t="s">
        <v>2059</v>
      </c>
      <c r="H16" s="523"/>
    </row>
    <row r="17" spans="2:10" ht="15.75" thickBot="1">
      <c r="B17" s="521"/>
      <c r="C17" s="525"/>
      <c r="D17" s="845"/>
      <c r="E17" s="295"/>
      <c r="F17" s="527"/>
      <c r="G17" s="527"/>
      <c r="H17" s="523"/>
    </row>
    <row r="18" spans="2:10" ht="17.25" thickTop="1" thickBot="1">
      <c r="B18" s="521"/>
      <c r="C18" s="547" t="s">
        <v>33</v>
      </c>
      <c r="D18" s="295"/>
      <c r="E18" s="295"/>
      <c r="F18" s="547" t="s">
        <v>36</v>
      </c>
      <c r="G18" s="295"/>
      <c r="H18" s="523"/>
    </row>
    <row r="19" spans="2:10">
      <c r="B19" s="521"/>
      <c r="C19" s="738" t="s">
        <v>37</v>
      </c>
      <c r="D19" s="723">
        <v>943.74</v>
      </c>
      <c r="E19" s="295"/>
      <c r="F19" s="734" t="s">
        <v>38</v>
      </c>
      <c r="G19" s="727" t="s">
        <v>1989</v>
      </c>
      <c r="H19" s="523"/>
    </row>
    <row r="20" spans="2:10">
      <c r="B20" s="521"/>
      <c r="C20" s="840" t="s">
        <v>54</v>
      </c>
      <c r="D20" s="721" t="s">
        <v>4</v>
      </c>
      <c r="E20" s="295"/>
      <c r="F20" s="735" t="s">
        <v>159</v>
      </c>
      <c r="G20" s="728" t="s">
        <v>3321</v>
      </c>
      <c r="H20" s="523"/>
    </row>
    <row r="21" spans="2:10">
      <c r="B21" s="521"/>
      <c r="C21" s="841"/>
      <c r="D21" s="749">
        <f>+IF(D20="Si",D19*0.2,0)</f>
        <v>188.74800000000002</v>
      </c>
      <c r="E21" s="295"/>
      <c r="F21" s="746" t="s">
        <v>53</v>
      </c>
      <c r="G21" s="750" t="str">
        <f>VLOOKUP(G22,Tabla102227[#All],17,FALSE)</f>
        <v>Inversor</v>
      </c>
      <c r="H21" s="523"/>
    </row>
    <row r="22" spans="2:10" ht="15.75" thickBot="1">
      <c r="B22" s="521"/>
      <c r="C22" s="740" t="s">
        <v>57</v>
      </c>
      <c r="D22" s="839">
        <f>+D21+D19</f>
        <v>1132.4880000000001</v>
      </c>
      <c r="E22" s="295"/>
      <c r="F22" s="746" t="s">
        <v>3871</v>
      </c>
      <c r="G22" s="728" t="s">
        <v>3883</v>
      </c>
      <c r="H22" s="523" t="s">
        <v>1823</v>
      </c>
    </row>
    <row r="23" spans="2:10" ht="15" customHeight="1" thickBot="1">
      <c r="B23" s="521"/>
      <c r="C23" s="524"/>
      <c r="D23" s="524"/>
      <c r="E23" s="295"/>
      <c r="F23" s="746" t="s">
        <v>532</v>
      </c>
      <c r="G23" s="728" t="s">
        <v>1836</v>
      </c>
      <c r="H23" s="523"/>
    </row>
    <row r="24" spans="2:10" ht="15" customHeight="1" thickTop="1" thickBot="1">
      <c r="B24" s="521"/>
      <c r="C24" s="547" t="s">
        <v>35</v>
      </c>
      <c r="D24" s="295"/>
      <c r="E24" s="295"/>
      <c r="F24" s="747" t="s">
        <v>279</v>
      </c>
      <c r="G24" s="721" t="s">
        <v>8</v>
      </c>
      <c r="H24" s="523"/>
      <c r="J24" s="516" t="s">
        <v>4209</v>
      </c>
    </row>
    <row r="25" spans="2:10" ht="15" customHeight="1">
      <c r="B25" s="521"/>
      <c r="C25" s="738" t="s">
        <v>51</v>
      </c>
      <c r="D25" s="1163">
        <v>850</v>
      </c>
      <c r="E25" s="295"/>
      <c r="F25" s="735" t="s">
        <v>2875</v>
      </c>
      <c r="G25" s="721" t="s">
        <v>2880</v>
      </c>
      <c r="H25" s="523"/>
    </row>
    <row r="26" spans="2:10" ht="15" customHeight="1">
      <c r="B26" s="521"/>
      <c r="C26" s="739" t="s">
        <v>55</v>
      </c>
      <c r="D26" s="1163"/>
      <c r="E26" s="295"/>
      <c r="F26" s="735" t="s">
        <v>1493</v>
      </c>
      <c r="G26" s="729">
        <v>0.1</v>
      </c>
      <c r="H26" s="523"/>
    </row>
    <row r="27" spans="2:10" ht="15" customHeight="1">
      <c r="B27" s="521"/>
      <c r="C27" s="739" t="s">
        <v>56</v>
      </c>
      <c r="D27" s="1163"/>
      <c r="E27" s="295"/>
      <c r="F27" s="744" t="s">
        <v>1121</v>
      </c>
      <c r="G27" s="721" t="s">
        <v>8</v>
      </c>
      <c r="H27" s="523"/>
    </row>
    <row r="28" spans="2:10" ht="15" customHeight="1">
      <c r="B28" s="521"/>
      <c r="C28" s="739" t="s">
        <v>58</v>
      </c>
      <c r="D28" s="1164"/>
      <c r="E28" s="295"/>
      <c r="F28" s="748" t="s">
        <v>1122</v>
      </c>
      <c r="G28" s="730">
        <v>0</v>
      </c>
      <c r="H28" s="523"/>
      <c r="J28" s="543"/>
    </row>
    <row r="29" spans="2:10" ht="15.75" customHeight="1" thickBot="1">
      <c r="B29" s="521"/>
      <c r="C29" s="739" t="s">
        <v>60</v>
      </c>
      <c r="D29" s="1163"/>
      <c r="E29" s="295"/>
      <c r="F29" s="743" t="s">
        <v>1067</v>
      </c>
      <c r="G29" s="731">
        <v>0.97</v>
      </c>
      <c r="H29" s="523"/>
    </row>
    <row r="30" spans="2:10" ht="15.75" customHeight="1" thickBot="1">
      <c r="B30" s="521"/>
      <c r="C30" s="739" t="s">
        <v>64</v>
      </c>
      <c r="D30" s="1163"/>
      <c r="E30" s="295"/>
      <c r="F30" s="527"/>
      <c r="G30" s="527"/>
      <c r="H30" s="523"/>
    </row>
    <row r="31" spans="2:10" ht="15.75" customHeight="1" thickTop="1" thickBot="1">
      <c r="B31" s="521"/>
      <c r="C31" s="739" t="s">
        <v>66</v>
      </c>
      <c r="D31" s="1163"/>
      <c r="E31" s="295"/>
      <c r="F31" s="547" t="s">
        <v>1237</v>
      </c>
      <c r="G31" s="528"/>
      <c r="H31" s="523"/>
    </row>
    <row r="32" spans="2:10" ht="15.75" customHeight="1" thickBot="1">
      <c r="B32" s="521"/>
      <c r="C32" s="739" t="s">
        <v>67</v>
      </c>
      <c r="D32" s="1163"/>
      <c r="E32" s="295"/>
      <c r="F32" s="745" t="s">
        <v>1166</v>
      </c>
      <c r="G32" s="757" t="s">
        <v>8</v>
      </c>
      <c r="H32" s="523"/>
    </row>
    <row r="33" spans="2:8" ht="15.75" customHeight="1" thickBot="1">
      <c r="B33" s="521"/>
      <c r="C33" s="739" t="s">
        <v>70</v>
      </c>
      <c r="D33" s="724"/>
      <c r="E33" s="295"/>
      <c r="F33" s="745" t="s">
        <v>1866</v>
      </c>
      <c r="G33" s="732">
        <v>0</v>
      </c>
      <c r="H33" s="523"/>
    </row>
    <row r="34" spans="2:8" ht="15.75" customHeight="1" thickBot="1">
      <c r="B34" s="521"/>
      <c r="C34" s="739" t="s">
        <v>74</v>
      </c>
      <c r="D34" s="724"/>
      <c r="E34" s="295"/>
      <c r="F34" s="745" t="s">
        <v>1238</v>
      </c>
      <c r="G34" s="756" t="s">
        <v>8</v>
      </c>
      <c r="H34" s="523"/>
    </row>
    <row r="35" spans="2:8" ht="15.75" customHeight="1" thickBot="1">
      <c r="B35" s="521"/>
      <c r="C35" s="739" t="s">
        <v>78</v>
      </c>
      <c r="D35" s="724"/>
      <c r="E35" s="295"/>
      <c r="F35" s="527"/>
      <c r="G35" s="527"/>
      <c r="H35" s="523"/>
    </row>
    <row r="36" spans="2:8" ht="15.75" customHeight="1" thickTop="1" thickBot="1">
      <c r="B36" s="521"/>
      <c r="C36" s="741" t="s">
        <v>83</v>
      </c>
      <c r="D36" s="725"/>
      <c r="E36" s="295"/>
      <c r="F36" s="545" t="s">
        <v>1292</v>
      </c>
      <c r="G36" s="528"/>
      <c r="H36" s="523"/>
    </row>
    <row r="37" spans="2:8" ht="15.75" customHeight="1" thickBot="1">
      <c r="B37" s="521"/>
      <c r="C37" s="742" t="s">
        <v>99</v>
      </c>
      <c r="D37" s="726">
        <v>1</v>
      </c>
      <c r="E37" s="295"/>
      <c r="F37" s="745" t="s">
        <v>290</v>
      </c>
      <c r="G37" s="733">
        <v>10</v>
      </c>
      <c r="H37" s="523"/>
    </row>
    <row r="38" spans="2:8" ht="15.75" customHeight="1" thickBot="1">
      <c r="B38" s="521"/>
      <c r="C38" s="524"/>
      <c r="D38" s="524"/>
      <c r="E38" s="295"/>
      <c r="F38" s="745" t="s">
        <v>291</v>
      </c>
      <c r="G38" s="733">
        <v>10</v>
      </c>
      <c r="H38" s="523"/>
    </row>
    <row r="39" spans="2:8" ht="15.75" customHeight="1" thickTop="1" thickBot="1">
      <c r="B39" s="521"/>
      <c r="C39" s="545" t="s">
        <v>161</v>
      </c>
      <c r="D39" s="295"/>
      <c r="E39" s="295"/>
      <c r="F39" s="527"/>
      <c r="G39" s="527"/>
      <c r="H39" s="523"/>
    </row>
    <row r="40" spans="2:8" ht="15.75" customHeight="1">
      <c r="B40" s="521"/>
      <c r="C40" s="738" t="s">
        <v>162</v>
      </c>
      <c r="D40" s="751">
        <f>+'Calculos (On Grid)'!B23</f>
        <v>14</v>
      </c>
      <c r="E40" s="295"/>
      <c r="F40" s="527"/>
      <c r="G40" s="527"/>
      <c r="H40" s="889"/>
    </row>
    <row r="41" spans="2:8" ht="15.75" customHeight="1">
      <c r="B41" s="521"/>
      <c r="C41" s="739" t="s">
        <v>81</v>
      </c>
      <c r="D41" s="752">
        <f>+'Calculos (On Grid)'!C24</f>
        <v>8.19</v>
      </c>
      <c r="E41" s="295"/>
      <c r="F41" s="1114"/>
      <c r="G41" s="527"/>
      <c r="H41" s="523"/>
    </row>
    <row r="42" spans="2:8" ht="15.75" customHeight="1">
      <c r="B42" s="521"/>
      <c r="C42" s="739" t="s">
        <v>163</v>
      </c>
      <c r="D42" s="753">
        <f>+'Calculos (On Grid)'!C26</f>
        <v>1</v>
      </c>
      <c r="E42" s="295"/>
      <c r="F42" s="1114"/>
      <c r="G42" s="527"/>
      <c r="H42" s="523"/>
    </row>
    <row r="43" spans="2:8" ht="15.75" customHeight="1">
      <c r="B43" s="521"/>
      <c r="C43" s="741" t="s">
        <v>1494</v>
      </c>
      <c r="D43" s="754" t="e">
        <f>+'Calculos (On Grid)'!B13</f>
        <v>#N/A</v>
      </c>
      <c r="E43" s="295"/>
      <c r="F43" s="527"/>
      <c r="G43" s="527"/>
      <c r="H43" s="523"/>
    </row>
    <row r="44" spans="2:8" ht="15.75" customHeight="1" thickBot="1">
      <c r="B44" s="521"/>
      <c r="C44" s="846" t="s">
        <v>556</v>
      </c>
      <c r="D44" s="755" t="e">
        <f>+'Calculos (On Grid)'!F96</f>
        <v>#N/A</v>
      </c>
      <c r="E44" s="295"/>
      <c r="F44" s="1203"/>
      <c r="G44" s="1203"/>
      <c r="H44" s="523"/>
    </row>
    <row r="45" spans="2:8" ht="15.75" customHeight="1" thickBot="1">
      <c r="B45" s="521"/>
      <c r="C45" s="524"/>
      <c r="D45" s="524"/>
      <c r="E45" s="295"/>
      <c r="F45" s="887"/>
      <c r="G45" s="528"/>
      <c r="H45" s="523"/>
    </row>
    <row r="46" spans="2:8" ht="15.75" customHeight="1">
      <c r="B46" s="521"/>
      <c r="C46" s="734" t="s">
        <v>1192</v>
      </c>
      <c r="D46" s="533" t="e">
        <f>+'Calculos (On Grid)'!E99</f>
        <v>#N/A</v>
      </c>
      <c r="E46" s="295"/>
      <c r="F46" s="525"/>
      <c r="G46" s="888"/>
      <c r="H46" s="523"/>
    </row>
    <row r="47" spans="2:8" ht="15.75" customHeight="1">
      <c r="B47" s="521"/>
      <c r="C47" s="735" t="s">
        <v>1193</v>
      </c>
      <c r="D47" s="535">
        <f>+VLOOKUP(G6,'Datos Equipos'!B192:FR53203,2,)</f>
        <v>4.4184833333333327</v>
      </c>
      <c r="E47" s="295"/>
      <c r="F47" s="525"/>
      <c r="G47" s="888"/>
      <c r="H47" s="523"/>
    </row>
    <row r="48" spans="2:8" ht="15.75" customHeight="1">
      <c r="B48" s="521"/>
      <c r="C48" s="735" t="s">
        <v>1194</v>
      </c>
      <c r="D48" s="536">
        <f>+'Datos de Salida (On grid)'!D7</f>
        <v>10190.777236093543</v>
      </c>
      <c r="E48" s="295"/>
      <c r="F48" s="525"/>
      <c r="G48" s="888"/>
      <c r="H48" s="523"/>
    </row>
    <row r="49" spans="2:8" ht="15.75" customHeight="1">
      <c r="B49" s="521"/>
      <c r="C49" s="735" t="s">
        <v>1195</v>
      </c>
      <c r="D49" s="536">
        <f>+D48/12</f>
        <v>849.23143634112864</v>
      </c>
      <c r="E49" s="295"/>
      <c r="F49" s="527"/>
      <c r="G49" s="527"/>
      <c r="H49" s="523"/>
    </row>
    <row r="50" spans="2:8" ht="15.75" customHeight="1">
      <c r="B50" s="529"/>
      <c r="C50" s="735" t="s">
        <v>1196</v>
      </c>
      <c r="D50" s="536">
        <f>+D48/D41</f>
        <v>1244.2951448221665</v>
      </c>
      <c r="E50" s="531"/>
      <c r="F50" s="524"/>
      <c r="G50" s="530"/>
      <c r="H50" s="837"/>
    </row>
    <row r="51" spans="2:8" ht="15.75" customHeight="1">
      <c r="B51" s="532"/>
      <c r="C51" s="744" t="s">
        <v>1403</v>
      </c>
      <c r="D51" s="538">
        <f>+'Calculos (On Grid)'!B24/'Calculos (On Grid)'!B25/'Calculos (On Grid)'!C26</f>
        <v>1.0237499999999999</v>
      </c>
      <c r="E51" s="530"/>
      <c r="F51" s="530"/>
      <c r="G51" s="530"/>
      <c r="H51" s="534"/>
    </row>
    <row r="52" spans="2:8" ht="15.75" customHeight="1" thickBot="1">
      <c r="B52" s="532"/>
      <c r="C52" s="736" t="s">
        <v>1444</v>
      </c>
      <c r="D52" s="539">
        <f>+D48*((D16)*D22+(1-D16)*(D19*0.9))</f>
        <v>10386839.637494193</v>
      </c>
      <c r="E52" s="530"/>
      <c r="F52" s="527"/>
      <c r="G52" s="527"/>
      <c r="H52" s="534"/>
    </row>
    <row r="53" spans="2:8" ht="4.5" customHeight="1">
      <c r="B53" s="532"/>
      <c r="C53" s="527"/>
      <c r="D53" s="527"/>
      <c r="E53" s="530"/>
      <c r="F53" s="537"/>
      <c r="G53" s="530"/>
      <c r="H53" s="534"/>
    </row>
    <row r="54" spans="2:8" ht="5.25" customHeight="1">
      <c r="B54" s="532"/>
      <c r="C54" s="527"/>
      <c r="D54" s="527"/>
      <c r="E54" s="530"/>
      <c r="F54" s="527" t="s">
        <v>1823</v>
      </c>
      <c r="G54" s="530"/>
      <c r="H54" s="534"/>
    </row>
    <row r="55" spans="2:8" ht="15.75" hidden="1" customHeight="1">
      <c r="B55" s="532"/>
      <c r="C55" s="527"/>
      <c r="D55" s="527"/>
      <c r="E55" s="530"/>
      <c r="F55" s="527"/>
      <c r="G55" s="527"/>
      <c r="H55" s="534"/>
    </row>
    <row r="56" spans="2:8" ht="15.75" hidden="1" customHeight="1">
      <c r="B56" s="532"/>
      <c r="C56" s="527"/>
      <c r="D56" s="527"/>
      <c r="E56" s="530"/>
      <c r="F56" s="527"/>
      <c r="G56" s="890"/>
      <c r="H56" s="534"/>
    </row>
    <row r="57" spans="2:8" ht="1.5" customHeight="1">
      <c r="B57" s="532"/>
      <c r="C57" s="527"/>
      <c r="D57" s="527"/>
      <c r="E57" s="530"/>
      <c r="F57" s="530"/>
      <c r="G57" s="530"/>
      <c r="H57" s="534"/>
    </row>
    <row r="58" spans="2:8" ht="15.75" customHeight="1" thickBot="1">
      <c r="B58" s="540"/>
      <c r="C58" s="541"/>
      <c r="D58" s="542"/>
      <c r="E58" s="542"/>
      <c r="F58" s="542"/>
      <c r="G58" s="542"/>
      <c r="H58" s="891"/>
    </row>
    <row r="59" spans="2:8" s="516" customFormat="1" ht="15.75" customHeight="1"/>
    <row r="60" spans="2:8" s="516" customFormat="1" ht="6.75" customHeight="1">
      <c r="D60" s="543"/>
      <c r="E60" s="543"/>
      <c r="F60" s="543"/>
    </row>
    <row r="61" spans="2:8" s="516" customFormat="1" ht="6.75" customHeight="1"/>
    <row r="62" spans="2:8" s="516" customFormat="1" ht="6.75" customHeight="1"/>
    <row r="63" spans="2:8" s="516" customFormat="1" ht="6.75" customHeight="1"/>
    <row r="64" spans="2:8" s="516" customFormat="1" ht="6.75" customHeight="1"/>
    <row r="65" spans="3:6" s="516" customFormat="1" ht="15.75" customHeight="1">
      <c r="F65" s="516" t="s">
        <v>4207</v>
      </c>
    </row>
    <row r="66" spans="3:6" s="516" customFormat="1" ht="15.75" customHeight="1"/>
    <row r="67" spans="3:6" s="516" customFormat="1" ht="15.75" customHeight="1"/>
    <row r="68" spans="3:6" s="516" customFormat="1" ht="15.75" customHeight="1"/>
    <row r="69" spans="3:6" s="516" customFormat="1" ht="15.75" customHeight="1"/>
    <row r="70" spans="3:6" s="516" customFormat="1" ht="15.75" customHeight="1"/>
    <row r="71" spans="3:6" s="516" customFormat="1" ht="15.75" customHeight="1"/>
    <row r="72" spans="3:6" s="516" customFormat="1" ht="15.75" customHeight="1"/>
    <row r="73" spans="3:6" s="516" customFormat="1" ht="15.75" customHeight="1">
      <c r="C73" s="544"/>
      <c r="D73" s="544"/>
    </row>
    <row r="74" spans="3:6" s="516" customFormat="1" ht="15.75" customHeight="1"/>
    <row r="75" spans="3:6" s="516" customFormat="1" ht="15.75" customHeight="1"/>
    <row r="76" spans="3:6" s="516" customFormat="1" ht="15.75" customHeight="1"/>
    <row r="77" spans="3:6" s="516" customFormat="1" ht="15.75" customHeight="1"/>
    <row r="78" spans="3:6" s="516" customFormat="1" ht="15.75" customHeight="1"/>
    <row r="79" spans="3:6" s="516" customFormat="1" ht="15.75" customHeight="1"/>
    <row r="80" spans="3:6" s="516" customFormat="1" ht="15.75" customHeight="1"/>
    <row r="81" s="516" customFormat="1" ht="15.75" customHeight="1"/>
    <row r="82" s="516" customFormat="1" ht="15.75" customHeight="1"/>
    <row r="83" s="516" customFormat="1" ht="15.75" customHeight="1"/>
    <row r="84" s="516" customFormat="1" ht="15.75" customHeight="1"/>
    <row r="85" s="516" customFormat="1" ht="15.75" customHeight="1"/>
    <row r="86" s="516" customFormat="1" ht="15.75" customHeight="1"/>
    <row r="87" s="516" customFormat="1" ht="15.75" customHeight="1"/>
    <row r="88" s="516" customFormat="1" ht="15.75" customHeight="1"/>
    <row r="89" s="516" customFormat="1" ht="15.75" customHeight="1"/>
    <row r="90" s="516" customFormat="1" ht="15.75" customHeight="1"/>
    <row r="91" s="516" customFormat="1" ht="15.75" customHeight="1"/>
    <row r="92" s="516" customFormat="1" ht="15.75" customHeight="1"/>
    <row r="93" s="516" customFormat="1" ht="15.75" customHeight="1"/>
    <row r="94" s="516" customFormat="1" ht="15.75" customHeight="1"/>
    <row r="95" s="516" customFormat="1" ht="15.75" customHeight="1"/>
    <row r="96" s="516" customFormat="1" ht="15.75" customHeight="1"/>
    <row r="97" s="516" customFormat="1" ht="15.75" customHeight="1"/>
    <row r="98" s="516" customFormat="1" ht="15.75" customHeight="1"/>
    <row r="99" s="516" customFormat="1" ht="15.75" customHeight="1"/>
    <row r="100" s="516" customFormat="1" ht="15.75" customHeight="1"/>
    <row r="101" s="516" customFormat="1" ht="15.75" customHeight="1"/>
    <row r="102" s="516" customFormat="1" ht="15.75" customHeight="1"/>
    <row r="103" s="516" customFormat="1" ht="15.75" customHeight="1"/>
    <row r="104" s="516" customFormat="1" ht="15.75" customHeight="1"/>
    <row r="105" s="516" customFormat="1" ht="15.75" customHeight="1"/>
    <row r="106" s="516" customFormat="1" ht="15.75" customHeight="1"/>
    <row r="107" s="516" customFormat="1" ht="15.75" customHeight="1"/>
    <row r="108" s="516" customFormat="1" ht="15.75" customHeight="1"/>
    <row r="109" s="516" customFormat="1" ht="15.75" customHeight="1"/>
    <row r="110" s="516" customFormat="1" ht="15.75" customHeight="1"/>
    <row r="111" s="516" customFormat="1" ht="15.75" customHeight="1"/>
    <row r="112" s="516" customFormat="1" ht="15.75" customHeight="1"/>
    <row r="113" s="516" customFormat="1" ht="15.75" customHeight="1"/>
    <row r="114" s="516" customFormat="1" ht="15.75" customHeight="1"/>
    <row r="115" s="516" customFormat="1" ht="15.75" customHeight="1"/>
    <row r="116" s="516" customFormat="1" ht="15.75" customHeight="1"/>
    <row r="117" s="516" customFormat="1" ht="15.75" customHeight="1"/>
    <row r="118" s="516" customFormat="1" ht="15.75" customHeight="1"/>
    <row r="119" s="516" customFormat="1" ht="15.75" customHeight="1"/>
    <row r="120" s="516" customFormat="1" ht="15.75" customHeight="1"/>
    <row r="121" s="516" customFormat="1" ht="15.75" customHeight="1"/>
    <row r="122" s="516" customFormat="1" ht="15.75" customHeight="1"/>
    <row r="123" s="516" customFormat="1" ht="15.75" customHeight="1"/>
    <row r="124" s="516" customFormat="1" ht="15.75" customHeight="1"/>
    <row r="125" s="516" customFormat="1" ht="15.75" customHeight="1"/>
    <row r="126" s="516" customFormat="1" ht="15.75" customHeight="1"/>
    <row r="127" s="516" customFormat="1" ht="15.75" customHeight="1"/>
    <row r="128" s="516" customFormat="1" ht="15.75" customHeight="1"/>
    <row r="129" s="516" customFormat="1" ht="15.75" customHeight="1"/>
    <row r="130" s="516" customFormat="1" ht="15.75" customHeight="1"/>
    <row r="131" s="516" customFormat="1" ht="15.75" customHeight="1"/>
    <row r="132" s="516" customFormat="1" ht="15.75" customHeight="1"/>
    <row r="133" s="516" customFormat="1" ht="15.75" customHeight="1"/>
    <row r="134" s="516" customFormat="1" ht="15.75" customHeight="1"/>
    <row r="135" s="516" customFormat="1" ht="15.75" customHeight="1"/>
    <row r="136" s="516" customFormat="1" ht="15.75" customHeight="1"/>
    <row r="137" s="516" customFormat="1" ht="15.75" customHeight="1"/>
    <row r="138" s="516" customFormat="1" ht="15.75" customHeight="1"/>
    <row r="139" s="516" customFormat="1" ht="15.75" customHeight="1"/>
    <row r="140" s="516" customFormat="1" ht="15.75" customHeight="1"/>
    <row r="141" s="516" customFormat="1" ht="15.75" customHeight="1"/>
    <row r="142" s="516" customFormat="1" ht="15.75" customHeight="1"/>
    <row r="143" s="516" customFormat="1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">
    <mergeCell ref="F44:G44"/>
  </mergeCells>
  <conditionalFormatting sqref="G32:G34 G9:G13">
    <cfRule type="containsText" dxfId="134" priority="22" operator="containsText" text="No">
      <formula>NOT(ISERROR(SEARCH("No",G9)))</formula>
    </cfRule>
    <cfRule type="containsText" dxfId="133" priority="23" operator="containsText" text="Si">
      <formula>NOT(ISERROR(SEARCH("Si",G9)))</formula>
    </cfRule>
  </conditionalFormatting>
  <conditionalFormatting sqref="D20">
    <cfRule type="containsText" dxfId="132" priority="20" operator="containsText" text="No">
      <formula>NOT(ISERROR(SEARCH("No",D20)))</formula>
    </cfRule>
    <cfRule type="containsText" dxfId="131" priority="21" operator="containsText" text="Si">
      <formula>NOT(ISERROR(SEARCH("Si",D20)))</formula>
    </cfRule>
  </conditionalFormatting>
  <conditionalFormatting sqref="G27">
    <cfRule type="containsText" dxfId="130" priority="14" operator="containsText" text="No">
      <formula>NOT(ISERROR(SEARCH("No",G27)))</formula>
    </cfRule>
    <cfRule type="containsText" dxfId="129" priority="15" operator="containsText" text="Si">
      <formula>NOT(ISERROR(SEARCH("Si",G27)))</formula>
    </cfRule>
  </conditionalFormatting>
  <conditionalFormatting sqref="G16">
    <cfRule type="containsText" dxfId="128" priority="8" operator="containsText" text="No">
      <formula>NOT(ISERROR(SEARCH("No",G16)))</formula>
    </cfRule>
    <cfRule type="containsText" dxfId="127" priority="9" operator="containsText" text="Si">
      <formula>NOT(ISERROR(SEARCH("Si",G16)))</formula>
    </cfRule>
  </conditionalFormatting>
  <conditionalFormatting sqref="G15">
    <cfRule type="containsText" dxfId="126" priority="6" operator="containsText" text="No">
      <formula>NOT(ISERROR(SEARCH("No",G15)))</formula>
    </cfRule>
    <cfRule type="containsText" dxfId="125" priority="7" operator="containsText" text="Si">
      <formula>NOT(ISERROR(SEARCH("Si",G15)))</formula>
    </cfRule>
  </conditionalFormatting>
  <conditionalFormatting sqref="G46:G48">
    <cfRule type="colorScale" priority="5">
      <colorScale>
        <cfvo type="num" val="0"/>
        <cfvo type="num" val="0.9"/>
        <cfvo type="num" val="1"/>
        <color rgb="FF00B050"/>
        <color rgb="FFFFC000"/>
        <color rgb="FFFF0000"/>
      </colorScale>
    </cfRule>
  </conditionalFormatting>
  <conditionalFormatting sqref="G14">
    <cfRule type="containsText" dxfId="124" priority="3" operator="containsText" text="No">
      <formula>NOT(ISERROR(SEARCH("No",G14)))</formula>
    </cfRule>
    <cfRule type="containsText" dxfId="123" priority="4" operator="containsText" text="Si">
      <formula>NOT(ISERROR(SEARCH("Si",G14)))</formula>
    </cfRule>
  </conditionalFormatting>
  <conditionalFormatting sqref="G24">
    <cfRule type="containsText" dxfId="122" priority="1" operator="containsText" text="No">
      <formula>NOT(ISERROR(SEARCH("No",G24)))</formula>
    </cfRule>
    <cfRule type="containsText" dxfId="121" priority="2" operator="containsText" text="Si">
      <formula>NOT(ISERROR(SEARCH("Si",G24)))</formula>
    </cfRule>
  </conditionalFormatting>
  <pageMargins left="0.7" right="0.7" top="0.75" bottom="0.75" header="0" footer="0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imular_EPC_Ongrid">
                <anchor moveWithCells="1" sizeWithCells="1">
                  <from>
                    <xdr:col>5</xdr:col>
                    <xdr:colOff>695325</xdr:colOff>
                    <xdr:row>42</xdr:row>
                    <xdr:rowOff>95250</xdr:rowOff>
                  </from>
                  <to>
                    <xdr:col>6</xdr:col>
                    <xdr:colOff>2676525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IrMenu">
                <anchor moveWithCells="1" sizeWithCells="1">
                  <from>
                    <xdr:col>6</xdr:col>
                    <xdr:colOff>152400</xdr:colOff>
                    <xdr:row>1</xdr:row>
                    <xdr:rowOff>161925</xdr:rowOff>
                  </from>
                  <to>
                    <xdr:col>6</xdr:col>
                    <xdr:colOff>2847975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Simular_PPA_Ongrid">
                <anchor moveWithCells="1" sizeWithCells="1">
                  <from>
                    <xdr:col>5</xdr:col>
                    <xdr:colOff>685800</xdr:colOff>
                    <xdr:row>47</xdr:row>
                    <xdr:rowOff>9525</xdr:rowOff>
                  </from>
                  <to>
                    <xdr:col>6</xdr:col>
                    <xdr:colOff>2686050</xdr:colOff>
                    <xdr:row>49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ErrorMessage="1" xr:uid="{00000000-0002-0000-0000-000003000000}">
          <x14:formula1>
            <xm:f>'Datos Equipos'!$B$1:$B$5</xm:f>
          </x14:formula1>
          <xm:sqref>D6</xm:sqref>
        </x14:dataValidation>
        <x14:dataValidation type="list" allowBlank="1" showErrorMessage="1" xr:uid="{5DD3D0CE-942B-4506-B4B5-7AD72EB633F7}">
          <x14:formula1>
            <xm:f>'Mejoras Simón'!$A$8:$A$9</xm:f>
          </x14:formula1>
          <xm:sqref>G13</xm:sqref>
        </x14:dataValidation>
        <x14:dataValidation type="list" allowBlank="1" xr:uid="{00000000-0002-0000-0000-000004000000}">
          <x14:formula1>
            <xm:f>'Datos Equipos'!$B$192:$B$212</xm:f>
          </x14:formula1>
          <xm:sqref>G6</xm:sqref>
        </x14:dataValidation>
        <x14:dataValidation type="list" allowBlank="1" showInputMessage="1" showErrorMessage="1" xr:uid="{00000000-0002-0000-0000-000009000000}">
          <x14:formula1>
            <xm:f>'Datos Equipos'!$B$185:$B$188</xm:f>
          </x14:formula1>
          <xm:sqref>G25</xm:sqref>
        </x14:dataValidation>
        <x14:dataValidation type="list" allowBlank="1" showErrorMessage="1" xr:uid="{00000000-0002-0000-0000-000005000000}">
          <x14:formula1>
            <xm:f>'Datos Equipos'!$D$2:$D$3</xm:f>
          </x14:formula1>
          <xm:sqref>G9 G27 D20 G11:G13</xm:sqref>
        </x14:dataValidation>
        <x14:dataValidation type="list" allowBlank="1" showInputMessage="1" showErrorMessage="1" xr:uid="{00000000-0002-0000-0000-000008000000}">
          <x14:formula1>
            <xm:f>'Datos Equipos'!$D$2:$D$3</xm:f>
          </x14:formula1>
          <xm:sqref>G24 G15</xm:sqref>
        </x14:dataValidation>
        <x14:dataValidation type="list" allowBlank="1" xr:uid="{6E6D40F5-203F-4E8A-83FD-E54337504BFB}">
          <x14:formula1>
            <xm:f>'Datos Equipos'!$D$2:$D$3</xm:f>
          </x14:formula1>
          <xm:sqref>G32 G34</xm:sqref>
        </x14:dataValidation>
        <x14:dataValidation type="list" allowBlank="1" showInputMessage="1" showErrorMessage="1" xr:uid="{AE92C0CF-F426-44D8-8E06-04AA6F3EED01}">
          <x14:formula1>
            <xm:f>'Var. Financieras'!$A$3:$A$4</xm:f>
          </x14:formula1>
          <xm:sqref>G16</xm:sqref>
        </x14:dataValidation>
        <x14:dataValidation type="list" allowBlank="1" showErrorMessage="1" xr:uid="{00000000-0002-0000-0000-000000000000}">
          <x14:formula1>
            <xm:f>'Datos Equipos'!$B$9:$B$24</xm:f>
          </x14:formula1>
          <xm:sqref>G20</xm:sqref>
        </x14:dataValidation>
        <x14:dataValidation type="list" allowBlank="1" showErrorMessage="1" xr:uid="{00000000-0002-0000-0000-000006000000}">
          <x14:formula1>
            <xm:f>'Datos Equipos'!$B$157:$B$167</xm:f>
          </x14:formula1>
          <xm:sqref>G19</xm:sqref>
        </x14:dataValidation>
        <x14:dataValidation type="list" allowBlank="1" showErrorMessage="1" xr:uid="{00000000-0002-0000-0000-000001000000}">
          <x14:formula1>
            <xm:f>'Datos Equipos'!$B$28:$B$77</xm:f>
          </x14:formula1>
          <xm:sqref>G22</xm:sqref>
        </x14:dataValidation>
        <x14:dataValidation type="list" allowBlank="1" showErrorMessage="1" xr:uid="{BC0BD831-CEA9-4CBA-AB98-8E3CD1BF5182}">
          <x14:formula1>
            <xm:f>'Precios E&amp;M'!$A$141:$A$149</xm:f>
          </x14:formula1>
          <xm:sqref>G23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7EBE9-227E-4C87-8ED2-FD96BAD4437C}">
  <sheetPr codeName="Hoja11"/>
  <dimension ref="B1:AK46"/>
  <sheetViews>
    <sheetView topLeftCell="E7" zoomScale="90" zoomScaleNormal="90" workbookViewId="0">
      <selection activeCell="I9" sqref="I9"/>
    </sheetView>
  </sheetViews>
  <sheetFormatPr baseColWidth="10" defaultColWidth="11" defaultRowHeight="15"/>
  <cols>
    <col min="1" max="2" width="11" style="551"/>
    <col min="3" max="3" width="24.25" style="551" customWidth="1"/>
    <col min="4" max="4" width="20" style="551" bestFit="1" customWidth="1"/>
    <col min="5" max="5" width="7.5" style="551" customWidth="1"/>
    <col min="6" max="6" width="20" style="551" bestFit="1" customWidth="1"/>
    <col min="7" max="7" width="18.125" style="551" customWidth="1"/>
    <col min="8" max="8" width="10.5" style="551" bestFit="1" customWidth="1"/>
    <col min="9" max="9" width="9" style="551" customWidth="1"/>
    <col min="10" max="10" width="19.125" style="551" bestFit="1" customWidth="1"/>
    <col min="11" max="11" width="14.5" style="551" customWidth="1"/>
    <col min="12" max="12" width="7.875" style="551" customWidth="1"/>
    <col min="13" max="13" width="5.625" style="551" customWidth="1"/>
    <col min="14" max="14" width="21.375" style="551" customWidth="1"/>
    <col min="15" max="15" width="10" style="551" customWidth="1"/>
    <col min="16" max="16" width="11" style="551"/>
    <col min="17" max="17" width="48.375" style="551" customWidth="1"/>
    <col min="18" max="18" width="59.125" style="551" bestFit="1" customWidth="1"/>
    <col min="19" max="19" width="11" style="551"/>
    <col min="20" max="20" width="11" style="551" customWidth="1"/>
    <col min="21" max="21" width="16" style="551" bestFit="1" customWidth="1"/>
    <col min="22" max="22" width="26.25" style="551" customWidth="1"/>
    <col min="23" max="23" width="11" style="551" customWidth="1"/>
    <col min="24" max="24" width="10" style="551" bestFit="1" customWidth="1"/>
    <col min="25" max="25" width="5.875" style="551" bestFit="1" customWidth="1"/>
    <col min="26" max="26" width="11.5" style="551" bestFit="1" customWidth="1"/>
    <col min="27" max="27" width="8.625" style="551" bestFit="1" customWidth="1"/>
    <col min="28" max="28" width="9.75" style="551" customWidth="1"/>
    <col min="29" max="29" width="4.125" style="551" bestFit="1" customWidth="1"/>
    <col min="30" max="30" width="4.5" style="551" bestFit="1" customWidth="1"/>
    <col min="31" max="31" width="7.25" style="551" bestFit="1" customWidth="1"/>
    <col min="32" max="32" width="6.5" style="551" hidden="1" customWidth="1"/>
    <col min="33" max="33" width="9.75" style="551" bestFit="1" customWidth="1"/>
    <col min="34" max="34" width="4.125" style="551" bestFit="1" customWidth="1"/>
    <col min="35" max="16384" width="11" style="551"/>
  </cols>
  <sheetData>
    <row r="1" spans="2:27" ht="15.75" thickBot="1"/>
    <row r="2" spans="2:27">
      <c r="B2" s="552"/>
      <c r="C2" s="553"/>
      <c r="D2" s="553"/>
      <c r="E2" s="553"/>
      <c r="F2" s="553"/>
      <c r="G2" s="553"/>
      <c r="H2" s="553"/>
      <c r="I2" s="553"/>
      <c r="J2" s="553"/>
      <c r="K2" s="554"/>
      <c r="L2" s="554"/>
      <c r="M2" s="554"/>
      <c r="N2" s="554"/>
      <c r="O2" s="554"/>
      <c r="P2" s="554"/>
      <c r="Q2" s="554"/>
      <c r="R2" s="554"/>
      <c r="S2" s="555"/>
    </row>
    <row r="3" spans="2:27" ht="19.5">
      <c r="B3" s="556"/>
      <c r="C3" s="1204" t="s">
        <v>329</v>
      </c>
      <c r="D3" s="1204"/>
      <c r="E3" s="1204"/>
      <c r="F3" s="1204"/>
      <c r="G3" s="557"/>
      <c r="H3" s="557"/>
      <c r="I3" s="557"/>
      <c r="J3" s="557"/>
      <c r="S3" s="558"/>
    </row>
    <row r="4" spans="2:27" ht="15.75" thickBot="1">
      <c r="B4" s="556"/>
      <c r="C4" s="557"/>
      <c r="D4" s="557"/>
      <c r="E4" s="557"/>
      <c r="F4" s="557"/>
      <c r="I4" s="557"/>
      <c r="J4" s="557"/>
      <c r="S4" s="558"/>
      <c r="T4" s="557"/>
    </row>
    <row r="5" spans="2:27" ht="17.25" thickBot="1">
      <c r="B5" s="556"/>
      <c r="C5" s="1214" t="s">
        <v>21</v>
      </c>
      <c r="D5" s="1215"/>
      <c r="E5" s="559"/>
      <c r="F5" s="1210" t="s">
        <v>164</v>
      </c>
      <c r="G5" s="1211"/>
      <c r="H5" s="559"/>
      <c r="J5" s="1227" t="s">
        <v>76</v>
      </c>
      <c r="K5" s="1228"/>
      <c r="N5" s="1224" t="s">
        <v>319</v>
      </c>
      <c r="O5" s="1225"/>
      <c r="Q5" s="1222" t="s">
        <v>36</v>
      </c>
      <c r="R5" s="1223"/>
      <c r="S5" s="558"/>
      <c r="T5" s="557"/>
    </row>
    <row r="6" spans="2:27" ht="15.75" thickBot="1">
      <c r="B6" s="556"/>
      <c r="C6" s="560" t="s">
        <v>22</v>
      </c>
      <c r="D6" s="561" t="s">
        <v>0</v>
      </c>
      <c r="E6" s="562"/>
      <c r="F6" s="563" t="s">
        <v>1606</v>
      </c>
      <c r="G6" s="564" t="s">
        <v>135</v>
      </c>
      <c r="H6" s="562"/>
      <c r="J6" s="560" t="s">
        <v>404</v>
      </c>
      <c r="K6" s="565"/>
      <c r="N6" s="560" t="s">
        <v>37</v>
      </c>
      <c r="O6" s="566">
        <v>1000</v>
      </c>
      <c r="Q6" s="567" t="s">
        <v>38</v>
      </c>
      <c r="R6" s="626" t="s">
        <v>175</v>
      </c>
      <c r="S6" s="558"/>
      <c r="T6" s="557"/>
      <c r="X6" s="568"/>
    </row>
    <row r="7" spans="2:27" ht="15.75" thickBot="1">
      <c r="B7" s="556"/>
      <c r="C7" s="567" t="s">
        <v>25</v>
      </c>
      <c r="D7" s="1109"/>
      <c r="E7" s="570"/>
      <c r="H7" s="559"/>
      <c r="J7" s="567" t="s">
        <v>85</v>
      </c>
      <c r="K7" s="571"/>
      <c r="N7" s="567" t="s">
        <v>345</v>
      </c>
      <c r="O7" s="572">
        <v>0.93</v>
      </c>
      <c r="Q7" s="567" t="s">
        <v>159</v>
      </c>
      <c r="R7" s="627" t="s">
        <v>3321</v>
      </c>
      <c r="S7" s="558"/>
      <c r="T7" s="557"/>
    </row>
    <row r="8" spans="2:27" ht="17.25" thickBot="1">
      <c r="B8" s="556"/>
      <c r="C8" s="567" t="s">
        <v>26</v>
      </c>
      <c r="D8" s="569"/>
      <c r="E8" s="570"/>
      <c r="F8" s="1212" t="s">
        <v>27</v>
      </c>
      <c r="G8" s="1213"/>
      <c r="H8" s="570"/>
      <c r="J8" s="567" t="s">
        <v>405</v>
      </c>
      <c r="K8" s="571"/>
      <c r="N8" s="567" t="s">
        <v>1611</v>
      </c>
      <c r="O8" s="572" t="s">
        <v>1250</v>
      </c>
      <c r="Q8" s="567" t="s">
        <v>158</v>
      </c>
      <c r="R8" s="627" t="s">
        <v>1836</v>
      </c>
      <c r="S8" s="558"/>
      <c r="T8" s="557"/>
    </row>
    <row r="9" spans="2:27" ht="15.75" thickBot="1">
      <c r="B9" s="556"/>
      <c r="C9" s="567" t="s">
        <v>28</v>
      </c>
      <c r="D9" s="573"/>
      <c r="E9" s="574"/>
      <c r="F9" s="581" t="s">
        <v>4152</v>
      </c>
      <c r="G9" s="582">
        <v>0.05</v>
      </c>
      <c r="H9" s="574"/>
      <c r="J9" s="575" t="s">
        <v>90</v>
      </c>
      <c r="K9" s="576"/>
      <c r="N9" s="577" t="s">
        <v>365</v>
      </c>
      <c r="O9" s="719">
        <v>12</v>
      </c>
      <c r="Q9" s="567" t="s">
        <v>1916</v>
      </c>
      <c r="R9" s="627" t="s">
        <v>1919</v>
      </c>
      <c r="S9" s="558"/>
      <c r="T9" s="557"/>
    </row>
    <row r="10" spans="2:27" ht="15.75" thickBot="1">
      <c r="B10" s="556"/>
      <c r="C10" s="567" t="s">
        <v>1838</v>
      </c>
      <c r="D10" s="579"/>
      <c r="E10" s="580"/>
      <c r="H10" s="580"/>
      <c r="J10" s="557"/>
      <c r="N10" s="577" t="s">
        <v>366</v>
      </c>
      <c r="O10" s="578">
        <v>1</v>
      </c>
      <c r="Q10" s="567" t="s">
        <v>527</v>
      </c>
      <c r="R10" s="627" t="s">
        <v>417</v>
      </c>
      <c r="S10" s="558"/>
      <c r="T10" s="557"/>
    </row>
    <row r="11" spans="2:27" ht="15.75" thickBot="1">
      <c r="B11" s="556"/>
      <c r="C11" s="567" t="s">
        <v>31</v>
      </c>
      <c r="D11" s="569"/>
      <c r="E11" s="570"/>
      <c r="H11" s="570"/>
      <c r="J11" s="583" t="s">
        <v>484</v>
      </c>
      <c r="K11" s="584">
        <v>3900</v>
      </c>
      <c r="N11" s="577" t="s">
        <v>349</v>
      </c>
      <c r="O11" s="585">
        <f>+IF(O8="Litio",0.9,0.5)</f>
        <v>0.9</v>
      </c>
      <c r="Q11" s="586" t="s">
        <v>269</v>
      </c>
      <c r="R11" s="627" t="s">
        <v>4132</v>
      </c>
      <c r="S11" s="558"/>
      <c r="T11" s="557"/>
      <c r="AA11" s="587"/>
    </row>
    <row r="12" spans="2:27" ht="16.5" customHeight="1" thickBot="1">
      <c r="B12" s="556"/>
      <c r="C12" s="581" t="s">
        <v>23</v>
      </c>
      <c r="D12" s="1112" t="s">
        <v>4217</v>
      </c>
      <c r="E12" s="570"/>
      <c r="J12" s="583" t="s">
        <v>1833</v>
      </c>
      <c r="K12" s="584" t="s">
        <v>8</v>
      </c>
      <c r="N12" s="567" t="s">
        <v>370</v>
      </c>
      <c r="O12" s="585">
        <f>+IF(O8="Litio",0.95,0.9)</f>
        <v>0.95</v>
      </c>
      <c r="Q12" s="567"/>
      <c r="R12" s="628"/>
      <c r="S12" s="558"/>
      <c r="T12" s="557"/>
    </row>
    <row r="13" spans="2:27" ht="16.5" customHeight="1" thickBot="1">
      <c r="B13" s="556"/>
      <c r="C13" s="588"/>
      <c r="D13" s="570"/>
      <c r="E13" s="570"/>
      <c r="F13" s="583" t="s">
        <v>1900</v>
      </c>
      <c r="G13" s="589">
        <v>0.8</v>
      </c>
      <c r="J13" s="583" t="s">
        <v>1905</v>
      </c>
      <c r="K13" s="584">
        <v>30</v>
      </c>
      <c r="N13" s="581" t="s">
        <v>1901</v>
      </c>
      <c r="O13" s="590">
        <v>0.5</v>
      </c>
      <c r="Q13" s="591"/>
      <c r="R13" s="629"/>
      <c r="S13" s="558"/>
      <c r="T13" s="557"/>
    </row>
    <row r="14" spans="2:27" ht="15.75" thickBot="1">
      <c r="B14" s="592"/>
      <c r="Q14" s="593" t="s">
        <v>300</v>
      </c>
      <c r="R14" s="630">
        <v>10</v>
      </c>
      <c r="S14" s="558"/>
      <c r="T14" s="557"/>
    </row>
    <row r="15" spans="2:27" ht="30.75" thickBot="1">
      <c r="B15" s="592"/>
      <c r="C15" s="1207" t="s">
        <v>155</v>
      </c>
      <c r="D15" s="1208"/>
      <c r="E15" s="1208"/>
      <c r="F15" s="1208"/>
      <c r="G15" s="1208"/>
      <c r="H15" s="1208"/>
      <c r="I15" s="1208"/>
      <c r="J15" s="1208"/>
      <c r="K15" s="1208"/>
      <c r="L15" s="1208"/>
      <c r="M15" s="1208"/>
      <c r="N15" s="1208"/>
      <c r="O15" s="1209"/>
      <c r="Q15" s="591" t="s">
        <v>301</v>
      </c>
      <c r="R15" s="630">
        <v>10</v>
      </c>
      <c r="S15" s="558"/>
      <c r="T15" s="557"/>
      <c r="W15" s="588"/>
      <c r="X15" s="595"/>
    </row>
    <row r="16" spans="2:27">
      <c r="B16" s="592"/>
      <c r="C16" s="1218" t="s">
        <v>320</v>
      </c>
      <c r="D16" s="1220" t="s">
        <v>321</v>
      </c>
      <c r="E16" s="1216" t="s">
        <v>330</v>
      </c>
      <c r="F16" s="1220" t="s">
        <v>160</v>
      </c>
      <c r="G16" s="1205" t="s">
        <v>1605</v>
      </c>
      <c r="H16" s="1205" t="s">
        <v>322</v>
      </c>
      <c r="I16" s="1220" t="s">
        <v>156</v>
      </c>
      <c r="J16" s="1220"/>
      <c r="K16" s="596" t="s">
        <v>323</v>
      </c>
      <c r="L16" s="596" t="s">
        <v>323</v>
      </c>
      <c r="M16" s="596" t="s">
        <v>324</v>
      </c>
      <c r="N16" s="1220" t="s">
        <v>1607</v>
      </c>
      <c r="O16" s="1226"/>
      <c r="Q16" s="591" t="s">
        <v>397</v>
      </c>
      <c r="R16" s="630">
        <v>2</v>
      </c>
      <c r="S16" s="558"/>
      <c r="T16" s="557"/>
      <c r="X16" s="588"/>
    </row>
    <row r="17" spans="2:34">
      <c r="B17" s="592"/>
      <c r="C17" s="1219"/>
      <c r="D17" s="1221"/>
      <c r="E17" s="1217"/>
      <c r="F17" s="1221"/>
      <c r="G17" s="1206"/>
      <c r="H17" s="1206"/>
      <c r="I17" s="597" t="s">
        <v>325</v>
      </c>
      <c r="J17" s="597" t="s">
        <v>326</v>
      </c>
      <c r="K17" s="597" t="s">
        <v>327</v>
      </c>
      <c r="L17" s="597" t="s">
        <v>328</v>
      </c>
      <c r="M17" s="597">
        <v>7</v>
      </c>
      <c r="N17" s="597" t="s">
        <v>325</v>
      </c>
      <c r="O17" s="598" t="s">
        <v>326</v>
      </c>
      <c r="Q17" s="593" t="s">
        <v>772</v>
      </c>
      <c r="R17" s="630" t="s">
        <v>1035</v>
      </c>
      <c r="S17" s="558"/>
      <c r="T17" s="557"/>
      <c r="V17" s="588"/>
      <c r="W17" s="588"/>
      <c r="X17" s="588"/>
      <c r="Y17" s="588"/>
    </row>
    <row r="18" spans="2:34" ht="15.75" thickBot="1">
      <c r="B18" s="592"/>
      <c r="C18" s="1160" t="s">
        <v>4409</v>
      </c>
      <c r="D18" s="1159">
        <v>1</v>
      </c>
      <c r="E18" s="599" t="s">
        <v>325</v>
      </c>
      <c r="F18" s="599">
        <v>120</v>
      </c>
      <c r="G18" s="600">
        <v>12</v>
      </c>
      <c r="H18" s="601">
        <f>+G18/F18</f>
        <v>0.1</v>
      </c>
      <c r="I18" s="602">
        <f>+G18*D18</f>
        <v>12</v>
      </c>
      <c r="J18" s="603">
        <v>0</v>
      </c>
      <c r="K18" s="603">
        <v>24</v>
      </c>
      <c r="L18" s="603">
        <v>7</v>
      </c>
      <c r="M18" s="603">
        <v>7</v>
      </c>
      <c r="N18" s="604">
        <f>+I18*K18*L18/M18</f>
        <v>288</v>
      </c>
      <c r="O18" s="603">
        <v>0</v>
      </c>
      <c r="Q18" s="594" t="s">
        <v>3774</v>
      </c>
      <c r="R18" s="631">
        <v>300</v>
      </c>
      <c r="S18" s="558"/>
      <c r="T18" s="557"/>
      <c r="X18" s="588"/>
      <c r="Y18" s="605"/>
    </row>
    <row r="19" spans="2:34" ht="15.75" thickBot="1">
      <c r="B19" s="592"/>
      <c r="C19" s="1160" t="s">
        <v>4410</v>
      </c>
      <c r="D19" s="1159">
        <v>1</v>
      </c>
      <c r="E19" s="599" t="s">
        <v>325</v>
      </c>
      <c r="F19" s="599">
        <v>120</v>
      </c>
      <c r="G19" s="838">
        <v>96</v>
      </c>
      <c r="H19" s="601">
        <f t="shared" ref="H19:H39" si="0">+G19/F19</f>
        <v>0.8</v>
      </c>
      <c r="I19" s="602">
        <f>+G19*D19</f>
        <v>96</v>
      </c>
      <c r="J19" s="603">
        <v>0</v>
      </c>
      <c r="K19" s="603">
        <v>24</v>
      </c>
      <c r="L19" s="603">
        <v>7</v>
      </c>
      <c r="M19" s="603">
        <v>7</v>
      </c>
      <c r="N19" s="604">
        <f>+I19*K19*L19/M19</f>
        <v>2304</v>
      </c>
      <c r="O19" s="603">
        <v>0</v>
      </c>
      <c r="S19" s="558"/>
      <c r="T19" s="557"/>
      <c r="X19" s="588"/>
      <c r="Y19" s="605"/>
    </row>
    <row r="20" spans="2:34" ht="17.25" thickBot="1">
      <c r="B20" s="592"/>
      <c r="C20" s="1160" t="s">
        <v>4213</v>
      </c>
      <c r="D20" s="1159">
        <v>1</v>
      </c>
      <c r="E20" s="599" t="s">
        <v>325</v>
      </c>
      <c r="F20" s="599">
        <v>120</v>
      </c>
      <c r="G20" s="600">
        <v>1010</v>
      </c>
      <c r="H20" s="601">
        <f t="shared" si="0"/>
        <v>8.4166666666666661</v>
      </c>
      <c r="I20" s="602">
        <f t="shared" ref="I20:I39" si="1">+G20*D20</f>
        <v>1010</v>
      </c>
      <c r="J20" s="603">
        <v>0</v>
      </c>
      <c r="K20" s="603">
        <v>24</v>
      </c>
      <c r="L20" s="603">
        <v>7</v>
      </c>
      <c r="M20" s="603">
        <v>7</v>
      </c>
      <c r="N20" s="604">
        <f t="shared" ref="N20:N39" si="2">+I20*K20*L20/M20</f>
        <v>24240</v>
      </c>
      <c r="O20" s="603">
        <v>0</v>
      </c>
      <c r="Q20" s="1224" t="s">
        <v>161</v>
      </c>
      <c r="R20" s="1225"/>
      <c r="S20" s="558"/>
      <c r="T20" s="557"/>
      <c r="X20" s="588"/>
      <c r="Y20" s="605"/>
    </row>
    <row r="21" spans="2:34" ht="18">
      <c r="B21" s="592"/>
      <c r="C21" s="1158" t="s">
        <v>966</v>
      </c>
      <c r="D21" s="1159">
        <v>40</v>
      </c>
      <c r="E21" s="603" t="s">
        <v>325</v>
      </c>
      <c r="F21" s="603">
        <v>120</v>
      </c>
      <c r="G21" s="606">
        <v>15</v>
      </c>
      <c r="H21" s="601">
        <f t="shared" si="0"/>
        <v>0.125</v>
      </c>
      <c r="I21" s="602">
        <f t="shared" si="1"/>
        <v>600</v>
      </c>
      <c r="J21" s="603">
        <v>0</v>
      </c>
      <c r="K21" s="603">
        <v>6</v>
      </c>
      <c r="L21" s="603">
        <v>7</v>
      </c>
      <c r="M21" s="603">
        <v>7</v>
      </c>
      <c r="N21" s="604">
        <f t="shared" si="2"/>
        <v>3600</v>
      </c>
      <c r="O21" s="603">
        <v>0</v>
      </c>
      <c r="Q21" s="640" t="s">
        <v>403</v>
      </c>
      <c r="R21" s="1132">
        <f>SUM(I18:I39)</f>
        <v>7393</v>
      </c>
      <c r="S21" s="558"/>
      <c r="T21" s="557"/>
      <c r="X21" s="607"/>
      <c r="Y21" s="605"/>
    </row>
    <row r="22" spans="2:34" ht="18">
      <c r="B22" s="592"/>
      <c r="C22" s="1161" t="s">
        <v>4407</v>
      </c>
      <c r="D22" s="1159">
        <v>1</v>
      </c>
      <c r="E22" s="599" t="s">
        <v>325</v>
      </c>
      <c r="F22" s="599">
        <v>120</v>
      </c>
      <c r="G22" s="600">
        <v>745</v>
      </c>
      <c r="H22" s="601">
        <f t="shared" si="0"/>
        <v>6.208333333333333</v>
      </c>
      <c r="I22" s="602">
        <f>+G22*D22</f>
        <v>745</v>
      </c>
      <c r="J22" s="603">
        <v>0</v>
      </c>
      <c r="K22" s="603">
        <v>3</v>
      </c>
      <c r="L22" s="603">
        <v>7</v>
      </c>
      <c r="M22" s="603">
        <v>7</v>
      </c>
      <c r="N22" s="604">
        <f t="shared" si="2"/>
        <v>2235</v>
      </c>
      <c r="O22" s="603">
        <v>0</v>
      </c>
      <c r="Q22" s="640"/>
      <c r="R22" s="641"/>
      <c r="S22" s="558"/>
      <c r="T22" s="557"/>
      <c r="Y22" s="605"/>
    </row>
    <row r="23" spans="2:34" ht="18">
      <c r="B23" s="592"/>
      <c r="C23" s="1158" t="s">
        <v>4408</v>
      </c>
      <c r="D23" s="1159">
        <v>2</v>
      </c>
      <c r="E23" s="603" t="s">
        <v>325</v>
      </c>
      <c r="F23" s="603">
        <v>120</v>
      </c>
      <c r="G23" s="606">
        <v>600</v>
      </c>
      <c r="H23" s="601">
        <f t="shared" si="0"/>
        <v>5</v>
      </c>
      <c r="I23" s="602">
        <f t="shared" si="1"/>
        <v>1200</v>
      </c>
      <c r="J23" s="603">
        <v>0</v>
      </c>
      <c r="K23" s="603">
        <v>2</v>
      </c>
      <c r="L23" s="603">
        <v>7</v>
      </c>
      <c r="M23" s="603">
        <v>7</v>
      </c>
      <c r="N23" s="604">
        <f t="shared" si="2"/>
        <v>2400</v>
      </c>
      <c r="O23" s="603">
        <v>0</v>
      </c>
      <c r="Q23" s="642" t="s">
        <v>1902</v>
      </c>
      <c r="R23" s="643">
        <f>+SUM(N18:N39)/1000</f>
        <v>44.436999999999998</v>
      </c>
      <c r="S23" s="558"/>
      <c r="T23" s="557"/>
      <c r="X23" s="588"/>
      <c r="Y23" s="605"/>
    </row>
    <row r="24" spans="2:34" ht="18">
      <c r="B24" s="592"/>
      <c r="C24" s="608" t="s">
        <v>4411</v>
      </c>
      <c r="D24" s="599">
        <v>1</v>
      </c>
      <c r="E24" s="599" t="s">
        <v>325</v>
      </c>
      <c r="F24" s="599">
        <v>120</v>
      </c>
      <c r="G24" s="600">
        <v>100</v>
      </c>
      <c r="H24" s="601">
        <f t="shared" si="0"/>
        <v>0.83333333333333337</v>
      </c>
      <c r="I24" s="602">
        <f>+G24*D24</f>
        <v>100</v>
      </c>
      <c r="J24" s="603">
        <v>0</v>
      </c>
      <c r="K24" s="603">
        <v>12</v>
      </c>
      <c r="L24" s="603">
        <v>7</v>
      </c>
      <c r="M24" s="603">
        <v>7</v>
      </c>
      <c r="N24" s="604">
        <f t="shared" si="2"/>
        <v>1200</v>
      </c>
      <c r="O24" s="603">
        <v>0</v>
      </c>
      <c r="Q24" s="642" t="s">
        <v>1903</v>
      </c>
      <c r="R24" s="643">
        <f>+'Calculos (Off Grid)'!B111*'Calculos (Off Grid)'!B110/1000</f>
        <v>10.53</v>
      </c>
      <c r="S24" s="558"/>
      <c r="T24" s="557"/>
      <c r="X24" s="588"/>
      <c r="Y24" s="605"/>
    </row>
    <row r="25" spans="2:34" ht="18.75" thickBot="1">
      <c r="B25" s="592"/>
      <c r="C25" s="608" t="s">
        <v>4412</v>
      </c>
      <c r="D25" s="599">
        <v>1</v>
      </c>
      <c r="E25" s="609" t="s">
        <v>325</v>
      </c>
      <c r="F25" s="610">
        <v>120</v>
      </c>
      <c r="G25" s="611">
        <v>350</v>
      </c>
      <c r="H25" s="601">
        <f t="shared" si="0"/>
        <v>2.9166666666666665</v>
      </c>
      <c r="I25" s="602">
        <f t="shared" si="1"/>
        <v>350</v>
      </c>
      <c r="J25" s="603">
        <v>0</v>
      </c>
      <c r="K25" s="603">
        <v>2</v>
      </c>
      <c r="L25" s="603">
        <v>7</v>
      </c>
      <c r="M25" s="603">
        <v>7</v>
      </c>
      <c r="N25" s="604">
        <f t="shared" si="2"/>
        <v>700</v>
      </c>
      <c r="O25" s="603">
        <v>0</v>
      </c>
      <c r="Q25" s="632" t="s">
        <v>399</v>
      </c>
      <c r="R25" s="644">
        <v>110</v>
      </c>
      <c r="S25" s="558"/>
      <c r="T25" s="557"/>
      <c r="X25" s="588"/>
      <c r="Y25" s="595"/>
    </row>
    <row r="26" spans="2:34">
      <c r="B26" s="592"/>
      <c r="C26" s="608" t="s">
        <v>4413</v>
      </c>
      <c r="D26" s="599">
        <v>3</v>
      </c>
      <c r="E26" s="609" t="s">
        <v>325</v>
      </c>
      <c r="F26" s="609">
        <v>120</v>
      </c>
      <c r="G26" s="611">
        <v>550</v>
      </c>
      <c r="H26" s="601">
        <f>+G26/F26</f>
        <v>4.583333333333333</v>
      </c>
      <c r="I26" s="602">
        <f t="shared" si="1"/>
        <v>1650</v>
      </c>
      <c r="J26" s="602">
        <f>IF(E26="CC",+D26*F26*H26,0)</f>
        <v>0</v>
      </c>
      <c r="K26" s="602">
        <v>2</v>
      </c>
      <c r="L26" s="603">
        <v>7</v>
      </c>
      <c r="M26" s="602">
        <v>7</v>
      </c>
      <c r="N26" s="604">
        <f t="shared" si="2"/>
        <v>3300</v>
      </c>
      <c r="O26" s="602">
        <v>0</v>
      </c>
      <c r="Q26" s="624"/>
      <c r="R26" s="625"/>
      <c r="S26" s="558"/>
      <c r="T26" s="557"/>
      <c r="X26" s="614"/>
    </row>
    <row r="27" spans="2:34">
      <c r="B27" s="592"/>
      <c r="C27" s="615" t="s">
        <v>4414</v>
      </c>
      <c r="D27" s="599">
        <v>1</v>
      </c>
      <c r="E27" s="602" t="s">
        <v>325</v>
      </c>
      <c r="F27" s="602">
        <v>120</v>
      </c>
      <c r="G27" s="602">
        <v>350</v>
      </c>
      <c r="H27" s="616">
        <f t="shared" si="0"/>
        <v>2.9166666666666665</v>
      </c>
      <c r="I27" s="602">
        <f t="shared" si="1"/>
        <v>350</v>
      </c>
      <c r="J27" s="602">
        <f t="shared" ref="J27:J39" si="3">IF(E27="CC",+D27*F27*G27,0)</f>
        <v>0</v>
      </c>
      <c r="K27" s="602">
        <v>5</v>
      </c>
      <c r="L27" s="603">
        <v>7</v>
      </c>
      <c r="M27" s="602">
        <v>7</v>
      </c>
      <c r="N27" s="604">
        <f t="shared" si="2"/>
        <v>1750</v>
      </c>
      <c r="O27" s="602">
        <v>0</v>
      </c>
      <c r="Q27" s="612"/>
      <c r="R27" s="613"/>
      <c r="S27" s="558"/>
      <c r="T27" s="557"/>
      <c r="V27" s="588"/>
      <c r="W27" s="588"/>
      <c r="X27" s="588"/>
      <c r="Y27" s="617"/>
      <c r="Z27" s="588"/>
    </row>
    <row r="28" spans="2:34" ht="18.75" thickBot="1">
      <c r="B28" s="592"/>
      <c r="C28" s="615" t="s">
        <v>3240</v>
      </c>
      <c r="D28" s="599">
        <v>4</v>
      </c>
      <c r="E28" s="602" t="s">
        <v>325</v>
      </c>
      <c r="F28" s="602">
        <v>120</v>
      </c>
      <c r="G28" s="602">
        <v>20</v>
      </c>
      <c r="H28" s="616">
        <f t="shared" si="0"/>
        <v>0.16666666666666666</v>
      </c>
      <c r="I28" s="602">
        <f t="shared" si="1"/>
        <v>80</v>
      </c>
      <c r="J28" s="602">
        <f t="shared" si="3"/>
        <v>0</v>
      </c>
      <c r="K28" s="602">
        <v>4</v>
      </c>
      <c r="L28" s="603">
        <v>7</v>
      </c>
      <c r="M28" s="602">
        <v>7</v>
      </c>
      <c r="N28" s="604">
        <f t="shared" si="2"/>
        <v>320</v>
      </c>
      <c r="O28" s="602">
        <v>0</v>
      </c>
      <c r="Q28" s="632" t="str">
        <f>+'Calculos (Off Grid)'!M2</f>
        <v>Total baterías</v>
      </c>
      <c r="R28" s="633" t="e">
        <f>+'Calculos (Off Grid)'!B116</f>
        <v>#N/A</v>
      </c>
      <c r="S28" s="558"/>
      <c r="T28" s="557"/>
      <c r="X28" s="605"/>
      <c r="Y28" s="605"/>
      <c r="Z28" s="605"/>
    </row>
    <row r="29" spans="2:34">
      <c r="B29" s="592"/>
      <c r="C29" s="1162" t="s">
        <v>3619</v>
      </c>
      <c r="D29" s="1159">
        <v>3</v>
      </c>
      <c r="E29" s="602" t="s">
        <v>325</v>
      </c>
      <c r="F29" s="602">
        <v>120</v>
      </c>
      <c r="G29" s="602">
        <v>300</v>
      </c>
      <c r="H29" s="616">
        <f t="shared" si="0"/>
        <v>2.5</v>
      </c>
      <c r="I29" s="602">
        <f t="shared" si="1"/>
        <v>900</v>
      </c>
      <c r="J29" s="602">
        <f t="shared" si="3"/>
        <v>0</v>
      </c>
      <c r="K29" s="602">
        <v>2</v>
      </c>
      <c r="L29" s="603">
        <v>7</v>
      </c>
      <c r="M29" s="602">
        <v>7</v>
      </c>
      <c r="N29" s="604">
        <f t="shared" si="2"/>
        <v>1800</v>
      </c>
      <c r="O29" s="602">
        <v>0</v>
      </c>
      <c r="Q29" s="624"/>
      <c r="R29" s="625"/>
      <c r="S29" s="558"/>
      <c r="T29" s="557"/>
      <c r="X29" s="619"/>
      <c r="Y29" s="605"/>
      <c r="Z29" s="605"/>
    </row>
    <row r="30" spans="2:34">
      <c r="B30" s="592"/>
      <c r="C30" s="615" t="s">
        <v>3272</v>
      </c>
      <c r="D30" s="599">
        <v>0</v>
      </c>
      <c r="E30" s="602" t="s">
        <v>325</v>
      </c>
      <c r="F30" s="602">
        <v>120</v>
      </c>
      <c r="G30" s="602">
        <v>2000</v>
      </c>
      <c r="H30" s="616">
        <f t="shared" si="0"/>
        <v>16.666666666666668</v>
      </c>
      <c r="I30" s="602">
        <f t="shared" si="1"/>
        <v>0</v>
      </c>
      <c r="J30" s="602">
        <f t="shared" si="3"/>
        <v>0</v>
      </c>
      <c r="K30" s="602">
        <v>3</v>
      </c>
      <c r="L30" s="603">
        <v>7</v>
      </c>
      <c r="M30" s="602">
        <v>7</v>
      </c>
      <c r="N30" s="604">
        <f t="shared" si="2"/>
        <v>0</v>
      </c>
      <c r="O30" s="602">
        <v>0</v>
      </c>
      <c r="Q30" s="618"/>
      <c r="R30" s="613"/>
      <c r="S30" s="558"/>
      <c r="T30" s="557"/>
      <c r="X30" s="605"/>
      <c r="Y30" s="605"/>
      <c r="Z30" s="605"/>
    </row>
    <row r="31" spans="2:34" ht="19.5" thickBot="1">
      <c r="B31" s="592"/>
      <c r="C31" s="615" t="s">
        <v>3211</v>
      </c>
      <c r="D31" s="599">
        <v>0</v>
      </c>
      <c r="E31" s="602" t="s">
        <v>325</v>
      </c>
      <c r="F31" s="602">
        <v>220</v>
      </c>
      <c r="G31" s="602">
        <v>2000</v>
      </c>
      <c r="H31" s="616">
        <f t="shared" si="0"/>
        <v>9.0909090909090917</v>
      </c>
      <c r="I31" s="602">
        <f t="shared" si="1"/>
        <v>0</v>
      </c>
      <c r="J31" s="602">
        <f t="shared" si="3"/>
        <v>0</v>
      </c>
      <c r="K31" s="602">
        <v>2</v>
      </c>
      <c r="L31" s="603">
        <v>7</v>
      </c>
      <c r="M31" s="602">
        <v>7</v>
      </c>
      <c r="N31" s="604">
        <f t="shared" si="2"/>
        <v>0</v>
      </c>
      <c r="O31" s="602">
        <v>0</v>
      </c>
      <c r="Q31" s="632" t="str">
        <f>'Calculos (Off Grid)'!AA2</f>
        <v>Total de modulos</v>
      </c>
      <c r="R31" s="634">
        <f>+'Calculos (Off Grid)'!B111</f>
        <v>18</v>
      </c>
      <c r="S31" s="558"/>
      <c r="T31" s="557"/>
      <c r="V31" s="1229" t="s">
        <v>155</v>
      </c>
      <c r="W31" s="1229"/>
      <c r="X31" s="1229"/>
      <c r="Y31" s="1229"/>
      <c r="Z31" s="1229"/>
      <c r="AA31" s="1229"/>
      <c r="AB31" s="1229"/>
      <c r="AC31" s="1229"/>
      <c r="AD31" s="1229"/>
      <c r="AE31" s="1229"/>
      <c r="AF31" s="1229"/>
      <c r="AG31" s="1229"/>
      <c r="AH31" s="1229"/>
    </row>
    <row r="32" spans="2:34" ht="18">
      <c r="B32" s="592"/>
      <c r="C32" s="615" t="s">
        <v>2590</v>
      </c>
      <c r="D32" s="599">
        <v>0</v>
      </c>
      <c r="E32" s="602" t="s">
        <v>325</v>
      </c>
      <c r="F32" s="602">
        <v>120</v>
      </c>
      <c r="G32" s="602">
        <v>1500</v>
      </c>
      <c r="H32" s="616">
        <f t="shared" si="0"/>
        <v>12.5</v>
      </c>
      <c r="I32" s="602">
        <f t="shared" si="1"/>
        <v>0</v>
      </c>
      <c r="J32" s="602">
        <f t="shared" si="3"/>
        <v>0</v>
      </c>
      <c r="K32" s="602">
        <v>4</v>
      </c>
      <c r="L32" s="603">
        <v>7</v>
      </c>
      <c r="M32" s="602">
        <v>7</v>
      </c>
      <c r="N32" s="604">
        <f t="shared" si="2"/>
        <v>0</v>
      </c>
      <c r="O32" s="602">
        <v>0</v>
      </c>
      <c r="Q32" s="635"/>
      <c r="R32" s="636"/>
      <c r="S32" s="558"/>
      <c r="T32" s="557"/>
      <c r="V32" s="1230" t="s">
        <v>320</v>
      </c>
      <c r="W32" s="1230" t="s">
        <v>321</v>
      </c>
      <c r="X32" s="1231" t="s">
        <v>330</v>
      </c>
      <c r="Y32" s="1230" t="s">
        <v>160</v>
      </c>
      <c r="Z32" s="1232" t="s">
        <v>4199</v>
      </c>
      <c r="AA32" s="1232" t="s">
        <v>4200</v>
      </c>
      <c r="AB32" s="1230" t="s">
        <v>156</v>
      </c>
      <c r="AC32" s="1230"/>
      <c r="AD32" s="1135" t="s">
        <v>323</v>
      </c>
      <c r="AE32" s="1135" t="s">
        <v>323</v>
      </c>
      <c r="AF32" s="1135" t="s">
        <v>324</v>
      </c>
      <c r="AG32" s="1230" t="s">
        <v>1607</v>
      </c>
      <c r="AH32" s="1230"/>
    </row>
    <row r="33" spans="2:37" ht="18.75" thickBot="1">
      <c r="B33" s="592"/>
      <c r="C33" s="615" t="s">
        <v>3468</v>
      </c>
      <c r="D33" s="599">
        <v>1</v>
      </c>
      <c r="E33" s="602" t="s">
        <v>325</v>
      </c>
      <c r="F33" s="602">
        <v>120</v>
      </c>
      <c r="G33" s="602">
        <v>300</v>
      </c>
      <c r="H33" s="616">
        <f t="shared" si="0"/>
        <v>2.5</v>
      </c>
      <c r="I33" s="602">
        <f t="shared" si="1"/>
        <v>300</v>
      </c>
      <c r="J33" s="602">
        <f t="shared" si="3"/>
        <v>0</v>
      </c>
      <c r="K33" s="602">
        <v>1</v>
      </c>
      <c r="L33" s="603">
        <v>7</v>
      </c>
      <c r="M33" s="602">
        <v>7</v>
      </c>
      <c r="N33" s="604">
        <f t="shared" si="2"/>
        <v>300</v>
      </c>
      <c r="O33" s="602">
        <v>0</v>
      </c>
      <c r="Q33" s="550" t="str">
        <f>+'Calculos (Off Grid)'!AS2</f>
        <v>Numero de inversores</v>
      </c>
      <c r="R33" s="637">
        <f>+'Calculos (Off Grid)'!B119</f>
        <v>3</v>
      </c>
      <c r="S33" s="558"/>
      <c r="T33" s="557"/>
      <c r="V33" s="1230"/>
      <c r="W33" s="1230"/>
      <c r="X33" s="1231"/>
      <c r="Y33" s="1230"/>
      <c r="Z33" s="1232"/>
      <c r="AA33" s="1232"/>
      <c r="AB33" s="1135" t="s">
        <v>325</v>
      </c>
      <c r="AC33" s="1135" t="s">
        <v>326</v>
      </c>
      <c r="AD33" s="1135" t="s">
        <v>327</v>
      </c>
      <c r="AE33" s="1135" t="s">
        <v>328</v>
      </c>
      <c r="AF33" s="1135">
        <v>7</v>
      </c>
      <c r="AG33" s="1135" t="s">
        <v>325</v>
      </c>
      <c r="AH33" s="1135" t="s">
        <v>326</v>
      </c>
    </row>
    <row r="34" spans="2:37" ht="18.75" thickBot="1">
      <c r="B34" s="592"/>
      <c r="C34" s="615" t="s">
        <v>1832</v>
      </c>
      <c r="D34" s="599">
        <v>0</v>
      </c>
      <c r="E34" s="602" t="s">
        <v>325</v>
      </c>
      <c r="F34" s="602">
        <v>220</v>
      </c>
      <c r="G34" s="602">
        <v>6000</v>
      </c>
      <c r="H34" s="616">
        <f t="shared" si="0"/>
        <v>27.272727272727273</v>
      </c>
      <c r="I34" s="602">
        <f t="shared" si="1"/>
        <v>0</v>
      </c>
      <c r="J34" s="602">
        <f t="shared" si="3"/>
        <v>0</v>
      </c>
      <c r="K34" s="602">
        <v>2</v>
      </c>
      <c r="L34" s="603">
        <v>7</v>
      </c>
      <c r="M34" s="602">
        <v>7</v>
      </c>
      <c r="N34" s="604">
        <f t="shared" si="2"/>
        <v>0</v>
      </c>
      <c r="O34" s="602">
        <v>0</v>
      </c>
      <c r="Q34" s="638" t="s">
        <v>398</v>
      </c>
      <c r="R34" s="639" t="e">
        <f>+'Calculos (Off Grid)'!F99</f>
        <v>#N/A</v>
      </c>
      <c r="S34" s="558"/>
      <c r="V34" s="1136" t="s">
        <v>4198</v>
      </c>
      <c r="W34" s="1137">
        <f t="shared" ref="W34:AH35" si="4">+D38</f>
        <v>0</v>
      </c>
      <c r="X34" s="1137" t="str">
        <f t="shared" si="4"/>
        <v>CA</v>
      </c>
      <c r="Y34" s="1137">
        <f t="shared" si="4"/>
        <v>360</v>
      </c>
      <c r="Z34" s="1138">
        <f t="shared" si="4"/>
        <v>11185.5</v>
      </c>
      <c r="AA34" s="1137">
        <f t="shared" si="4"/>
        <v>31.070833333333333</v>
      </c>
      <c r="AB34" s="1138">
        <f t="shared" si="4"/>
        <v>0</v>
      </c>
      <c r="AC34" s="1137">
        <f t="shared" si="4"/>
        <v>0</v>
      </c>
      <c r="AD34" s="1137">
        <f t="shared" si="4"/>
        <v>7</v>
      </c>
      <c r="AE34" s="1137">
        <f t="shared" si="4"/>
        <v>7</v>
      </c>
      <c r="AF34" s="1137">
        <f t="shared" si="4"/>
        <v>7</v>
      </c>
      <c r="AG34" s="1138">
        <f t="shared" si="4"/>
        <v>0</v>
      </c>
      <c r="AH34" s="1137">
        <f t="shared" si="4"/>
        <v>0</v>
      </c>
    </row>
    <row r="35" spans="2:37">
      <c r="B35" s="592"/>
      <c r="C35" s="1133" t="s">
        <v>4156</v>
      </c>
      <c r="D35" s="599">
        <v>0</v>
      </c>
      <c r="E35" s="602" t="s">
        <v>325</v>
      </c>
      <c r="F35" s="602">
        <v>360</v>
      </c>
      <c r="G35" s="602">
        <v>10000</v>
      </c>
      <c r="H35" s="616">
        <f t="shared" si="0"/>
        <v>27.777777777777779</v>
      </c>
      <c r="I35" s="602">
        <f t="shared" si="1"/>
        <v>0</v>
      </c>
      <c r="J35" s="602">
        <f t="shared" si="3"/>
        <v>0</v>
      </c>
      <c r="K35" s="602">
        <v>7</v>
      </c>
      <c r="L35" s="603">
        <v>7</v>
      </c>
      <c r="M35" s="602">
        <v>7</v>
      </c>
      <c r="N35" s="604">
        <f t="shared" si="2"/>
        <v>0</v>
      </c>
      <c r="O35" s="602">
        <v>0</v>
      </c>
      <c r="S35" s="558"/>
      <c r="V35" s="1139" t="s">
        <v>4197</v>
      </c>
      <c r="W35" s="1137">
        <f t="shared" si="4"/>
        <v>0</v>
      </c>
      <c r="X35" s="1137" t="str">
        <f t="shared" si="4"/>
        <v>CA</v>
      </c>
      <c r="Y35" s="1137">
        <f t="shared" si="4"/>
        <v>360</v>
      </c>
      <c r="Z35" s="1138">
        <f t="shared" si="4"/>
        <v>22371</v>
      </c>
      <c r="AA35" s="1137">
        <f t="shared" si="4"/>
        <v>62.141666666666666</v>
      </c>
      <c r="AB35" s="1138">
        <f t="shared" si="4"/>
        <v>0</v>
      </c>
      <c r="AC35" s="1137">
        <f t="shared" si="4"/>
        <v>0</v>
      </c>
      <c r="AD35" s="1137">
        <f t="shared" si="4"/>
        <v>7</v>
      </c>
      <c r="AE35" s="1137">
        <f t="shared" si="4"/>
        <v>7</v>
      </c>
      <c r="AF35" s="1137">
        <f t="shared" si="4"/>
        <v>7</v>
      </c>
      <c r="AG35" s="1138">
        <f t="shared" si="4"/>
        <v>0</v>
      </c>
      <c r="AH35" s="1137">
        <f t="shared" si="4"/>
        <v>0</v>
      </c>
    </row>
    <row r="36" spans="2:37" ht="15.75" customHeight="1">
      <c r="B36" s="592"/>
      <c r="C36" s="1133" t="s">
        <v>4155</v>
      </c>
      <c r="D36" s="599">
        <v>0</v>
      </c>
      <c r="E36" s="602" t="s">
        <v>325</v>
      </c>
      <c r="F36" s="602">
        <v>360</v>
      </c>
      <c r="G36" s="602">
        <f>+G37/2</f>
        <v>3728.5</v>
      </c>
      <c r="H36" s="616">
        <f t="shared" si="0"/>
        <v>10.356944444444444</v>
      </c>
      <c r="I36" s="602">
        <f t="shared" si="1"/>
        <v>0</v>
      </c>
      <c r="J36" s="602">
        <f t="shared" si="3"/>
        <v>0</v>
      </c>
      <c r="K36" s="602">
        <v>7</v>
      </c>
      <c r="L36" s="603">
        <v>7</v>
      </c>
      <c r="M36" s="602">
        <v>7</v>
      </c>
      <c r="N36" s="604">
        <f t="shared" si="2"/>
        <v>0</v>
      </c>
      <c r="O36" s="602">
        <v>0</v>
      </c>
      <c r="S36" s="558"/>
      <c r="V36" s="1140"/>
      <c r="W36" s="1140"/>
      <c r="X36" s="1140"/>
      <c r="Y36" s="1140"/>
      <c r="Z36" s="1140"/>
      <c r="AA36" s="1140"/>
      <c r="AB36" s="1142">
        <f>+SUM(AB34:AB35)</f>
        <v>0</v>
      </c>
      <c r="AC36" s="1143"/>
      <c r="AD36" s="1143"/>
      <c r="AE36" s="1143"/>
      <c r="AF36" s="1143"/>
      <c r="AG36" s="1142">
        <f>+SUM(AG34:AG35)</f>
        <v>0</v>
      </c>
      <c r="AH36" s="1141"/>
    </row>
    <row r="37" spans="2:37" ht="15.75" customHeight="1">
      <c r="B37" s="592"/>
      <c r="C37" s="15" t="s">
        <v>4154</v>
      </c>
      <c r="D37" s="599">
        <v>0</v>
      </c>
      <c r="E37" s="602" t="s">
        <v>325</v>
      </c>
      <c r="F37" s="602">
        <v>360</v>
      </c>
      <c r="G37" s="602">
        <v>7457</v>
      </c>
      <c r="H37" s="616">
        <f t="shared" si="0"/>
        <v>20.713888888888889</v>
      </c>
      <c r="I37" s="602">
        <f t="shared" si="1"/>
        <v>0</v>
      </c>
      <c r="J37" s="602">
        <f t="shared" si="3"/>
        <v>0</v>
      </c>
      <c r="K37" s="602">
        <v>7</v>
      </c>
      <c r="L37" s="603">
        <v>7</v>
      </c>
      <c r="M37" s="602">
        <v>7</v>
      </c>
      <c r="N37" s="604">
        <f t="shared" si="2"/>
        <v>0</v>
      </c>
      <c r="O37" s="602">
        <v>0</v>
      </c>
      <c r="S37" s="558"/>
      <c r="AJ37" s="619"/>
      <c r="AK37" s="619"/>
    </row>
    <row r="38" spans="2:37" ht="15.75" customHeight="1">
      <c r="B38" s="592"/>
      <c r="C38" s="15" t="s">
        <v>4157</v>
      </c>
      <c r="D38" s="599">
        <v>0</v>
      </c>
      <c r="E38" s="602" t="s">
        <v>325</v>
      </c>
      <c r="F38" s="602">
        <v>360</v>
      </c>
      <c r="G38" s="602">
        <v>11185.5</v>
      </c>
      <c r="H38" s="616">
        <f t="shared" si="0"/>
        <v>31.070833333333333</v>
      </c>
      <c r="I38" s="602">
        <f>+G38*D38</f>
        <v>0</v>
      </c>
      <c r="J38" s="602">
        <f t="shared" si="3"/>
        <v>0</v>
      </c>
      <c r="K38" s="602">
        <v>7</v>
      </c>
      <c r="L38" s="603">
        <v>7</v>
      </c>
      <c r="M38" s="602">
        <v>7</v>
      </c>
      <c r="N38" s="604">
        <f t="shared" si="2"/>
        <v>0</v>
      </c>
      <c r="O38" s="602">
        <v>0</v>
      </c>
      <c r="S38" s="558"/>
      <c r="AJ38" s="619"/>
      <c r="AK38" s="619"/>
    </row>
    <row r="39" spans="2:37" ht="15.75" customHeight="1">
      <c r="B39" s="592"/>
      <c r="C39" s="15" t="s">
        <v>4153</v>
      </c>
      <c r="D39" s="599">
        <v>0</v>
      </c>
      <c r="E39" s="602" t="s">
        <v>325</v>
      </c>
      <c r="F39" s="602">
        <v>360</v>
      </c>
      <c r="G39" s="602">
        <f>74570*0.3</f>
        <v>22371</v>
      </c>
      <c r="H39" s="616">
        <f t="shared" si="0"/>
        <v>62.141666666666666</v>
      </c>
      <c r="I39" s="602">
        <f t="shared" si="1"/>
        <v>0</v>
      </c>
      <c r="J39" s="602">
        <f t="shared" si="3"/>
        <v>0</v>
      </c>
      <c r="K39" s="602">
        <v>7</v>
      </c>
      <c r="L39" s="603">
        <v>7</v>
      </c>
      <c r="M39" s="602">
        <v>7</v>
      </c>
      <c r="N39" s="604">
        <f t="shared" si="2"/>
        <v>0</v>
      </c>
      <c r="O39" s="602">
        <v>0</v>
      </c>
      <c r="S39" s="558"/>
      <c r="X39" s="614"/>
      <c r="AJ39" s="619"/>
      <c r="AK39" s="619"/>
    </row>
    <row r="40" spans="2:37" ht="15.75" customHeight="1">
      <c r="B40" s="592"/>
      <c r="I40" s="551">
        <f>+SUM(I18:I39)</f>
        <v>7393</v>
      </c>
      <c r="N40" s="1134">
        <v>59000.766666666597</v>
      </c>
      <c r="S40" s="558"/>
      <c r="V40" s="588"/>
      <c r="W40" s="588"/>
      <c r="X40" s="588"/>
      <c r="Y40" s="617"/>
      <c r="Z40" s="588"/>
      <c r="AJ40" s="619"/>
      <c r="AK40" s="619"/>
    </row>
    <row r="41" spans="2:37" ht="15.75" customHeight="1" thickBot="1">
      <c r="B41" s="621"/>
      <c r="C41" s="622"/>
      <c r="D41" s="622"/>
      <c r="E41" s="622"/>
      <c r="F41" s="622"/>
      <c r="G41" s="622"/>
      <c r="H41" s="622"/>
      <c r="I41" s="622"/>
      <c r="J41" s="622"/>
      <c r="K41" s="622"/>
      <c r="L41" s="622"/>
      <c r="M41" s="622"/>
      <c r="N41" s="1117">
        <f>+N40*0.03</f>
        <v>1770.0229999999979</v>
      </c>
      <c r="O41" s="622"/>
      <c r="P41" s="622"/>
      <c r="Q41" s="622"/>
      <c r="R41" s="622"/>
      <c r="S41" s="623"/>
      <c r="AJ41" s="619"/>
      <c r="AK41" s="619"/>
    </row>
    <row r="42" spans="2:37" ht="15.75" customHeight="1"/>
    <row r="43" spans="2:37" ht="15.75" customHeight="1">
      <c r="M43" s="551" t="s">
        <v>4214</v>
      </c>
      <c r="N43" s="620">
        <f>+N40/(4*0.8)</f>
        <v>18437.73958333331</v>
      </c>
      <c r="O43" s="551" t="s">
        <v>4218</v>
      </c>
    </row>
    <row r="44" spans="2:37">
      <c r="M44" s="551" t="s">
        <v>3835</v>
      </c>
      <c r="N44" s="551">
        <f>+N43/585</f>
        <v>31.517503561253523</v>
      </c>
      <c r="O44" s="551" t="s">
        <v>4219</v>
      </c>
    </row>
    <row r="45" spans="2:37">
      <c r="M45" s="551" t="s">
        <v>4215</v>
      </c>
      <c r="N45" s="551">
        <v>2000</v>
      </c>
    </row>
    <row r="46" spans="2:37">
      <c r="M46" s="551" t="s">
        <v>4216</v>
      </c>
      <c r="N46" s="551">
        <f>+N40*1/5000</f>
        <v>11.80015333333332</v>
      </c>
      <c r="O46" s="551" t="s">
        <v>4220</v>
      </c>
    </row>
  </sheetData>
  <mergeCells count="26">
    <mergeCell ref="V31:AH31"/>
    <mergeCell ref="V32:V33"/>
    <mergeCell ref="W32:W33"/>
    <mergeCell ref="X32:X33"/>
    <mergeCell ref="Y32:Y33"/>
    <mergeCell ref="Z32:Z33"/>
    <mergeCell ref="AA32:AA33"/>
    <mergeCell ref="AB32:AC32"/>
    <mergeCell ref="AG32:AH32"/>
    <mergeCell ref="Q5:R5"/>
    <mergeCell ref="Q20:R20"/>
    <mergeCell ref="I16:J16"/>
    <mergeCell ref="N16:O16"/>
    <mergeCell ref="J5:K5"/>
    <mergeCell ref="N5:O5"/>
    <mergeCell ref="C3:F3"/>
    <mergeCell ref="H16:H17"/>
    <mergeCell ref="C15:O15"/>
    <mergeCell ref="F5:G5"/>
    <mergeCell ref="F8:G8"/>
    <mergeCell ref="C5:D5"/>
    <mergeCell ref="E16:E17"/>
    <mergeCell ref="C16:C17"/>
    <mergeCell ref="D16:D17"/>
    <mergeCell ref="F16:F17"/>
    <mergeCell ref="G16:G17"/>
  </mergeCells>
  <conditionalFormatting sqref="R13">
    <cfRule type="containsText" dxfId="120" priority="5" operator="containsText" text="No">
      <formula>NOT(ISERROR(SEARCH("No",R13)))</formula>
    </cfRule>
    <cfRule type="containsText" dxfId="119" priority="6" operator="containsText" text="Si">
      <formula>NOT(ISERROR(SEARCH("Si",R13)))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imularproyectooffgrid">
                <anchor moveWithCells="1" sizeWithCells="1">
                  <from>
                    <xdr:col>16</xdr:col>
                    <xdr:colOff>2095500</xdr:colOff>
                    <xdr:row>34</xdr:row>
                    <xdr:rowOff>161925</xdr:rowOff>
                  </from>
                  <to>
                    <xdr:col>17</xdr:col>
                    <xdr:colOff>2105025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IrMenu">
                <anchor moveWithCells="1" sizeWithCells="1">
                  <from>
                    <xdr:col>9</xdr:col>
                    <xdr:colOff>0</xdr:colOff>
                    <xdr:row>1</xdr:row>
                    <xdr:rowOff>114300</xdr:rowOff>
                  </from>
                  <to>
                    <xdr:col>11</xdr:col>
                    <xdr:colOff>9525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6" name="Button 16">
              <controlPr defaultSize="0" print="0" autoFill="0" autoPict="0" macro="[0]!generar_wordEPCOffGrid">
                <anchor moveWithCells="1" sizeWithCells="1">
                  <from>
                    <xdr:col>15</xdr:col>
                    <xdr:colOff>609600</xdr:colOff>
                    <xdr:row>38</xdr:row>
                    <xdr:rowOff>28575</xdr:rowOff>
                  </from>
                  <to>
                    <xdr:col>17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7" name="Button 21">
              <controlPr defaultSize="0" print="0" autoFill="0" autoPict="0" macro="[0]!generar_wordKITSOLAR">
                <anchor moveWithCells="1" sizeWithCells="1">
                  <from>
                    <xdr:col>17</xdr:col>
                    <xdr:colOff>180975</xdr:colOff>
                    <xdr:row>38</xdr:row>
                    <xdr:rowOff>9525</xdr:rowOff>
                  </from>
                  <to>
                    <xdr:col>18</xdr:col>
                    <xdr:colOff>647700</xdr:colOff>
                    <xdr:row>40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ErrorMessage="1" xr:uid="{F253F824-8913-4E2E-BD41-739CA41C5470}">
          <x14:formula1>
            <xm:f>'Datos Equipos'!$B$1:$B$5</xm:f>
          </x14:formula1>
          <xm:sqref>D6:E6</xm:sqref>
        </x14:dataValidation>
        <x14:dataValidation type="list" allowBlank="1" showErrorMessage="1" xr:uid="{0ED9B316-FA44-4533-9424-8B3407C8A0C6}">
          <x14:formula1>
            <xm:f>'Mejoras Simón'!$A$57:$A$58</xm:f>
          </x14:formula1>
          <xm:sqref>R9</xm:sqref>
        </x14:dataValidation>
        <x14:dataValidation type="list" allowBlank="1" showErrorMessage="1" xr:uid="{CF1EAE55-C7E4-4137-8CCF-97B20DE1F5E2}">
          <x14:formula1>
            <xm:f>'Precios E&amp;M'!$A$3:$A$53</xm:f>
          </x14:formula1>
          <xm:sqref>R10</xm:sqref>
        </x14:dataValidation>
        <x14:dataValidation type="list" allowBlank="1" xr:uid="{B12D2DFA-E19C-43E7-A619-7724ADC11AC4}">
          <x14:formula1>
            <xm:f>'Datos Equipos'!$B$192:$B$212</xm:f>
          </x14:formula1>
          <xm:sqref>G6:H6</xm:sqref>
        </x14:dataValidation>
        <x14:dataValidation type="list" allowBlank="1" showInputMessage="1" showErrorMessage="1" xr:uid="{1653B542-0D16-4ABA-8285-A32C5447785D}">
          <x14:formula1>
            <xm:f>'Mejoras Simón'!$C$8:$C$10</xm:f>
          </x14:formula1>
          <xm:sqref>K12</xm:sqref>
        </x14:dataValidation>
        <x14:dataValidation type="list" allowBlank="1" showInputMessage="1" showErrorMessage="1" xr:uid="{3A46035B-3F2E-4176-8700-FC12B6340F4F}">
          <x14:formula1>
            <xm:f>'Mejoras Simón'!$A$53:$A$54</xm:f>
          </x14:formula1>
          <xm:sqref>O8</xm:sqref>
        </x14:dataValidation>
        <x14:dataValidation type="list" allowBlank="1" showInputMessage="1" showErrorMessage="1" xr:uid="{F227E7BF-ED3E-45F9-85FB-E8A01DC2959A}">
          <x14:formula1>
            <xm:f>'Datos Equipos'!$C$3:$C$5</xm:f>
          </x14:formula1>
          <xm:sqref>R12</xm:sqref>
        </x14:dataValidation>
        <x14:dataValidation type="list" allowBlank="1" showInputMessage="1" showErrorMessage="1" xr:uid="{4BBB3C8A-F1EF-4D99-BF32-D2C0BEA7AEC7}">
          <x14:formula1>
            <xm:f>'Datos Equipos'!$D$2:$D$3</xm:f>
          </x14:formula1>
          <xm:sqref>R13</xm:sqref>
        </x14:dataValidation>
        <x14:dataValidation type="list" allowBlank="1" showErrorMessage="1" xr:uid="{FF735269-9DEA-4189-A946-E230350F6B7B}">
          <x14:formula1>
            <xm:f>'Datos Equipos'!$B$9:$B$24</xm:f>
          </x14:formula1>
          <xm:sqref>R7</xm:sqref>
        </x14:dataValidation>
        <x14:dataValidation type="list" allowBlank="1" showErrorMessage="1" xr:uid="{8A4271E7-4C8A-4796-B568-C141CF88AB4D}">
          <x14:formula1>
            <xm:f>'Datos Equipos'!$B$157:$B$167</xm:f>
          </x14:formula1>
          <xm:sqref>R6</xm:sqref>
        </x14:dataValidation>
        <x14:dataValidation type="list" allowBlank="1" showErrorMessage="1" xr:uid="{8736CC05-FF2C-4A3A-816E-B1833152FFB4}">
          <x14:formula1>
            <xm:f>'Precios E&amp;M'!$A$142:$A$149</xm:f>
          </x14:formula1>
          <xm:sqref>R8</xm:sqref>
        </x14:dataValidation>
        <x14:dataValidation type="list" allowBlank="1" showErrorMessage="1" xr:uid="{64215E29-8FD0-4026-B072-F6ECE66E9FC9}">
          <x14:formula1>
            <xm:f>'Mejoras Simón'!$A$8:$A$9</xm:f>
          </x14:formula1>
          <xm:sqref>R17</xm:sqref>
        </x14:dataValidation>
        <x14:dataValidation type="list" allowBlank="1" showInputMessage="1" showErrorMessage="1" xr:uid="{F2DB7D64-29D2-47EE-A7F0-112C708CDFF8}">
          <x14:formula1>
            <xm:f>'Precios E&amp;M'!$A$66:$A$100</xm:f>
          </x14:formula1>
          <xm:sqref>AA11</xm:sqref>
        </x14:dataValidation>
        <x14:dataValidation type="list" allowBlank="1" showInputMessage="1" showErrorMessage="1" xr:uid="{C8169028-179B-4C56-BD80-24212F2038B7}">
          <x14:formula1>
            <xm:f>'Precios E&amp;M'!$A$57:$A$82</xm:f>
          </x14:formula1>
          <xm:sqref>R11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89434-162E-874E-B4DA-443F77BE874D}">
  <sheetPr codeName="Hoja16"/>
  <dimension ref="A1:H92"/>
  <sheetViews>
    <sheetView topLeftCell="A65" workbookViewId="0">
      <selection activeCell="G62" sqref="G62"/>
    </sheetView>
  </sheetViews>
  <sheetFormatPr baseColWidth="10" defaultColWidth="10.875" defaultRowHeight="15"/>
  <cols>
    <col min="1" max="1" width="52.875" style="173" bestFit="1" customWidth="1"/>
    <col min="2" max="4" width="10.875" style="183"/>
    <col min="5" max="5" width="10.875" style="187"/>
    <col min="6" max="6" width="10.875" style="174"/>
    <col min="7" max="8" width="10.875" style="173"/>
    <col min="9" max="16384" width="10.875" style="1"/>
  </cols>
  <sheetData>
    <row r="1" spans="1:7" s="1" customFormat="1">
      <c r="A1" s="168" t="s">
        <v>628</v>
      </c>
      <c r="B1" s="175" t="s">
        <v>321</v>
      </c>
      <c r="C1" s="175" t="s">
        <v>706</v>
      </c>
      <c r="D1" s="176" t="s">
        <v>160</v>
      </c>
      <c r="E1" s="177" t="s">
        <v>322</v>
      </c>
      <c r="F1" s="169"/>
      <c r="G1" s="170" t="s">
        <v>522</v>
      </c>
    </row>
    <row r="2" spans="1:7" s="1" customFormat="1">
      <c r="A2" s="171" t="s">
        <v>646</v>
      </c>
      <c r="B2" s="178"/>
      <c r="C2" s="179"/>
      <c r="D2" s="180">
        <v>120</v>
      </c>
      <c r="E2" s="181">
        <v>0.83333333333333337</v>
      </c>
      <c r="F2" s="172"/>
      <c r="G2" s="15">
        <v>100</v>
      </c>
    </row>
    <row r="3" spans="1:7" s="1" customFormat="1">
      <c r="A3" s="171" t="s">
        <v>647</v>
      </c>
      <c r="B3" s="178"/>
      <c r="C3" s="179"/>
      <c r="D3" s="180">
        <v>120</v>
      </c>
      <c r="E3" s="181">
        <v>29.166666666666668</v>
      </c>
      <c r="F3" s="172"/>
      <c r="G3" s="15">
        <v>3500</v>
      </c>
    </row>
    <row r="4" spans="1:7" s="1" customFormat="1">
      <c r="A4" s="171" t="s">
        <v>629</v>
      </c>
      <c r="B4" s="178"/>
      <c r="C4" s="179"/>
      <c r="D4" s="180">
        <v>120</v>
      </c>
      <c r="E4" s="181">
        <v>2.5000000000000001E-2</v>
      </c>
      <c r="F4" s="172"/>
      <c r="G4" s="15">
        <v>3</v>
      </c>
    </row>
    <row r="5" spans="1:7" s="1" customFormat="1">
      <c r="A5" s="171" t="s">
        <v>630</v>
      </c>
      <c r="B5" s="178"/>
      <c r="C5" s="179"/>
      <c r="D5" s="180">
        <v>120</v>
      </c>
      <c r="E5" s="181">
        <v>8.3333333333333339</v>
      </c>
      <c r="F5" s="172"/>
      <c r="G5" s="15">
        <v>1000</v>
      </c>
    </row>
    <row r="6" spans="1:7" s="1" customFormat="1">
      <c r="A6" s="171" t="s">
        <v>631</v>
      </c>
      <c r="B6" s="178"/>
      <c r="C6" s="179"/>
      <c r="D6" s="180">
        <v>120</v>
      </c>
      <c r="E6" s="181">
        <v>0.29166666666666669</v>
      </c>
      <c r="F6" s="172"/>
      <c r="G6" s="15">
        <v>35</v>
      </c>
    </row>
    <row r="7" spans="1:7" s="1" customFormat="1">
      <c r="A7" s="171" t="s">
        <v>632</v>
      </c>
      <c r="B7" s="178"/>
      <c r="C7" s="179"/>
      <c r="D7" s="180">
        <v>120</v>
      </c>
      <c r="E7" s="181">
        <v>6.666666666666667</v>
      </c>
      <c r="F7" s="172"/>
      <c r="G7" s="15">
        <v>800</v>
      </c>
    </row>
    <row r="8" spans="1:7" s="1" customFormat="1">
      <c r="A8" s="171" t="s">
        <v>633</v>
      </c>
      <c r="B8" s="178"/>
      <c r="C8" s="179"/>
      <c r="D8" s="180">
        <v>120</v>
      </c>
      <c r="E8" s="181">
        <v>1.6666666666666666E-2</v>
      </c>
      <c r="F8" s="172"/>
      <c r="G8" s="15">
        <v>2</v>
      </c>
    </row>
    <row r="9" spans="1:7" s="1" customFormat="1">
      <c r="A9" s="171" t="s">
        <v>634</v>
      </c>
      <c r="B9" s="178"/>
      <c r="C9" s="179"/>
      <c r="D9" s="180">
        <v>120</v>
      </c>
      <c r="E9" s="181">
        <v>12.083333333333334</v>
      </c>
      <c r="F9" s="172"/>
      <c r="G9" s="15">
        <v>1450</v>
      </c>
    </row>
    <row r="10" spans="1:7" s="1" customFormat="1">
      <c r="A10" s="171" t="s">
        <v>635</v>
      </c>
      <c r="B10" s="178"/>
      <c r="C10" s="179"/>
      <c r="D10" s="180">
        <v>120</v>
      </c>
      <c r="E10" s="181">
        <v>33.333333333333336</v>
      </c>
      <c r="F10" s="172"/>
      <c r="G10" s="15">
        <v>4000</v>
      </c>
    </row>
    <row r="11" spans="1:7" s="1" customFormat="1">
      <c r="A11" s="171" t="s">
        <v>636</v>
      </c>
      <c r="B11" s="178"/>
      <c r="C11" s="179"/>
      <c r="D11" s="180">
        <v>120</v>
      </c>
      <c r="E11" s="181">
        <v>2.5</v>
      </c>
      <c r="F11" s="172"/>
      <c r="G11" s="15">
        <v>300</v>
      </c>
    </row>
    <row r="12" spans="1:7" s="1" customFormat="1">
      <c r="A12" s="171" t="s">
        <v>637</v>
      </c>
      <c r="B12" s="178"/>
      <c r="C12" s="179"/>
      <c r="D12" s="180">
        <v>120</v>
      </c>
      <c r="E12" s="181">
        <v>1.6666666666666667</v>
      </c>
      <c r="F12" s="172"/>
      <c r="G12" s="15">
        <v>200</v>
      </c>
    </row>
    <row r="13" spans="1:7" s="1" customFormat="1">
      <c r="A13" s="171" t="s">
        <v>638</v>
      </c>
      <c r="B13" s="178"/>
      <c r="C13" s="179"/>
      <c r="D13" s="180">
        <v>120</v>
      </c>
      <c r="E13" s="181">
        <v>1.6666666666666666E-2</v>
      </c>
      <c r="F13" s="172"/>
      <c r="G13" s="15">
        <v>2</v>
      </c>
    </row>
    <row r="14" spans="1:7" s="1" customFormat="1">
      <c r="A14" s="171" t="s">
        <v>639</v>
      </c>
      <c r="B14" s="178"/>
      <c r="C14" s="179"/>
      <c r="D14" s="180">
        <v>120</v>
      </c>
      <c r="E14" s="181">
        <v>4.166666666666667</v>
      </c>
      <c r="F14" s="172"/>
      <c r="G14" s="15">
        <v>500</v>
      </c>
    </row>
    <row r="15" spans="1:7" s="1" customFormat="1">
      <c r="A15" s="171" t="s">
        <v>640</v>
      </c>
      <c r="B15" s="178"/>
      <c r="C15" s="179"/>
      <c r="D15" s="180">
        <v>120</v>
      </c>
      <c r="E15" s="181">
        <v>2.9166666666666665</v>
      </c>
      <c r="F15" s="172"/>
      <c r="G15" s="15">
        <v>350</v>
      </c>
    </row>
    <row r="16" spans="1:7" s="1" customFormat="1">
      <c r="A16" s="171" t="s">
        <v>641</v>
      </c>
      <c r="B16" s="178"/>
      <c r="C16" s="179"/>
      <c r="D16" s="180">
        <v>120</v>
      </c>
      <c r="E16" s="181">
        <v>12.5</v>
      </c>
      <c r="F16" s="172"/>
      <c r="G16" s="15">
        <v>1500</v>
      </c>
    </row>
    <row r="17" spans="1:7" s="1" customFormat="1">
      <c r="A17" s="171" t="s">
        <v>642</v>
      </c>
      <c r="B17" s="178"/>
      <c r="C17" s="179"/>
      <c r="D17" s="180">
        <v>120</v>
      </c>
      <c r="E17" s="181">
        <v>10</v>
      </c>
      <c r="F17" s="172"/>
      <c r="G17" s="15">
        <v>1200</v>
      </c>
    </row>
    <row r="18" spans="1:7" s="1" customFormat="1">
      <c r="A18" s="171" t="s">
        <v>643</v>
      </c>
      <c r="B18" s="178"/>
      <c r="C18" s="179"/>
      <c r="D18" s="180">
        <v>120</v>
      </c>
      <c r="E18" s="181">
        <v>0.83333333333333337</v>
      </c>
      <c r="F18" s="172"/>
      <c r="G18" s="15">
        <v>100</v>
      </c>
    </row>
    <row r="19" spans="1:7" s="1" customFormat="1">
      <c r="A19" s="171" t="s">
        <v>644</v>
      </c>
      <c r="B19" s="178"/>
      <c r="C19" s="179"/>
      <c r="D19" s="180">
        <v>120</v>
      </c>
      <c r="E19" s="181">
        <v>0.83333333333333337</v>
      </c>
      <c r="F19" s="172"/>
      <c r="G19" s="15">
        <v>100</v>
      </c>
    </row>
    <row r="20" spans="1:7" s="1" customFormat="1">
      <c r="A20" s="171" t="s">
        <v>645</v>
      </c>
      <c r="B20" s="178"/>
      <c r="C20" s="179"/>
      <c r="D20" s="180">
        <v>120</v>
      </c>
      <c r="E20" s="181">
        <v>0.16666666666666666</v>
      </c>
      <c r="F20" s="172"/>
      <c r="G20" s="15">
        <v>20</v>
      </c>
    </row>
    <row r="21" spans="1:7" s="1" customFormat="1">
      <c r="B21" s="182"/>
      <c r="C21" s="182"/>
      <c r="D21" s="183"/>
      <c r="E21" s="184"/>
      <c r="F21" s="172"/>
      <c r="G21" s="15"/>
    </row>
    <row r="22" spans="1:7" s="1" customFormat="1">
      <c r="A22" s="168" t="s">
        <v>648</v>
      </c>
      <c r="B22" s="175" t="s">
        <v>321</v>
      </c>
      <c r="C22" s="175" t="s">
        <v>706</v>
      </c>
      <c r="D22" s="176" t="s">
        <v>160</v>
      </c>
      <c r="E22" s="177" t="s">
        <v>322</v>
      </c>
      <c r="F22" s="169"/>
      <c r="G22" s="170" t="s">
        <v>522</v>
      </c>
    </row>
    <row r="23" spans="1:7" s="1" customFormat="1">
      <c r="A23" s="171" t="s">
        <v>649</v>
      </c>
      <c r="B23" s="178"/>
      <c r="C23" s="179"/>
      <c r="D23" s="180">
        <v>120</v>
      </c>
      <c r="E23" s="181">
        <v>0.91666666666666663</v>
      </c>
      <c r="F23" s="172"/>
      <c r="G23" s="15">
        <v>110</v>
      </c>
    </row>
    <row r="24" spans="1:7" s="1" customFormat="1">
      <c r="A24" s="171" t="s">
        <v>650</v>
      </c>
      <c r="B24" s="178"/>
      <c r="C24" s="179"/>
      <c r="D24" s="180">
        <v>120</v>
      </c>
      <c r="E24" s="181">
        <v>3.9583333333333335</v>
      </c>
      <c r="F24" s="172"/>
      <c r="G24" s="15">
        <v>475</v>
      </c>
    </row>
    <row r="25" spans="1:7" s="1" customFormat="1">
      <c r="A25" s="171" t="s">
        <v>651</v>
      </c>
      <c r="B25" s="178"/>
      <c r="C25" s="179"/>
      <c r="D25" s="180">
        <v>120</v>
      </c>
      <c r="E25" s="181">
        <v>0.93333333333333335</v>
      </c>
      <c r="F25" s="172"/>
      <c r="G25" s="15">
        <v>112</v>
      </c>
    </row>
    <row r="26" spans="1:7" s="1" customFormat="1">
      <c r="A26" s="171" t="s">
        <v>652</v>
      </c>
      <c r="B26" s="178"/>
      <c r="C26" s="179"/>
      <c r="D26" s="180">
        <v>120</v>
      </c>
      <c r="E26" s="181">
        <v>0.5</v>
      </c>
      <c r="F26" s="172"/>
      <c r="G26" s="15">
        <v>60</v>
      </c>
    </row>
    <row r="27" spans="1:7" s="1" customFormat="1">
      <c r="A27" s="171" t="s">
        <v>653</v>
      </c>
      <c r="B27" s="178"/>
      <c r="C27" s="179"/>
      <c r="D27" s="180">
        <v>120</v>
      </c>
      <c r="E27" s="181">
        <v>3.6666666666666665</v>
      </c>
      <c r="F27" s="172"/>
      <c r="G27" s="15">
        <v>440</v>
      </c>
    </row>
    <row r="28" spans="1:7" s="1" customFormat="1">
      <c r="A28" s="171" t="s">
        <v>654</v>
      </c>
      <c r="B28" s="178"/>
      <c r="C28" s="179"/>
      <c r="D28" s="180">
        <v>120</v>
      </c>
      <c r="E28" s="181">
        <v>0.93333333333333335</v>
      </c>
      <c r="F28" s="172"/>
      <c r="G28" s="15">
        <v>112</v>
      </c>
    </row>
    <row r="29" spans="1:7" s="1" customFormat="1">
      <c r="B29" s="182"/>
      <c r="C29" s="182"/>
      <c r="D29" s="183"/>
      <c r="E29" s="184"/>
      <c r="F29" s="172"/>
      <c r="G29" s="15"/>
    </row>
    <row r="30" spans="1:7" s="1" customFormat="1">
      <c r="A30" s="168" t="s">
        <v>655</v>
      </c>
      <c r="B30" s="175" t="s">
        <v>321</v>
      </c>
      <c r="C30" s="175" t="s">
        <v>706</v>
      </c>
      <c r="D30" s="176" t="s">
        <v>160</v>
      </c>
      <c r="E30" s="177" t="s">
        <v>322</v>
      </c>
      <c r="F30" s="169"/>
      <c r="G30" s="170" t="s">
        <v>522</v>
      </c>
    </row>
    <row r="31" spans="1:7" s="1" customFormat="1">
      <c r="A31" s="171" t="s">
        <v>627</v>
      </c>
      <c r="B31" s="178"/>
      <c r="C31" s="179"/>
      <c r="D31" s="180">
        <v>120</v>
      </c>
      <c r="E31" s="181">
        <v>2.5</v>
      </c>
      <c r="F31" s="172"/>
      <c r="G31" s="15">
        <v>300</v>
      </c>
    </row>
    <row r="32" spans="1:7" s="1" customFormat="1">
      <c r="A32" s="171" t="s">
        <v>656</v>
      </c>
      <c r="B32" s="178"/>
      <c r="C32" s="179"/>
      <c r="D32" s="180">
        <v>120</v>
      </c>
      <c r="E32" s="181">
        <v>0.83333333333333337</v>
      </c>
      <c r="F32" s="172"/>
      <c r="G32" s="15">
        <v>100</v>
      </c>
    </row>
    <row r="33" spans="1:7" s="1" customFormat="1">
      <c r="A33" s="171" t="s">
        <v>657</v>
      </c>
      <c r="B33" s="178"/>
      <c r="C33" s="179"/>
      <c r="D33" s="180">
        <v>120</v>
      </c>
      <c r="E33" s="181">
        <v>0.83333333333333337</v>
      </c>
      <c r="F33" s="172"/>
      <c r="G33" s="15">
        <v>100</v>
      </c>
    </row>
    <row r="34" spans="1:7" s="1" customFormat="1">
      <c r="A34" s="171" t="s">
        <v>658</v>
      </c>
      <c r="B34" s="178"/>
      <c r="C34" s="179"/>
      <c r="D34" s="180">
        <v>120</v>
      </c>
      <c r="E34" s="181">
        <v>6.666666666666667</v>
      </c>
      <c r="F34" s="172"/>
      <c r="G34" s="15">
        <v>800</v>
      </c>
    </row>
    <row r="35" spans="1:7" s="1" customFormat="1">
      <c r="A35" s="171" t="s">
        <v>659</v>
      </c>
      <c r="B35" s="178"/>
      <c r="C35" s="179"/>
      <c r="D35" s="180">
        <v>120</v>
      </c>
      <c r="E35" s="181">
        <v>12.5</v>
      </c>
      <c r="F35" s="172"/>
      <c r="G35" s="15">
        <v>1500</v>
      </c>
    </row>
    <row r="36" spans="1:7" s="1" customFormat="1">
      <c r="A36" s="171" t="s">
        <v>660</v>
      </c>
      <c r="B36" s="178"/>
      <c r="C36" s="179"/>
      <c r="D36" s="180">
        <v>120</v>
      </c>
      <c r="E36" s="181">
        <v>1.2</v>
      </c>
      <c r="F36" s="172"/>
      <c r="G36" s="15">
        <v>144</v>
      </c>
    </row>
    <row r="37" spans="1:7" s="1" customFormat="1">
      <c r="A37" s="171" t="s">
        <v>661</v>
      </c>
      <c r="B37" s="178"/>
      <c r="C37" s="179"/>
      <c r="D37" s="180">
        <v>120</v>
      </c>
      <c r="E37" s="181">
        <v>5</v>
      </c>
      <c r="F37" s="172"/>
      <c r="G37" s="15">
        <v>600</v>
      </c>
    </row>
    <row r="38" spans="1:7" s="1" customFormat="1">
      <c r="A38" s="171" t="s">
        <v>662</v>
      </c>
      <c r="B38" s="178"/>
      <c r="C38" s="179"/>
      <c r="D38" s="180">
        <v>120</v>
      </c>
      <c r="E38" s="181">
        <v>4.166666666666667</v>
      </c>
      <c r="F38" s="172"/>
      <c r="G38" s="15">
        <v>500</v>
      </c>
    </row>
    <row r="39" spans="1:7" s="1" customFormat="1">
      <c r="A39" s="171" t="s">
        <v>663</v>
      </c>
      <c r="B39" s="178"/>
      <c r="C39" s="179"/>
      <c r="D39" s="180">
        <v>120</v>
      </c>
      <c r="E39" s="181">
        <v>6.25</v>
      </c>
      <c r="F39" s="172"/>
      <c r="G39" s="15">
        <v>750</v>
      </c>
    </row>
    <row r="40" spans="1:7" s="1" customFormat="1">
      <c r="A40" s="171" t="s">
        <v>664</v>
      </c>
      <c r="B40" s="178"/>
      <c r="C40" s="179"/>
      <c r="D40" s="180">
        <v>120</v>
      </c>
      <c r="E40" s="181">
        <v>11.666666666666666</v>
      </c>
      <c r="F40" s="172"/>
      <c r="G40" s="15">
        <v>1400</v>
      </c>
    </row>
    <row r="41" spans="1:7" s="1" customFormat="1">
      <c r="A41" s="171" t="s">
        <v>665</v>
      </c>
      <c r="B41" s="178"/>
      <c r="C41" s="179"/>
      <c r="D41" s="180">
        <v>120</v>
      </c>
      <c r="E41" s="181">
        <v>1</v>
      </c>
      <c r="F41" s="172"/>
      <c r="G41" s="15">
        <v>120</v>
      </c>
    </row>
    <row r="42" spans="1:7" s="1" customFormat="1">
      <c r="A42" s="171" t="s">
        <v>666</v>
      </c>
      <c r="B42" s="178"/>
      <c r="C42" s="179"/>
      <c r="D42" s="180">
        <v>120</v>
      </c>
      <c r="E42" s="181">
        <v>2.0833333333333335</v>
      </c>
      <c r="F42" s="172"/>
      <c r="G42" s="15">
        <v>250</v>
      </c>
    </row>
    <row r="43" spans="1:7" s="1" customFormat="1">
      <c r="A43" s="171" t="s">
        <v>667</v>
      </c>
      <c r="B43" s="178"/>
      <c r="C43" s="179"/>
      <c r="D43" s="180">
        <v>120</v>
      </c>
      <c r="E43" s="181">
        <v>17.5</v>
      </c>
      <c r="F43" s="172"/>
      <c r="G43" s="15">
        <v>2100</v>
      </c>
    </row>
    <row r="44" spans="1:7" s="1" customFormat="1">
      <c r="A44" s="171" t="s">
        <v>668</v>
      </c>
      <c r="B44" s="178"/>
      <c r="C44" s="179"/>
      <c r="D44" s="180">
        <v>120</v>
      </c>
      <c r="E44" s="181">
        <v>10.416666666666666</v>
      </c>
      <c r="F44" s="172"/>
      <c r="G44" s="15">
        <v>1250</v>
      </c>
    </row>
    <row r="45" spans="1:7" s="1" customFormat="1">
      <c r="A45" s="171" t="s">
        <v>669</v>
      </c>
      <c r="B45" s="178"/>
      <c r="C45" s="179"/>
      <c r="D45" s="180">
        <v>120</v>
      </c>
      <c r="E45" s="181">
        <v>12.5</v>
      </c>
      <c r="F45" s="172"/>
      <c r="G45" s="15">
        <v>1500</v>
      </c>
    </row>
    <row r="46" spans="1:7" s="1" customFormat="1">
      <c r="A46" s="171" t="s">
        <v>670</v>
      </c>
      <c r="B46" s="178"/>
      <c r="C46" s="179"/>
      <c r="D46" s="180">
        <v>120</v>
      </c>
      <c r="E46" s="181">
        <v>10</v>
      </c>
      <c r="F46" s="172"/>
      <c r="G46" s="15">
        <v>1200</v>
      </c>
    </row>
    <row r="47" spans="1:7" s="1" customFormat="1">
      <c r="B47" s="182"/>
      <c r="C47" s="182"/>
      <c r="D47" s="183"/>
      <c r="E47" s="184"/>
      <c r="F47" s="172"/>
      <c r="G47" s="15"/>
    </row>
    <row r="48" spans="1:7" s="1" customFormat="1">
      <c r="A48" s="168" t="s">
        <v>671</v>
      </c>
      <c r="B48" s="175" t="s">
        <v>321</v>
      </c>
      <c r="C48" s="175" t="s">
        <v>706</v>
      </c>
      <c r="D48" s="176" t="s">
        <v>160</v>
      </c>
      <c r="E48" s="177" t="s">
        <v>322</v>
      </c>
      <c r="F48" s="169"/>
      <c r="G48" s="170" t="s">
        <v>522</v>
      </c>
    </row>
    <row r="49" spans="1:7" s="1" customFormat="1">
      <c r="A49" s="171" t="s">
        <v>707</v>
      </c>
      <c r="B49" s="178"/>
      <c r="C49" s="179"/>
      <c r="D49" s="180">
        <v>120</v>
      </c>
      <c r="E49" s="181">
        <v>0.83333333333333337</v>
      </c>
      <c r="F49" s="172"/>
      <c r="G49" s="15">
        <v>100</v>
      </c>
    </row>
    <row r="50" spans="1:7" s="1" customFormat="1">
      <c r="A50" s="171" t="s">
        <v>708</v>
      </c>
      <c r="B50" s="178"/>
      <c r="C50" s="179"/>
      <c r="D50" s="180">
        <v>120</v>
      </c>
      <c r="E50" s="181">
        <v>0.5</v>
      </c>
      <c r="F50" s="172"/>
      <c r="G50" s="15">
        <v>60</v>
      </c>
    </row>
    <row r="51" spans="1:7" s="1" customFormat="1">
      <c r="A51" s="171" t="s">
        <v>709</v>
      </c>
      <c r="B51" s="178"/>
      <c r="C51" s="179"/>
      <c r="D51" s="180">
        <v>120</v>
      </c>
      <c r="E51" s="181">
        <v>0.13333333333333333</v>
      </c>
      <c r="F51" s="172"/>
      <c r="G51" s="15">
        <v>16</v>
      </c>
    </row>
    <row r="52" spans="1:7" s="1" customFormat="1">
      <c r="A52" s="171" t="s">
        <v>710</v>
      </c>
      <c r="B52" s="178"/>
      <c r="C52" s="179"/>
      <c r="D52" s="180">
        <v>120</v>
      </c>
      <c r="E52" s="181">
        <v>0.33333333333333331</v>
      </c>
      <c r="F52" s="172"/>
      <c r="G52" s="15">
        <v>40</v>
      </c>
    </row>
    <row r="53" spans="1:7" s="1" customFormat="1">
      <c r="A53" s="171" t="s">
        <v>711</v>
      </c>
      <c r="B53" s="178"/>
      <c r="C53" s="179"/>
      <c r="D53" s="180">
        <v>120</v>
      </c>
      <c r="E53" s="181">
        <v>9.166666666666666E-2</v>
      </c>
      <c r="F53" s="172"/>
      <c r="G53" s="15">
        <v>11</v>
      </c>
    </row>
    <row r="54" spans="1:7" s="1" customFormat="1">
      <c r="A54" s="15"/>
      <c r="B54" s="185"/>
      <c r="C54" s="185"/>
      <c r="D54" s="186"/>
      <c r="E54" s="184"/>
      <c r="F54" s="172"/>
      <c r="G54" s="15"/>
    </row>
    <row r="55" spans="1:7" s="1" customFormat="1">
      <c r="A55" s="168" t="s">
        <v>672</v>
      </c>
      <c r="B55" s="175" t="s">
        <v>321</v>
      </c>
      <c r="C55" s="175" t="s">
        <v>706</v>
      </c>
      <c r="D55" s="176" t="s">
        <v>160</v>
      </c>
      <c r="E55" s="177" t="s">
        <v>322</v>
      </c>
      <c r="F55" s="169"/>
      <c r="G55" s="170" t="s">
        <v>522</v>
      </c>
    </row>
    <row r="56" spans="1:7" s="1" customFormat="1">
      <c r="A56" s="171" t="s">
        <v>673</v>
      </c>
      <c r="B56" s="178"/>
      <c r="C56" s="179"/>
      <c r="D56" s="180">
        <v>120</v>
      </c>
      <c r="E56" s="181">
        <v>4.166666666666667</v>
      </c>
      <c r="F56" s="172"/>
      <c r="G56" s="15">
        <v>500</v>
      </c>
    </row>
    <row r="57" spans="1:7" s="1" customFormat="1">
      <c r="A57" s="171" t="s">
        <v>674</v>
      </c>
      <c r="B57" s="178"/>
      <c r="C57" s="179"/>
      <c r="D57" s="180">
        <v>120</v>
      </c>
      <c r="E57" s="181">
        <v>0.5</v>
      </c>
      <c r="F57" s="172"/>
      <c r="G57" s="15">
        <v>60</v>
      </c>
    </row>
    <row r="58" spans="1:7" s="1" customFormat="1">
      <c r="A58" s="171" t="s">
        <v>675</v>
      </c>
      <c r="B58" s="178"/>
      <c r="C58" s="179"/>
      <c r="D58" s="180">
        <v>120</v>
      </c>
      <c r="E58" s="181">
        <v>0.41666666666666669</v>
      </c>
      <c r="F58" s="172"/>
      <c r="G58" s="15">
        <v>50</v>
      </c>
    </row>
    <row r="59" spans="1:7" s="1" customFormat="1">
      <c r="B59" s="182"/>
      <c r="C59" s="182"/>
      <c r="D59" s="183"/>
      <c r="E59" s="184"/>
      <c r="F59" s="172"/>
      <c r="G59" s="15"/>
    </row>
    <row r="60" spans="1:7" s="1" customFormat="1">
      <c r="A60" s="168" t="s">
        <v>676</v>
      </c>
      <c r="B60" s="175" t="s">
        <v>321</v>
      </c>
      <c r="C60" s="175" t="s">
        <v>706</v>
      </c>
      <c r="D60" s="176" t="s">
        <v>160</v>
      </c>
      <c r="E60" s="177" t="s">
        <v>322</v>
      </c>
      <c r="F60" s="169"/>
      <c r="G60" s="170" t="s">
        <v>522</v>
      </c>
    </row>
    <row r="61" spans="1:7" s="1" customFormat="1">
      <c r="A61" s="171" t="s">
        <v>677</v>
      </c>
      <c r="B61" s="178"/>
      <c r="C61" s="179"/>
      <c r="D61" s="180">
        <v>120</v>
      </c>
      <c r="E61" s="181">
        <v>8.3333333333333329E-2</v>
      </c>
      <c r="F61" s="172"/>
      <c r="G61" s="15">
        <v>10</v>
      </c>
    </row>
    <row r="62" spans="1:7" s="1" customFormat="1">
      <c r="A62" s="171" t="s">
        <v>678</v>
      </c>
      <c r="B62" s="178"/>
      <c r="C62" s="179"/>
      <c r="D62" s="180">
        <v>120</v>
      </c>
      <c r="E62" s="181">
        <v>0.29166666666666669</v>
      </c>
      <c r="F62" s="172"/>
      <c r="G62" s="15">
        <v>35</v>
      </c>
    </row>
    <row r="63" spans="1:7" s="1" customFormat="1">
      <c r="A63" s="171" t="s">
        <v>679</v>
      </c>
      <c r="B63" s="178"/>
      <c r="C63" s="179"/>
      <c r="D63" s="180">
        <v>120</v>
      </c>
      <c r="E63" s="181">
        <v>0.2</v>
      </c>
      <c r="F63" s="172"/>
      <c r="G63" s="15">
        <v>24</v>
      </c>
    </row>
    <row r="64" spans="1:7" s="1" customFormat="1">
      <c r="A64" s="171" t="s">
        <v>680</v>
      </c>
      <c r="B64" s="178"/>
      <c r="C64" s="179"/>
      <c r="D64" s="180">
        <v>120</v>
      </c>
      <c r="E64" s="181">
        <v>0.125</v>
      </c>
      <c r="F64" s="172"/>
      <c r="G64" s="15">
        <v>15</v>
      </c>
    </row>
    <row r="65" spans="1:7" s="1" customFormat="1">
      <c r="A65" s="171" t="s">
        <v>681</v>
      </c>
      <c r="B65" s="178"/>
      <c r="C65" s="179"/>
      <c r="D65" s="180">
        <v>120</v>
      </c>
      <c r="E65" s="181">
        <v>8.3333333333333329E-2</v>
      </c>
      <c r="F65" s="172"/>
      <c r="G65" s="15">
        <v>10</v>
      </c>
    </row>
    <row r="66" spans="1:7" s="1" customFormat="1">
      <c r="A66" s="171" t="s">
        <v>682</v>
      </c>
      <c r="B66" s="178"/>
      <c r="C66" s="179"/>
      <c r="D66" s="180">
        <v>120</v>
      </c>
      <c r="E66" s="181">
        <v>0.375</v>
      </c>
      <c r="F66" s="172"/>
      <c r="G66" s="15">
        <v>45</v>
      </c>
    </row>
    <row r="67" spans="1:7" s="1" customFormat="1">
      <c r="A67" s="171" t="s">
        <v>683</v>
      </c>
      <c r="B67" s="178"/>
      <c r="C67" s="179"/>
      <c r="D67" s="180">
        <v>120</v>
      </c>
      <c r="E67" s="181">
        <v>0.33333333333333331</v>
      </c>
      <c r="F67" s="172"/>
      <c r="G67" s="15">
        <v>40</v>
      </c>
    </row>
    <row r="68" spans="1:7" s="1" customFormat="1">
      <c r="A68" s="171" t="s">
        <v>685</v>
      </c>
      <c r="B68" s="178"/>
      <c r="C68" s="179"/>
      <c r="D68" s="180">
        <v>120</v>
      </c>
      <c r="E68" s="181">
        <v>0.5</v>
      </c>
      <c r="F68" s="172"/>
      <c r="G68" s="15">
        <v>60</v>
      </c>
    </row>
    <row r="69" spans="1:7" s="1" customFormat="1">
      <c r="A69" s="171" t="s">
        <v>684</v>
      </c>
      <c r="B69" s="178"/>
      <c r="C69" s="179"/>
      <c r="D69" s="180">
        <v>120</v>
      </c>
      <c r="E69" s="181">
        <v>1.0833333333333333</v>
      </c>
      <c r="F69" s="172"/>
      <c r="G69" s="15">
        <v>130</v>
      </c>
    </row>
    <row r="70" spans="1:7" s="1" customFormat="1">
      <c r="A70" s="171" t="s">
        <v>686</v>
      </c>
      <c r="B70" s="178"/>
      <c r="C70" s="179"/>
      <c r="D70" s="180">
        <v>120</v>
      </c>
      <c r="E70" s="181">
        <v>2.5</v>
      </c>
      <c r="F70" s="172"/>
      <c r="G70" s="15">
        <v>300</v>
      </c>
    </row>
    <row r="71" spans="1:7" s="1" customFormat="1">
      <c r="A71" s="171" t="s">
        <v>687</v>
      </c>
      <c r="B71" s="178"/>
      <c r="C71" s="179"/>
      <c r="D71" s="180">
        <v>120</v>
      </c>
      <c r="E71" s="181">
        <v>0.33333333333333331</v>
      </c>
      <c r="F71" s="172"/>
      <c r="G71" s="15">
        <v>40</v>
      </c>
    </row>
    <row r="72" spans="1:7" s="1" customFormat="1">
      <c r="A72" s="171" t="s">
        <v>688</v>
      </c>
      <c r="B72" s="178"/>
      <c r="C72" s="179"/>
      <c r="D72" s="180">
        <v>120</v>
      </c>
      <c r="E72" s="181">
        <v>9.166666666666666E-2</v>
      </c>
      <c r="F72" s="172"/>
      <c r="G72" s="15">
        <v>11</v>
      </c>
    </row>
    <row r="73" spans="1:7" s="1" customFormat="1">
      <c r="B73" s="182"/>
      <c r="C73" s="182"/>
      <c r="D73" s="183"/>
      <c r="E73" s="184"/>
      <c r="F73" s="172"/>
      <c r="G73" s="15"/>
    </row>
    <row r="74" spans="1:7" s="1" customFormat="1">
      <c r="A74" s="168" t="s">
        <v>689</v>
      </c>
      <c r="B74" s="175" t="s">
        <v>321</v>
      </c>
      <c r="C74" s="175" t="s">
        <v>706</v>
      </c>
      <c r="D74" s="176" t="s">
        <v>160</v>
      </c>
      <c r="E74" s="177" t="s">
        <v>322</v>
      </c>
      <c r="F74" s="169"/>
      <c r="G74" s="170" t="s">
        <v>522</v>
      </c>
    </row>
    <row r="75" spans="1:7" s="1" customFormat="1">
      <c r="A75" s="171" t="s">
        <v>690</v>
      </c>
      <c r="B75" s="178"/>
      <c r="C75" s="179"/>
      <c r="D75" s="180">
        <v>120</v>
      </c>
      <c r="E75" s="181">
        <v>9.1666666666666661</v>
      </c>
      <c r="F75" s="172"/>
      <c r="G75" s="15">
        <v>1100</v>
      </c>
    </row>
    <row r="76" spans="1:7" s="1" customFormat="1">
      <c r="A76" s="171" t="s">
        <v>691</v>
      </c>
      <c r="B76" s="178"/>
      <c r="C76" s="179"/>
      <c r="D76" s="180">
        <v>120</v>
      </c>
      <c r="E76" s="181">
        <v>9.1666666666666661</v>
      </c>
      <c r="F76" s="172"/>
      <c r="G76" s="15">
        <v>1100</v>
      </c>
    </row>
    <row r="77" spans="1:7" s="1" customFormat="1">
      <c r="A77" s="171" t="s">
        <v>692</v>
      </c>
      <c r="B77" s="178"/>
      <c r="C77" s="179"/>
      <c r="D77" s="180">
        <v>120</v>
      </c>
      <c r="E77" s="181">
        <v>11.666666666666666</v>
      </c>
      <c r="F77" s="172"/>
      <c r="G77" s="15">
        <v>1400</v>
      </c>
    </row>
    <row r="78" spans="1:7" s="1" customFormat="1">
      <c r="A78" s="171" t="s">
        <v>693</v>
      </c>
      <c r="B78" s="178"/>
      <c r="C78" s="179"/>
      <c r="D78" s="180">
        <v>120</v>
      </c>
      <c r="E78" s="181">
        <v>10</v>
      </c>
      <c r="F78" s="172"/>
      <c r="G78" s="15">
        <v>1200</v>
      </c>
    </row>
    <row r="79" spans="1:7" s="1" customFormat="1">
      <c r="A79" s="171" t="s">
        <v>694</v>
      </c>
      <c r="B79" s="178"/>
      <c r="C79" s="179"/>
      <c r="D79" s="180">
        <v>120</v>
      </c>
      <c r="E79" s="181">
        <v>2.5</v>
      </c>
      <c r="F79" s="172"/>
      <c r="G79" s="15">
        <v>300</v>
      </c>
    </row>
    <row r="80" spans="1:7" s="1" customFormat="1">
      <c r="A80" s="171" t="s">
        <v>695</v>
      </c>
      <c r="B80" s="178"/>
      <c r="C80" s="179"/>
      <c r="D80" s="180">
        <v>120</v>
      </c>
      <c r="E80" s="181">
        <v>5</v>
      </c>
      <c r="F80" s="172"/>
      <c r="G80" s="15">
        <v>600</v>
      </c>
    </row>
    <row r="81" spans="1:8">
      <c r="A81" s="171" t="s">
        <v>696</v>
      </c>
      <c r="B81" s="178"/>
      <c r="C81" s="179"/>
      <c r="D81" s="180">
        <v>120</v>
      </c>
      <c r="E81" s="181">
        <v>8.3333333333333339</v>
      </c>
      <c r="F81" s="172"/>
      <c r="G81" s="15">
        <v>1000</v>
      </c>
      <c r="H81" s="1"/>
    </row>
    <row r="82" spans="1:8">
      <c r="A82" s="171" t="s">
        <v>697</v>
      </c>
      <c r="B82" s="178"/>
      <c r="C82" s="179"/>
      <c r="D82" s="180">
        <v>120</v>
      </c>
      <c r="E82" s="181">
        <v>12.5</v>
      </c>
      <c r="F82" s="172"/>
      <c r="G82" s="15">
        <v>1500</v>
      </c>
      <c r="H82" s="1"/>
    </row>
    <row r="83" spans="1:8">
      <c r="A83" s="171" t="s">
        <v>698</v>
      </c>
      <c r="B83" s="178"/>
      <c r="C83" s="179"/>
      <c r="D83" s="180">
        <v>120</v>
      </c>
      <c r="E83" s="181">
        <v>4.166666666666667</v>
      </c>
      <c r="F83" s="172"/>
      <c r="G83" s="15">
        <v>500</v>
      </c>
      <c r="H83" s="1"/>
    </row>
    <row r="84" spans="1:8">
      <c r="A84" s="1"/>
      <c r="B84" s="182"/>
      <c r="C84" s="182"/>
      <c r="E84" s="184"/>
      <c r="F84" s="172"/>
      <c r="G84" s="15"/>
      <c r="H84" s="1"/>
    </row>
    <row r="85" spans="1:8">
      <c r="A85" s="168" t="s">
        <v>699</v>
      </c>
      <c r="B85" s="175" t="s">
        <v>321</v>
      </c>
      <c r="C85" s="175" t="s">
        <v>706</v>
      </c>
      <c r="D85" s="176" t="s">
        <v>160</v>
      </c>
      <c r="E85" s="177" t="s">
        <v>322</v>
      </c>
      <c r="F85" s="169"/>
      <c r="G85" s="170" t="s">
        <v>522</v>
      </c>
      <c r="H85" s="1"/>
    </row>
    <row r="86" spans="1:8">
      <c r="A86" s="171" t="s">
        <v>700</v>
      </c>
      <c r="B86" s="178"/>
      <c r="C86" s="179"/>
      <c r="D86" s="180">
        <v>120</v>
      </c>
      <c r="E86" s="181">
        <v>2.5</v>
      </c>
      <c r="F86" s="172"/>
      <c r="G86" s="15">
        <v>300</v>
      </c>
      <c r="H86" s="1"/>
    </row>
    <row r="87" spans="1:8">
      <c r="A87" s="171" t="s">
        <v>701</v>
      </c>
      <c r="B87" s="178"/>
      <c r="C87" s="179"/>
      <c r="D87" s="180">
        <v>120</v>
      </c>
      <c r="E87" s="181">
        <v>0.83333333333333337</v>
      </c>
      <c r="F87" s="172"/>
      <c r="G87" s="15">
        <v>100</v>
      </c>
      <c r="H87" s="1"/>
    </row>
    <row r="88" spans="1:8">
      <c r="A88" s="171" t="s">
        <v>702</v>
      </c>
      <c r="B88" s="178"/>
      <c r="C88" s="179"/>
      <c r="D88" s="180">
        <v>120</v>
      </c>
      <c r="E88" s="181">
        <v>0.54166666666666663</v>
      </c>
      <c r="F88" s="172"/>
      <c r="G88" s="15">
        <v>65</v>
      </c>
      <c r="H88" s="1"/>
    </row>
    <row r="89" spans="1:8">
      <c r="A89" s="171" t="s">
        <v>703</v>
      </c>
      <c r="B89" s="178"/>
      <c r="C89" s="179"/>
      <c r="D89" s="178">
        <v>120</v>
      </c>
      <c r="E89" s="181">
        <v>8.3333333333333339</v>
      </c>
      <c r="F89" s="172"/>
      <c r="G89" s="15">
        <v>1000</v>
      </c>
      <c r="H89" s="1"/>
    </row>
    <row r="90" spans="1:8">
      <c r="A90" s="171" t="s">
        <v>704</v>
      </c>
      <c r="B90" s="178"/>
      <c r="C90" s="179"/>
      <c r="D90" s="178">
        <v>120</v>
      </c>
      <c r="E90" s="181">
        <v>0.29166666666666669</v>
      </c>
      <c r="F90" s="172"/>
      <c r="G90" s="15">
        <v>35</v>
      </c>
      <c r="H90" s="1"/>
    </row>
    <row r="91" spans="1:8">
      <c r="A91" s="171" t="s">
        <v>705</v>
      </c>
      <c r="B91" s="178"/>
      <c r="C91" s="179"/>
      <c r="D91" s="178">
        <v>120</v>
      </c>
      <c r="E91" s="181">
        <v>2.0833333333333335</v>
      </c>
      <c r="F91" s="172"/>
      <c r="G91" s="15">
        <v>250</v>
      </c>
    </row>
    <row r="92" spans="1:8">
      <c r="A92" s="173" t="s">
        <v>712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ED8B1-287D-495C-BDBE-20F2BEBE4292}">
  <sheetPr codeName="Hoja5"/>
  <dimension ref="A1:N4"/>
  <sheetViews>
    <sheetView tabSelected="1" workbookViewId="0"/>
  </sheetViews>
  <sheetFormatPr baseColWidth="10" defaultRowHeight="14.25"/>
  <cols>
    <col min="1" max="1" width="24" bestFit="1" customWidth="1"/>
    <col min="2" max="5" width="11" customWidth="1"/>
    <col min="9" max="9" width="15" bestFit="1" customWidth="1"/>
  </cols>
  <sheetData>
    <row r="1" spans="1:14" ht="15" thickBot="1">
      <c r="A1" s="17" t="s">
        <v>25</v>
      </c>
      <c r="B1" s="17" t="s">
        <v>521</v>
      </c>
      <c r="D1" s="17" t="s">
        <v>510</v>
      </c>
      <c r="E1" s="17" t="s">
        <v>522</v>
      </c>
      <c r="H1" s="17" t="s">
        <v>520</v>
      </c>
      <c r="I1" s="17" t="s">
        <v>194</v>
      </c>
      <c r="K1" s="109" t="s">
        <v>534</v>
      </c>
      <c r="L1" s="17" t="s">
        <v>535</v>
      </c>
      <c r="M1" s="26" t="s">
        <v>536</v>
      </c>
      <c r="N1" s="26" t="s">
        <v>385</v>
      </c>
    </row>
    <row r="2" spans="1:14">
      <c r="A2" t="str">
        <f>+C2&amp;D2&amp;"Cristalino "&amp;E2&amp;"W"</f>
        <v>Panel PoliCristalino 345W</v>
      </c>
      <c r="B2" t="s">
        <v>517</v>
      </c>
      <c r="C2" s="17" t="s">
        <v>523</v>
      </c>
      <c r="D2" s="17" t="s">
        <v>528</v>
      </c>
      <c r="E2">
        <v>345</v>
      </c>
      <c r="F2">
        <v>144</v>
      </c>
      <c r="G2" t="s">
        <v>516</v>
      </c>
      <c r="H2" s="101">
        <v>1188</v>
      </c>
      <c r="I2" s="113">
        <f>+H2*E2</f>
        <v>409860</v>
      </c>
      <c r="J2" s="17" t="s">
        <v>483</v>
      </c>
      <c r="K2" s="110">
        <v>37.700000000000003</v>
      </c>
      <c r="L2" s="17">
        <v>9.15</v>
      </c>
      <c r="M2" s="17">
        <v>46.4</v>
      </c>
      <c r="N2" s="17">
        <v>9.6199999999999992</v>
      </c>
    </row>
    <row r="3" spans="1:14" ht="15" thickBot="1">
      <c r="A3" t="str">
        <f>+C3&amp;D3&amp;"Cristalino "&amp;E3&amp;"W"</f>
        <v>Panel MonoCristalino 385W</v>
      </c>
      <c r="B3" t="s">
        <v>518</v>
      </c>
      <c r="C3" s="17" t="s">
        <v>523</v>
      </c>
      <c r="D3" s="17" t="s">
        <v>529</v>
      </c>
      <c r="E3">
        <v>385</v>
      </c>
      <c r="F3">
        <v>144</v>
      </c>
      <c r="G3" t="s">
        <v>516</v>
      </c>
      <c r="H3" s="101">
        <v>1208</v>
      </c>
      <c r="I3" s="113">
        <f>+H3*E3</f>
        <v>465080</v>
      </c>
      <c r="J3" s="17" t="s">
        <v>483</v>
      </c>
      <c r="K3" s="111">
        <v>40.1</v>
      </c>
      <c r="L3">
        <v>9.61</v>
      </c>
      <c r="M3">
        <v>48.5</v>
      </c>
      <c r="N3">
        <v>10.029999999999999</v>
      </c>
    </row>
    <row r="4" spans="1:14" ht="15" thickBot="1">
      <c r="A4" t="str">
        <f>+C4&amp;D4&amp;"Cristalino "&amp;E4&amp;"W"</f>
        <v>Panel MonoCristalino 400W</v>
      </c>
      <c r="B4" t="s">
        <v>519</v>
      </c>
      <c r="C4" s="17" t="s">
        <v>523</v>
      </c>
      <c r="D4" s="17" t="s">
        <v>529</v>
      </c>
      <c r="E4">
        <v>400</v>
      </c>
      <c r="F4">
        <v>144</v>
      </c>
      <c r="G4" t="s">
        <v>516</v>
      </c>
      <c r="H4" s="101">
        <v>1270</v>
      </c>
      <c r="I4" s="113">
        <f>+H4*E4</f>
        <v>508000</v>
      </c>
      <c r="J4" s="17" t="s">
        <v>483</v>
      </c>
      <c r="K4" s="112">
        <v>41.1</v>
      </c>
      <c r="L4">
        <v>9.74</v>
      </c>
      <c r="M4">
        <v>50.4</v>
      </c>
      <c r="N4">
        <v>10.18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IrMenu">
                <anchor moveWithCells="1" sizeWithCells="1">
                  <from>
                    <xdr:col>15</xdr:col>
                    <xdr:colOff>0</xdr:colOff>
                    <xdr:row>0</xdr:row>
                    <xdr:rowOff>114300</xdr:rowOff>
                  </from>
                  <to>
                    <xdr:col>17</xdr:col>
                    <xdr:colOff>152400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/>
  <dimension ref="A1:M119"/>
  <sheetViews>
    <sheetView topLeftCell="A70" zoomScaleNormal="100" workbookViewId="0">
      <selection activeCell="B87" sqref="B87"/>
    </sheetView>
  </sheetViews>
  <sheetFormatPr baseColWidth="10" defaultRowHeight="14.25"/>
  <cols>
    <col min="1" max="1" width="33" bestFit="1" customWidth="1"/>
    <col min="2" max="2" width="16.625" bestFit="1" customWidth="1"/>
    <col min="3" max="3" width="23" customWidth="1"/>
    <col min="4" max="4" width="20.25" customWidth="1"/>
    <col min="5" max="5" width="27.75" customWidth="1"/>
    <col min="6" max="6" width="18.5" customWidth="1"/>
    <col min="7" max="7" width="20" customWidth="1"/>
    <col min="8" max="8" width="20.375" customWidth="1"/>
    <col min="9" max="9" width="17.375" bestFit="1" customWidth="1"/>
    <col min="10" max="10" width="11.625" bestFit="1" customWidth="1"/>
  </cols>
  <sheetData>
    <row r="1" spans="1:7">
      <c r="A1" s="19" t="s">
        <v>178</v>
      </c>
      <c r="B1" s="23">
        <f>(SUM('Datos de Entrada (On Grid)'!D25:D36)/COUNTA('Datos de Entrada (On Grid)'!D25:D36))*12</f>
        <v>10200</v>
      </c>
      <c r="C1" s="19" t="s">
        <v>179</v>
      </c>
    </row>
    <row r="2" spans="1:7">
      <c r="A2" s="19" t="s">
        <v>177</v>
      </c>
      <c r="B2" s="657">
        <f>B1/365</f>
        <v>27.945205479452056</v>
      </c>
      <c r="C2" s="19" t="s">
        <v>180</v>
      </c>
    </row>
    <row r="3" spans="1:7" ht="15.75">
      <c r="A3" s="19" t="s">
        <v>181</v>
      </c>
      <c r="B3" s="159">
        <f>'Datos de Entrada (On Grid)'!D37</f>
        <v>1</v>
      </c>
      <c r="C3" s="18"/>
      <c r="F3" s="522" t="s">
        <v>2136</v>
      </c>
    </row>
    <row r="4" spans="1:7">
      <c r="A4" s="19" t="s">
        <v>182</v>
      </c>
      <c r="B4" s="656">
        <f>B3*B2</f>
        <v>27.945205479452056</v>
      </c>
      <c r="C4" s="19" t="s">
        <v>180</v>
      </c>
    </row>
    <row r="5" spans="1:7">
      <c r="A5" s="19" t="s">
        <v>183</v>
      </c>
      <c r="B5" s="656">
        <f>VLOOKUP('Datos de Entrada (On Grid)'!G6,'Datos Equipos'!B192:D205,3,FALSE)</f>
        <v>4.4184833333333327</v>
      </c>
      <c r="C5" s="19"/>
    </row>
    <row r="6" spans="1:7">
      <c r="A6" s="19" t="s">
        <v>184</v>
      </c>
      <c r="B6" s="656">
        <f>+B4/B5/B7/B8/B9</f>
        <v>8.1974120388115601</v>
      </c>
      <c r="C6" s="19" t="s">
        <v>187</v>
      </c>
    </row>
    <row r="7" spans="1:7">
      <c r="A7" s="19" t="s">
        <v>1068</v>
      </c>
      <c r="B7" s="25">
        <f>+'Datos de Entrada (On Grid)'!G29</f>
        <v>0.97</v>
      </c>
      <c r="C7" s="19"/>
    </row>
    <row r="8" spans="1:7">
      <c r="A8" s="19" t="s">
        <v>185</v>
      </c>
      <c r="B8" s="25">
        <v>0.82</v>
      </c>
      <c r="C8" s="19"/>
    </row>
    <row r="9" spans="1:7">
      <c r="A9" s="19" t="s">
        <v>186</v>
      </c>
      <c r="B9" s="25">
        <v>0.97</v>
      </c>
      <c r="C9" s="19"/>
    </row>
    <row r="10" spans="1:7">
      <c r="A10" s="19" t="s">
        <v>188</v>
      </c>
      <c r="B10" s="24">
        <f>VLOOKUP('Datos de Entrada (On Grid)'!G20,'Datos Equipos'!B9:G24,6,FALSE)</f>
        <v>585</v>
      </c>
      <c r="C10" s="19" t="s">
        <v>189</v>
      </c>
      <c r="D10" s="17"/>
      <c r="E10" s="19" t="s">
        <v>208</v>
      </c>
      <c r="F10" s="18">
        <f>+B23*2*1.2</f>
        <v>33.6</v>
      </c>
      <c r="G10" s="19" t="s">
        <v>209</v>
      </c>
    </row>
    <row r="11" spans="1:7">
      <c r="A11" s="19" t="s">
        <v>1213</v>
      </c>
      <c r="B11" s="24" t="e">
        <f>+VLOOKUP('Datos de Entrada (On Grid)'!G23,'Precios E&amp;M'!A141:H149,7,FALSE)</f>
        <v>#N/A</v>
      </c>
      <c r="C11" s="19" t="s">
        <v>513</v>
      </c>
      <c r="D11" s="17"/>
      <c r="E11" s="26"/>
      <c r="F11" s="16"/>
      <c r="G11" s="26"/>
    </row>
    <row r="12" spans="1:7">
      <c r="A12" s="19" t="s">
        <v>1214</v>
      </c>
      <c r="B12" s="24" t="e">
        <f>+VLOOKUP('Datos de Entrada (On Grid)'!G23,'Precios E&amp;M'!A141:H149,8,FALSE)</f>
        <v>#N/A</v>
      </c>
      <c r="C12" s="19" t="s">
        <v>515</v>
      </c>
      <c r="D12" s="17"/>
      <c r="E12" s="26"/>
      <c r="F12" s="16"/>
      <c r="G12" s="26"/>
    </row>
    <row r="13" spans="1:7">
      <c r="A13" s="19" t="s">
        <v>1215</v>
      </c>
      <c r="B13" s="24" t="e">
        <f>+ROUNDUP(IF('Datos de Entrada (On Grid)'!G23="No Aplica",0,('Datos de Entrada (On Grid)'!D25/(30)*'Datos de Entrada (On Grid)'!$G$26)/(VLOOKUP('Datos de Entrada (On Grid)'!G23,'Precios E&amp;M'!A141:H149,3,FALSE)*B11*B12*0.8*0.95/1000)),0)</f>
        <v>#N/A</v>
      </c>
      <c r="C13" s="19"/>
      <c r="D13" s="17"/>
      <c r="E13" s="26"/>
      <c r="F13" s="16"/>
      <c r="G13" s="26"/>
    </row>
    <row r="14" spans="1:7">
      <c r="A14" s="19" t="s">
        <v>2406</v>
      </c>
      <c r="B14" s="24">
        <f>+VLOOKUP('Datos de Entrada (On Grid)'!G20,'Datos Equipos'!B9:N24,7,FALSE)</f>
        <v>52.36</v>
      </c>
      <c r="C14" s="19"/>
      <c r="D14" s="17"/>
      <c r="E14" s="26"/>
      <c r="F14" s="16"/>
      <c r="G14" s="26"/>
    </row>
    <row r="15" spans="1:7">
      <c r="A15" s="19" t="s">
        <v>2411</v>
      </c>
      <c r="B15" s="24">
        <f>+VLOOKUP('Datos de Entrada (On Grid)'!G20,'Datos Equipos'!B9:N24,8,FALSE)</f>
        <v>14.27</v>
      </c>
      <c r="C15" s="19"/>
      <c r="D15" s="17"/>
      <c r="E15" s="26"/>
      <c r="F15" s="16"/>
      <c r="G15" s="26"/>
    </row>
    <row r="16" spans="1:7">
      <c r="A16" s="19" t="s">
        <v>2409</v>
      </c>
      <c r="B16" s="24">
        <f>+B14*B23/B31</f>
        <v>366.52</v>
      </c>
      <c r="C16" s="19"/>
      <c r="D16" s="17"/>
      <c r="E16" s="26"/>
      <c r="F16" s="16"/>
      <c r="G16" s="26"/>
    </row>
    <row r="17" spans="1:10" ht="15" thickBot="1">
      <c r="A17" s="19" t="s">
        <v>2408</v>
      </c>
      <c r="B17" s="24">
        <f>+VLOOKUP('Datos de Entrada (On Grid)'!G22,Tabla102227[#All],15,FALSE)</f>
        <v>150</v>
      </c>
      <c r="C17" s="19"/>
      <c r="D17" s="17"/>
      <c r="E17" s="26"/>
      <c r="F17" s="16"/>
      <c r="G17" s="26"/>
    </row>
    <row r="18" spans="1:10" ht="15.75" thickBot="1">
      <c r="A18" s="19" t="s">
        <v>2410</v>
      </c>
      <c r="B18" s="24">
        <f>+VLOOKUP('Datos de Entrada (On Grid)'!G22,Tabla102227[#All],16,FALSE)</f>
        <v>600</v>
      </c>
      <c r="C18" s="19"/>
      <c r="D18" s="17"/>
      <c r="E18" s="26"/>
      <c r="F18" s="267" t="s">
        <v>920</v>
      </c>
      <c r="G18" s="842" t="s">
        <v>921</v>
      </c>
      <c r="H18" s="842" t="s">
        <v>922</v>
      </c>
      <c r="I18" s="842" t="s">
        <v>923</v>
      </c>
      <c r="J18" s="843"/>
    </row>
    <row r="19" spans="1:10" ht="15.75">
      <c r="A19" s="19" t="s">
        <v>2412</v>
      </c>
      <c r="B19" s="24">
        <f>+VLOOKUP('Datos de Entrada (On Grid)'!G22,Tabla102227[#All],7,FALSE)</f>
        <v>34</v>
      </c>
      <c r="C19" s="19"/>
      <c r="D19" s="17"/>
      <c r="E19" s="26"/>
      <c r="F19" s="263" t="s">
        <v>159</v>
      </c>
      <c r="G19" s="264">
        <f>B35</f>
        <v>0</v>
      </c>
      <c r="H19" s="269"/>
      <c r="I19" s="265">
        <f>G19-H19</f>
        <v>0</v>
      </c>
      <c r="J19" s="266">
        <f>I19</f>
        <v>0</v>
      </c>
    </row>
    <row r="20" spans="1:10" ht="15.75">
      <c r="A20" s="19" t="s">
        <v>2413</v>
      </c>
      <c r="B20" s="656">
        <f>+B15/B19</f>
        <v>0.41970588235294115</v>
      </c>
      <c r="C20" s="19"/>
      <c r="D20" s="17"/>
      <c r="E20" s="26"/>
      <c r="F20" s="257" t="s">
        <v>924</v>
      </c>
      <c r="G20" s="255">
        <f>B36</f>
        <v>0</v>
      </c>
      <c r="H20" s="269"/>
      <c r="I20" s="256">
        <f>G20-H20</f>
        <v>0</v>
      </c>
      <c r="J20" s="258">
        <f>I20</f>
        <v>0</v>
      </c>
    </row>
    <row r="21" spans="1:10" ht="15.75">
      <c r="A21" s="19" t="s">
        <v>2414</v>
      </c>
      <c r="B21" s="656">
        <f>+B16/B18</f>
        <v>0.61086666666666667</v>
      </c>
      <c r="C21" s="19"/>
      <c r="D21" s="17"/>
      <c r="E21" s="26"/>
      <c r="F21" s="257" t="s">
        <v>200</v>
      </c>
      <c r="G21" s="255">
        <f>B48</f>
        <v>0</v>
      </c>
      <c r="H21" s="269"/>
      <c r="I21" s="256">
        <f>G21-H21</f>
        <v>0</v>
      </c>
      <c r="J21" s="258">
        <f>I21</f>
        <v>0</v>
      </c>
    </row>
    <row r="22" spans="1:10" ht="15.75">
      <c r="A22" s="19" t="s">
        <v>2415</v>
      </c>
      <c r="B22" s="656">
        <f>+B17/B16</f>
        <v>0.4092546109352832</v>
      </c>
      <c r="C22" s="19"/>
      <c r="D22" s="17"/>
      <c r="E22" s="26"/>
      <c r="F22" s="259" t="s">
        <v>925</v>
      </c>
      <c r="G22" s="255">
        <f>B47</f>
        <v>0</v>
      </c>
      <c r="H22" s="269"/>
      <c r="I22" s="256">
        <f>G22-H22</f>
        <v>0</v>
      </c>
      <c r="J22" s="258">
        <f>I22</f>
        <v>0</v>
      </c>
    </row>
    <row r="23" spans="1:10" ht="15.75" thickBot="1">
      <c r="A23" s="19" t="s">
        <v>190</v>
      </c>
      <c r="B23" s="848">
        <f>IF('Datos de Entrada (On Grid)'!G21="Microinversor",ROUND(B6*1000/B10,0),ROUND(B6*1000/B10,0))</f>
        <v>14</v>
      </c>
      <c r="C23" s="849"/>
      <c r="D23" s="16"/>
      <c r="F23" s="268" t="s">
        <v>277</v>
      </c>
      <c r="G23" s="260">
        <f>SUM(G19:G22)</f>
        <v>0</v>
      </c>
      <c r="H23" s="261">
        <f>SUM(H19:H22)</f>
        <v>0</v>
      </c>
      <c r="I23" s="261">
        <f>G23-H23</f>
        <v>0</v>
      </c>
      <c r="J23" s="262">
        <f>I23</f>
        <v>0</v>
      </c>
    </row>
    <row r="24" spans="1:10">
      <c r="A24" s="19" t="s">
        <v>191</v>
      </c>
      <c r="B24" s="24">
        <f>B23*B10</f>
        <v>8190</v>
      </c>
      <c r="C24" s="834">
        <f>+B24/1000</f>
        <v>8.19</v>
      </c>
      <c r="D24" s="833">
        <f>+ROUND(C24,1)</f>
        <v>8.1999999999999993</v>
      </c>
    </row>
    <row r="25" spans="1:10">
      <c r="A25" s="19" t="s">
        <v>192</v>
      </c>
      <c r="B25" s="850">
        <f>VLOOKUP('Datos de Entrada (On Grid)'!G22,'Datos Equipos'!B28:D77,3,FALSE)</f>
        <v>8000</v>
      </c>
      <c r="C25" s="851" t="s">
        <v>189</v>
      </c>
      <c r="D25" s="26"/>
    </row>
    <row r="26" spans="1:10">
      <c r="A26" s="19" t="s">
        <v>193</v>
      </c>
      <c r="B26" s="24">
        <f>IF('Datos de Entrada (On Grid)'!G21="Microinversor",'Calculos (On Grid)'!B23/VLOOKUP('Datos de Entrada (On Grid)'!G22,'Datos Equipos'!B28:L77,4,FALSE),'Calculos (On Grid)'!B24/VLOOKUP('Datos de Entrada (On Grid)'!G22,'Datos Equipos'!B28:D77,3,FALSE))</f>
        <v>1.0237499999999999</v>
      </c>
      <c r="C26" s="19">
        <f>+IF('Datos de Entrada (On Grid)'!G21="Microinversor",ROUNDUP(B26,0),IF(B26&lt;0.9,1,ROUNDUP(B26/1.38,0)))</f>
        <v>1</v>
      </c>
    </row>
    <row r="27" spans="1:10" hidden="1">
      <c r="A27" s="19" t="s">
        <v>204</v>
      </c>
      <c r="B27" s="24">
        <f>+IF('Datos de Entrada (On Grid)'!$G$21="Microinversor",'Historico costos proyectos'!AB25,IF('Datos de Entrada (On Grid)'!$G$21="Inversor",'Historico costos proyectos'!AB26,'Historico costos proyectos'!AB27))</f>
        <v>0.31006152606857562</v>
      </c>
      <c r="C27" s="18"/>
    </row>
    <row r="28" spans="1:10">
      <c r="A28" s="19" t="s">
        <v>297</v>
      </c>
      <c r="B28" s="24">
        <f>IF('Datos de Entrada (On Grid)'!G25="IMC (Exterior)",'Calculos (On Grid)'!B29,IF('Calculos (On Grid)'!B23&lt;=10,'Calculos (On Grid)'!B29+1,'Calculos (On Grid)'!B29))</f>
        <v>4</v>
      </c>
      <c r="C28" s="18"/>
    </row>
    <row r="29" spans="1:10">
      <c r="A29" s="19" t="s">
        <v>296</v>
      </c>
      <c r="B29" s="24">
        <f>+(ROUNDUP(IF(B23&lt;=10,2,IF(B23&lt;=20,CEILING((1/3)*B23+(1/3),1),_xlfn.CEILING.MATH(0.15*B23+6)))*(3)/(F47+F48),0))</f>
        <v>4</v>
      </c>
      <c r="C29" s="18" t="s">
        <v>281</v>
      </c>
    </row>
    <row r="30" spans="1:10" ht="15">
      <c r="A30" s="19" t="s">
        <v>1040</v>
      </c>
      <c r="B30" s="24">
        <f>+C26*B25</f>
        <v>8000</v>
      </c>
      <c r="C30" s="240"/>
      <c r="E30" s="282"/>
      <c r="F30" s="284"/>
      <c r="G30" s="27"/>
      <c r="H30" s="27"/>
      <c r="I30" s="27"/>
    </row>
    <row r="31" spans="1:10">
      <c r="A31" s="19" t="s">
        <v>625</v>
      </c>
      <c r="B31" s="24">
        <f>(VLOOKUP('Datos de Entrada (On Grid)'!G22,'Datos Equipos'!B28:L77,4,FALSE)*C26)</f>
        <v>2</v>
      </c>
      <c r="C31" s="240"/>
    </row>
    <row r="32" spans="1:10">
      <c r="A32" s="19" t="s">
        <v>626</v>
      </c>
      <c r="B32" s="24">
        <f>+B30/B31</f>
        <v>4000</v>
      </c>
      <c r="C32" s="16"/>
    </row>
    <row r="34" spans="1:9" ht="15">
      <c r="A34" s="1233"/>
      <c r="B34" s="1233"/>
    </row>
    <row r="35" spans="1:9" ht="15">
      <c r="A35" s="26"/>
      <c r="B35" s="939"/>
      <c r="C35" s="881"/>
      <c r="D35" s="241" t="s">
        <v>911</v>
      </c>
      <c r="E35" s="242" t="e">
        <f>+(B75+B76+B77)/F96</f>
        <v>#N/A</v>
      </c>
      <c r="F35" s="243" t="s">
        <v>912</v>
      </c>
      <c r="H35" s="293" t="s">
        <v>1293</v>
      </c>
    </row>
    <row r="36" spans="1:9">
      <c r="A36" s="26"/>
      <c r="B36" s="939"/>
      <c r="C36" s="881"/>
      <c r="F36" s="22"/>
      <c r="H36" s="292"/>
      <c r="I36" s="57"/>
    </row>
    <row r="37" spans="1:9">
      <c r="A37" s="26"/>
      <c r="B37" s="939"/>
      <c r="C37" s="881"/>
      <c r="D37" s="19" t="s">
        <v>911</v>
      </c>
      <c r="E37" s="59" t="e">
        <f>+(B75+B76)/F96</f>
        <v>#N/A</v>
      </c>
      <c r="F37" s="243" t="s">
        <v>913</v>
      </c>
      <c r="H37" s="17"/>
      <c r="I37" s="57"/>
    </row>
    <row r="38" spans="1:9" ht="15">
      <c r="A38" s="940"/>
      <c r="B38" s="939"/>
      <c r="C38" s="881"/>
      <c r="E38" s="22"/>
      <c r="F38" s="22"/>
      <c r="H38" s="17" t="s">
        <v>1294</v>
      </c>
      <c r="I38" s="57">
        <f>+'Datos Equipos'!C105*4*'Datos de Entrada (On Grid)'!G37*VLOOKUP('Datos de Entrada (On Grid)'!G22,'Datos Equipos'!B28:N77,4,FALSE)*C26/IF('Datos de Entrada (On Grid)'!G21="Microinversor",'Calculos (On Grid)'!C26,1)</f>
        <v>327583.2</v>
      </c>
    </row>
    <row r="39" spans="1:9" ht="15">
      <c r="A39" s="940"/>
      <c r="B39" s="939"/>
      <c r="C39" s="881"/>
      <c r="F39" s="22"/>
      <c r="H39" s="17" t="s">
        <v>1295</v>
      </c>
      <c r="I39" s="831">
        <f>+IF(B30&gt;20000,(130000*LN(B30/1000) - 373064),35000)*'Datos de Entrada (On Grid)'!G38</f>
        <v>350000</v>
      </c>
    </row>
    <row r="40" spans="1:9" ht="15">
      <c r="A40" s="26"/>
      <c r="B40" s="939"/>
      <c r="C40" s="937"/>
      <c r="F40" s="22"/>
      <c r="H40" s="17" t="s">
        <v>1296</v>
      </c>
      <c r="I40" s="57">
        <f>+IF(B30&gt;10000,IF(B30&gt;60000,67000*'Datos de Entrada (On Grid)'!G38,30000*'Datos de Entrada (On Grid)'!G38),15000*'Datos de Entrada (On Grid)'!G38)*1.2</f>
        <v>180000</v>
      </c>
    </row>
    <row r="41" spans="1:9" ht="15">
      <c r="A41" s="940"/>
      <c r="B41" s="939"/>
      <c r="C41" s="937"/>
      <c r="F41" s="22"/>
      <c r="H41" s="17" t="s">
        <v>2883</v>
      </c>
      <c r="I41" s="831">
        <f>+VLOOKUP('Datos de Entrada (On Grid)'!G25,'Datos Equipos'!B185:C188,2,FALSE)*'Datos de Entrada (On Grid)'!G38</f>
        <v>500000</v>
      </c>
    </row>
    <row r="42" spans="1:9" ht="15">
      <c r="A42" s="940"/>
      <c r="B42" s="939"/>
      <c r="C42" s="881"/>
      <c r="F42" s="22"/>
    </row>
    <row r="43" spans="1:9" ht="15">
      <c r="A43" s="940"/>
      <c r="B43" s="939"/>
      <c r="C43" s="881"/>
    </row>
    <row r="44" spans="1:9" ht="15">
      <c r="A44" s="870"/>
      <c r="B44" s="939"/>
      <c r="C44" s="881"/>
      <c r="F44" s="22"/>
    </row>
    <row r="45" spans="1:9" ht="15">
      <c r="A45" s="870"/>
      <c r="B45" s="941"/>
      <c r="C45" s="938"/>
      <c r="F45" s="22"/>
    </row>
    <row r="46" spans="1:9" ht="15">
      <c r="A46" s="26"/>
      <c r="B46" s="27"/>
      <c r="C46" s="938"/>
      <c r="D46" s="283"/>
      <c r="E46" s="20" t="s">
        <v>36</v>
      </c>
      <c r="I46" s="22"/>
    </row>
    <row r="47" spans="1:9">
      <c r="A47" s="26"/>
      <c r="B47" s="27"/>
      <c r="C47" s="938"/>
      <c r="D47" s="57"/>
      <c r="E47" s="55" t="s">
        <v>275</v>
      </c>
      <c r="F47" s="658">
        <v>2</v>
      </c>
      <c r="I47" s="22"/>
    </row>
    <row r="48" spans="1:9">
      <c r="A48" s="26"/>
      <c r="B48" s="27"/>
      <c r="C48" s="938"/>
      <c r="D48" s="57"/>
      <c r="E48" s="55" t="s">
        <v>276</v>
      </c>
      <c r="F48" s="658">
        <v>2</v>
      </c>
      <c r="H48" s="21"/>
      <c r="I48" s="22"/>
    </row>
    <row r="49" spans="1:9">
      <c r="A49" s="942"/>
      <c r="B49" s="27"/>
      <c r="C49" s="938"/>
      <c r="D49" s="57"/>
      <c r="E49" s="55" t="s">
        <v>3818</v>
      </c>
      <c r="F49" s="243">
        <v>100000</v>
      </c>
      <c r="G49" s="22"/>
      <c r="I49" s="22"/>
    </row>
    <row r="50" spans="1:9">
      <c r="A50" s="26"/>
      <c r="B50" s="27"/>
      <c r="D50" s="549"/>
      <c r="E50" s="55" t="s">
        <v>3819</v>
      </c>
      <c r="F50" s="243">
        <v>80000</v>
      </c>
      <c r="G50" s="853"/>
      <c r="I50" s="22"/>
    </row>
    <row r="51" spans="1:9" ht="15">
      <c r="A51" s="26"/>
      <c r="B51" s="27"/>
      <c r="D51" s="549"/>
      <c r="E51" s="225" t="s">
        <v>273</v>
      </c>
      <c r="F51" s="243">
        <f>F49*F48*B28</f>
        <v>800000</v>
      </c>
      <c r="G51" s="853"/>
      <c r="I51" s="22"/>
    </row>
    <row r="52" spans="1:9" ht="15">
      <c r="A52" s="26"/>
      <c r="B52" s="27"/>
      <c r="C52" s="938"/>
      <c r="D52" s="549"/>
      <c r="E52" s="225" t="s">
        <v>274</v>
      </c>
      <c r="F52" s="243">
        <f>F49*C24*F47</f>
        <v>1638000</v>
      </c>
      <c r="G52" s="27" t="s">
        <v>3838</v>
      </c>
      <c r="I52" s="22"/>
    </row>
    <row r="53" spans="1:9">
      <c r="A53" s="26"/>
      <c r="B53" s="27"/>
      <c r="C53" s="938"/>
      <c r="D53" s="57"/>
      <c r="I53" s="22"/>
    </row>
    <row r="54" spans="1:9">
      <c r="A54" s="26"/>
      <c r="B54" s="27"/>
      <c r="C54" s="938"/>
      <c r="E54" s="55" t="s">
        <v>774</v>
      </c>
      <c r="F54" s="243">
        <v>60000</v>
      </c>
    </row>
    <row r="55" spans="1:9">
      <c r="A55" s="26"/>
      <c r="B55" s="27"/>
      <c r="C55" s="938"/>
      <c r="E55" s="55" t="s">
        <v>3817</v>
      </c>
      <c r="F55" s="243">
        <v>70000</v>
      </c>
    </row>
    <row r="56" spans="1:9">
      <c r="A56" s="26"/>
      <c r="B56" s="27"/>
      <c r="C56" s="22"/>
      <c r="D56" s="57"/>
      <c r="E56" s="55" t="s">
        <v>3821</v>
      </c>
      <c r="F56" s="243">
        <v>5000</v>
      </c>
    </row>
    <row r="57" spans="1:9" ht="15">
      <c r="A57" s="940"/>
      <c r="B57" s="27"/>
      <c r="C57" s="938"/>
      <c r="D57" s="22"/>
      <c r="E57" s="225" t="s">
        <v>906</v>
      </c>
      <c r="F57" s="243">
        <f>IF('Datos de Entrada (On Grid)'!G13="Ida y regreso",F56*'Calculos (On Grid)'!B28*(F47+F48),(F54+F55+F56)*B28*(F47+F48))</f>
        <v>80000</v>
      </c>
      <c r="G57" s="17" t="s">
        <v>3862</v>
      </c>
    </row>
    <row r="58" spans="1:9" ht="15">
      <c r="A58" s="870"/>
      <c r="B58" s="941"/>
      <c r="C58" s="938"/>
      <c r="D58" s="286"/>
      <c r="E58" s="55" t="s">
        <v>277</v>
      </c>
      <c r="F58" s="647">
        <f>+F57+F52+F51</f>
        <v>2518000</v>
      </c>
    </row>
    <row r="59" spans="1:9" ht="15">
      <c r="A59" s="26"/>
      <c r="B59" s="941"/>
      <c r="E59" s="55" t="s">
        <v>3824</v>
      </c>
      <c r="F59" s="243">
        <v>180000</v>
      </c>
    </row>
    <row r="60" spans="1:9">
      <c r="A60" s="26" t="s">
        <v>2038</v>
      </c>
      <c r="B60" s="27">
        <f>IF('Datos de Entrada (On Grid)'!G11="Si",1%*(B58+B45)*1.2,0)</f>
        <v>0</v>
      </c>
      <c r="F60" s="17"/>
      <c r="G60" s="854"/>
      <c r="H60" s="270"/>
    </row>
    <row r="61" spans="1:9">
      <c r="E61" s="55" t="s">
        <v>3822</v>
      </c>
      <c r="F61" s="659">
        <v>500</v>
      </c>
      <c r="I61" s="270"/>
    </row>
    <row r="62" spans="1:9" ht="15" thickBot="1">
      <c r="C62" s="57"/>
      <c r="E62" s="55" t="s">
        <v>775</v>
      </c>
      <c r="F62" s="659">
        <v>12000</v>
      </c>
    </row>
    <row r="63" spans="1:9" ht="15">
      <c r="A63" s="648" t="s">
        <v>854</v>
      </c>
      <c r="B63" s="649" t="e">
        <f>+F94</f>
        <v>#N/A</v>
      </c>
      <c r="E63" s="55" t="s">
        <v>3816</v>
      </c>
      <c r="F63" s="852">
        <f>+'Datos de Entrada (On Grid)'!G14/50*F62</f>
        <v>10800</v>
      </c>
    </row>
    <row r="64" spans="1:9" ht="15" thickBot="1">
      <c r="A64" s="650" t="s">
        <v>773</v>
      </c>
      <c r="B64" s="651">
        <v>5000000</v>
      </c>
      <c r="C64" s="22"/>
      <c r="E64" s="55" t="s">
        <v>3820</v>
      </c>
      <c r="F64" s="852">
        <f>+'Datos de Entrada (On Grid)'!G14*'Calculos (On Grid)'!F61</f>
        <v>22500</v>
      </c>
      <c r="G64" s="854"/>
    </row>
    <row r="65" spans="1:13" ht="15.75" thickBot="1">
      <c r="E65" s="225" t="s">
        <v>3863</v>
      </c>
      <c r="F65" s="852">
        <f>IF('Datos de Entrada (On Grid)'!G13="Ida y regreso",F63*(B28+4)*2,F63*2+F59*6)</f>
        <v>172800</v>
      </c>
    </row>
    <row r="66" spans="1:13" ht="15">
      <c r="A66" s="652" t="s">
        <v>310</v>
      </c>
      <c r="B66" s="653">
        <f>+(B58+B45)*'Datos de Entrada (On Grid)'!G10</f>
        <v>0</v>
      </c>
      <c r="C66" s="22"/>
      <c r="E66" s="225" t="s">
        <v>3864</v>
      </c>
      <c r="F66" s="852">
        <f>IF('Datos de Entrada (On Grid)'!G13="Ida y regreso",F64*(B28+4)*2,F59*2*5+F59*6)</f>
        <v>360000</v>
      </c>
    </row>
    <row r="67" spans="1:13" ht="15.75" thickBot="1">
      <c r="A67" s="650" t="s">
        <v>855</v>
      </c>
      <c r="B67" s="654" t="e">
        <f>+B66+B63</f>
        <v>#N/A</v>
      </c>
    </row>
    <row r="68" spans="1:13" ht="15">
      <c r="E68" s="20" t="s">
        <v>1124</v>
      </c>
      <c r="F68" s="647">
        <f>+IF(B28&lt;=5,5,B28)*F69*'Datos de Entrada (On Grid)'!G28</f>
        <v>0</v>
      </c>
    </row>
    <row r="69" spans="1:13">
      <c r="E69" s="19" t="s">
        <v>1125</v>
      </c>
      <c r="F69" s="660">
        <f>10000/(1.19)</f>
        <v>8403.361344537816</v>
      </c>
    </row>
    <row r="72" spans="1:13">
      <c r="D72" s="825" t="e">
        <f>+D87+D80/2</f>
        <v>#N/A</v>
      </c>
      <c r="E72" s="825" t="e">
        <f>+E80/2+E87</f>
        <v>#N/A</v>
      </c>
      <c r="F72" s="825" t="e">
        <f>+D72+E72</f>
        <v>#N/A</v>
      </c>
      <c r="G72" s="113"/>
    </row>
    <row r="73" spans="1:13">
      <c r="E73" s="17"/>
      <c r="F73" s="57"/>
      <c r="G73" s="113"/>
    </row>
    <row r="74" spans="1:13" ht="15">
      <c r="A74" s="862" t="s">
        <v>920</v>
      </c>
      <c r="B74" s="862" t="s">
        <v>194</v>
      </c>
      <c r="C74" s="862" t="s">
        <v>206</v>
      </c>
      <c r="D74" s="20" t="s">
        <v>854</v>
      </c>
      <c r="E74" s="20" t="s">
        <v>206</v>
      </c>
      <c r="F74" s="20" t="s">
        <v>277</v>
      </c>
      <c r="G74" s="20" t="s">
        <v>3869</v>
      </c>
      <c r="H74" s="113"/>
      <c r="I74" s="1157" t="s">
        <v>4401</v>
      </c>
    </row>
    <row r="75" spans="1:13" ht="15.75">
      <c r="A75" s="878" t="s">
        <v>159</v>
      </c>
      <c r="B75" s="879">
        <f>VLOOKUP('Datos de Entrada (On Grid)'!G20,'Datos Equipos'!B16:N24,13,FALSE)*B23</f>
        <v>5323500</v>
      </c>
      <c r="C75" s="880"/>
      <c r="D75" s="880">
        <f t="shared" ref="D75:D93" si="0">+B75/(1-$B$27)</f>
        <v>7715905.4048189269</v>
      </c>
      <c r="E75" s="880"/>
      <c r="F75" s="884">
        <f t="shared" ref="F75:F82" si="1">+D75+E75:E75</f>
        <v>7715905.4048189269</v>
      </c>
      <c r="G75" s="59" t="e">
        <f>+F75/$F$94</f>
        <v>#N/A</v>
      </c>
      <c r="H75" s="113"/>
    </row>
    <row r="76" spans="1:13" ht="15.75">
      <c r="A76" s="878" t="s">
        <v>924</v>
      </c>
      <c r="B76" s="879">
        <f>VLOOKUP('Datos de Entrada (On Grid)'!G22,Tabla102227[#All],13,FALSE)*C26</f>
        <v>7622000</v>
      </c>
      <c r="C76" s="880"/>
      <c r="D76" s="880">
        <f t="shared" si="0"/>
        <v>11047361.885137573</v>
      </c>
      <c r="E76" s="880"/>
      <c r="F76" s="884">
        <f t="shared" si="1"/>
        <v>11047361.885137573</v>
      </c>
      <c r="G76" s="59" t="e">
        <f t="shared" ref="G76:G93" si="2">+F76/$F$94</f>
        <v>#N/A</v>
      </c>
      <c r="H76" s="113"/>
      <c r="I76">
        <f>VLOOKUP('Datos de Entrada (On Grid)'!G22,Tabla102227[#All],13,FALSE)*C26</f>
        <v>7622000</v>
      </c>
      <c r="J76">
        <v>16653000</v>
      </c>
      <c r="K76">
        <v>6077000</v>
      </c>
      <c r="L76">
        <v>6077000</v>
      </c>
      <c r="M76">
        <f>+J76+K76+L76</f>
        <v>28807000</v>
      </c>
    </row>
    <row r="77" spans="1:13" ht="15.75">
      <c r="A77" s="878" t="s">
        <v>200</v>
      </c>
      <c r="B77" s="879">
        <f>IF(B23&gt;10,VLOOKUP('Datos de Entrada (On Grid)'!G19,'Datos Equipos'!B157:C167,2,FALSE)*'Calculos (On Grid)'!B23/1.19,VLOOKUP('Datos de Entrada (On Grid)'!G19,'Datos Equipos'!B157:D167,3,FALSE)*'Calculos (On Grid)'!B23/1.19)</f>
        <v>1529411.7647058824</v>
      </c>
      <c r="C77" s="880">
        <f>+B77*19%</f>
        <v>290588.23529411765</v>
      </c>
      <c r="D77" s="880">
        <f t="shared" si="0"/>
        <v>2216736.4518620777</v>
      </c>
      <c r="E77" s="880">
        <f>+D77*19%</f>
        <v>421179.92585379479</v>
      </c>
      <c r="F77" s="884">
        <f t="shared" si="1"/>
        <v>2637916.3777158726</v>
      </c>
      <c r="G77" s="59" t="e">
        <f t="shared" si="2"/>
        <v>#N/A</v>
      </c>
      <c r="H77" s="113"/>
      <c r="I77">
        <f>IF(B23&gt;10,VLOOKUP('Datos de Entrada (On Grid)'!G19,'Datos Equipos'!B157:C167,2,FALSE)*'Calculos (On Grid)'!B23/1.19,VLOOKUP('Datos de Entrada (On Grid)'!G19,'Datos Equipos'!B157:D167,3,FALSE)*'Calculos (On Grid)'!B23/1.19)</f>
        <v>1529411.7647058824</v>
      </c>
    </row>
    <row r="78" spans="1:13" ht="15.75">
      <c r="A78" s="878" t="s">
        <v>199</v>
      </c>
      <c r="B78" s="1107">
        <f>(+IF('Datos de Entrada (On Grid)'!$G$21="Microinversor",'Historico costos proyectos'!X25*'Calculos (On Grid)'!C24,IF('Datos de Entrada (On Grid)'!$G$21="Inversor",'Historico costos proyectos'!X26*'Calculos (On Grid)'!C24,"hibr"))+I38+I39)</f>
        <v>4192646.4710871279</v>
      </c>
      <c r="C78" s="880">
        <f>+B78*19%</f>
        <v>796602.82950655429</v>
      </c>
      <c r="D78" s="880">
        <f t="shared" si="0"/>
        <v>6076841.0945348311</v>
      </c>
      <c r="E78" s="880">
        <f>+D78*19%</f>
        <v>1154599.8079616178</v>
      </c>
      <c r="F78" s="884">
        <f t="shared" si="1"/>
        <v>7231440.9024964487</v>
      </c>
      <c r="G78" s="59" t="e">
        <f t="shared" si="2"/>
        <v>#N/A</v>
      </c>
      <c r="H78" s="113"/>
      <c r="I78" s="270">
        <f>(+IF('Datos de Entrada (On Grid)'!$G$21="Microinversor",'Historico costos proyectos'!X25*'Calculos (On Grid)'!C24,IF('Datos de Entrada (On Grid)'!$G$21="Inversor",'Historico costos proyectos'!X26*'Calculos (On Grid)'!C24,"hibr"))+I38+I39)</f>
        <v>4192646.4710871279</v>
      </c>
    </row>
    <row r="79" spans="1:13" ht="15.75">
      <c r="A79" s="878" t="s">
        <v>3827</v>
      </c>
      <c r="B79" s="879">
        <f>VLOOKUP(D24,A103:E118, 5, TRUE)*IF('Datos de Entrada (On Grid)'!G13="Ida y regreso",1,1.15)</f>
        <v>1111446</v>
      </c>
      <c r="C79" s="880">
        <f>+B79*19%</f>
        <v>211174.74</v>
      </c>
      <c r="D79" s="880">
        <f t="shared" si="0"/>
        <v>1610934.9485421954</v>
      </c>
      <c r="E79" s="880">
        <f>+D79*19%</f>
        <v>306077.64022301714</v>
      </c>
      <c r="F79" s="1144">
        <f>+D79+E79:E79</f>
        <v>1917012.5887652126</v>
      </c>
      <c r="G79" s="59" t="e">
        <f t="shared" si="2"/>
        <v>#N/A</v>
      </c>
      <c r="H79" s="113"/>
      <c r="I79" s="285">
        <f>VLOOKUP(D24,A103:E118, 5, TRUE)*IF('Datos de Entrada (On Grid)'!G13="Ida y regreso",1,1.15)</f>
        <v>1111446</v>
      </c>
      <c r="J79">
        <v>2075000</v>
      </c>
      <c r="K79">
        <v>1111500</v>
      </c>
      <c r="L79">
        <v>1111500</v>
      </c>
      <c r="M79">
        <f>+K79+L79+J79</f>
        <v>4298000</v>
      </c>
    </row>
    <row r="80" spans="1:13" ht="15.75">
      <c r="A80" s="878" t="s">
        <v>3860</v>
      </c>
      <c r="B80" s="1123">
        <f>+F58</f>
        <v>2518000</v>
      </c>
      <c r="C80" s="880">
        <f>+B80*19%</f>
        <v>478420</v>
      </c>
      <c r="D80" s="880">
        <f t="shared" si="0"/>
        <v>3649600.790708004</v>
      </c>
      <c r="E80" s="880">
        <f>+D80*19%</f>
        <v>693424.15023452078</v>
      </c>
      <c r="F80" s="884">
        <f t="shared" si="1"/>
        <v>4343024.9409425249</v>
      </c>
      <c r="G80" s="59" t="e">
        <f t="shared" si="2"/>
        <v>#N/A</v>
      </c>
    </row>
    <row r="81" spans="1:9" ht="15.75">
      <c r="A81" s="878" t="s">
        <v>3861</v>
      </c>
      <c r="B81" s="879">
        <f>+F65+F66</f>
        <v>532800</v>
      </c>
      <c r="C81" s="880"/>
      <c r="D81" s="880">
        <f t="shared" si="0"/>
        <v>772242.77255330596</v>
      </c>
      <c r="E81" s="880"/>
      <c r="F81" s="884">
        <f t="shared" si="1"/>
        <v>772242.77255330596</v>
      </c>
      <c r="G81" s="59" t="e">
        <f t="shared" si="2"/>
        <v>#N/A</v>
      </c>
    </row>
    <row r="82" spans="1:9" ht="15.75">
      <c r="A82" s="878" t="s">
        <v>3829</v>
      </c>
      <c r="B82" s="879">
        <f>+IF('Datos de Entrada (On Grid)'!$G$21="Microinversor",'Historico costos proyectos'!AA25*'Calculos (On Grid)'!C24,IF('Datos de Entrada (On Grid)'!$G$21="Inversor",'Historico costos proyectos'!AA26*'Calculos (On Grid)'!C24,"hibr"))</f>
        <v>337469.98440872034</v>
      </c>
      <c r="C82" s="880"/>
      <c r="D82" s="880">
        <f t="shared" si="0"/>
        <v>489130.54882378218</v>
      </c>
      <c r="E82" s="880"/>
      <c r="F82" s="884">
        <f t="shared" si="1"/>
        <v>489130.54882378218</v>
      </c>
      <c r="G82" s="59" t="e">
        <f t="shared" si="2"/>
        <v>#N/A</v>
      </c>
      <c r="I82" s="67"/>
    </row>
    <row r="83" spans="1:9" ht="15.75">
      <c r="A83" s="878" t="s">
        <v>907</v>
      </c>
      <c r="B83" s="879">
        <f>+IF(C24&lt;3,300000,IF(C24&lt;10,400000,700000))</f>
        <v>400000</v>
      </c>
      <c r="C83" s="880">
        <f>+B83*19%</f>
        <v>76000</v>
      </c>
      <c r="D83" s="880">
        <f t="shared" si="0"/>
        <v>579761.84125623573</v>
      </c>
      <c r="E83" s="880">
        <f>+D83*19%</f>
        <v>110154.74983868479</v>
      </c>
      <c r="F83" s="884">
        <f t="shared" ref="F83:F90" si="3">+D83+E83:E83</f>
        <v>689916.59109492053</v>
      </c>
      <c r="G83" s="59" t="e">
        <f t="shared" si="2"/>
        <v>#N/A</v>
      </c>
    </row>
    <row r="84" spans="1:9" ht="15.75">
      <c r="A84" s="878" t="s">
        <v>3866</v>
      </c>
      <c r="B84" s="879">
        <f>+IF('Datos de Entrada (On Grid)'!G32="Si",SUM(F75:F83,F85:F93)*0.01,0)</f>
        <v>0</v>
      </c>
      <c r="C84" s="880"/>
      <c r="D84" s="880">
        <f t="shared" si="0"/>
        <v>0</v>
      </c>
      <c r="E84" s="880"/>
      <c r="F84" s="884">
        <f t="shared" si="3"/>
        <v>0</v>
      </c>
      <c r="G84" s="59" t="e">
        <f t="shared" si="2"/>
        <v>#N/A</v>
      </c>
    </row>
    <row r="85" spans="1:9" ht="15.75">
      <c r="A85" s="878" t="s">
        <v>1238</v>
      </c>
      <c r="B85" s="879">
        <f>IF('Datos de Entrada (On Grid)'!G34="Si",150000*B29+IF(B24&gt;50000,2000000,0),0)</f>
        <v>0</v>
      </c>
      <c r="C85" s="880">
        <f t="shared" ref="C85:E90" si="4">+B85*19%</f>
        <v>0</v>
      </c>
      <c r="D85" s="880">
        <f t="shared" si="0"/>
        <v>0</v>
      </c>
      <c r="E85" s="880">
        <f t="shared" si="4"/>
        <v>0</v>
      </c>
      <c r="F85" s="884">
        <f t="shared" si="3"/>
        <v>0</v>
      </c>
      <c r="G85" s="59" t="e">
        <f t="shared" si="2"/>
        <v>#N/A</v>
      </c>
    </row>
    <row r="86" spans="1:9" ht="15.75">
      <c r="A86" s="655" t="s">
        <v>1868</v>
      </c>
      <c r="B86" s="879">
        <f>+'Datos de Entrada (On Grid)'!G33+IF(C24&gt;20,C24*200000)+IF(C24&gt;50,C24*100000)</f>
        <v>0</v>
      </c>
      <c r="C86" s="880">
        <f t="shared" si="4"/>
        <v>0</v>
      </c>
      <c r="D86" s="880">
        <f t="shared" si="0"/>
        <v>0</v>
      </c>
      <c r="E86" s="880">
        <f t="shared" si="4"/>
        <v>0</v>
      </c>
      <c r="F86" s="884">
        <f t="shared" si="3"/>
        <v>0</v>
      </c>
      <c r="G86" s="59" t="e">
        <f t="shared" si="2"/>
        <v>#N/A</v>
      </c>
    </row>
    <row r="87" spans="1:9" ht="15.75">
      <c r="A87" s="655" t="s">
        <v>482</v>
      </c>
      <c r="B87" s="879" t="e">
        <f>+VLOOKUP('Datos de Entrada (On Grid)'!G23,'Precios E&amp;M'!A141:I149,9,FALSE)*B13</f>
        <v>#N/A</v>
      </c>
      <c r="C87" s="880" t="e">
        <f t="shared" si="4"/>
        <v>#N/A</v>
      </c>
      <c r="D87" s="880" t="e">
        <f t="shared" si="0"/>
        <v>#N/A</v>
      </c>
      <c r="E87" s="880" t="e">
        <f t="shared" si="4"/>
        <v>#N/A</v>
      </c>
      <c r="F87" s="884" t="e">
        <f t="shared" si="3"/>
        <v>#N/A</v>
      </c>
      <c r="G87" s="59" t="e">
        <f t="shared" si="2"/>
        <v>#N/A</v>
      </c>
    </row>
    <row r="88" spans="1:9" ht="15.75">
      <c r="A88" s="655" t="s">
        <v>771</v>
      </c>
      <c r="B88" s="879">
        <f>+IF('Datos de Entrada (On Grid)'!G12="Si",'Calculos (On Grid)'!B64,0)</f>
        <v>0</v>
      </c>
      <c r="C88" s="880">
        <f t="shared" si="4"/>
        <v>0</v>
      </c>
      <c r="D88" s="880">
        <f t="shared" si="0"/>
        <v>0</v>
      </c>
      <c r="E88" s="880">
        <f t="shared" si="4"/>
        <v>0</v>
      </c>
      <c r="F88" s="884">
        <f t="shared" si="3"/>
        <v>0</v>
      </c>
      <c r="G88" s="59" t="e">
        <f t="shared" si="2"/>
        <v>#N/A</v>
      </c>
    </row>
    <row r="89" spans="1:9" ht="15.75">
      <c r="A89" s="655" t="s">
        <v>1867</v>
      </c>
      <c r="B89" s="879">
        <f>IF('Datos de Entrada (On Grid)'!G24="si",'Datos Equipos'!C188,0)</f>
        <v>0</v>
      </c>
      <c r="C89" s="880">
        <f t="shared" si="4"/>
        <v>0</v>
      </c>
      <c r="D89" s="880">
        <f t="shared" si="0"/>
        <v>0</v>
      </c>
      <c r="E89" s="880">
        <f t="shared" si="4"/>
        <v>0</v>
      </c>
      <c r="F89" s="884">
        <f t="shared" si="3"/>
        <v>0</v>
      </c>
      <c r="G89" s="59" t="e">
        <f t="shared" si="2"/>
        <v>#N/A</v>
      </c>
    </row>
    <row r="90" spans="1:9" ht="15.75">
      <c r="A90" s="655" t="s">
        <v>1123</v>
      </c>
      <c r="B90" s="879">
        <f>IF('Datos de Entrada (On Grid)'!G27="Si",F68,0)</f>
        <v>0</v>
      </c>
      <c r="C90" s="880">
        <f t="shared" si="4"/>
        <v>0</v>
      </c>
      <c r="D90" s="880">
        <f t="shared" si="0"/>
        <v>0</v>
      </c>
      <c r="E90" s="880">
        <f t="shared" si="4"/>
        <v>0</v>
      </c>
      <c r="F90" s="884">
        <f t="shared" si="3"/>
        <v>0</v>
      </c>
      <c r="G90" s="59" t="e">
        <f t="shared" si="2"/>
        <v>#N/A</v>
      </c>
    </row>
    <row r="91" spans="1:9" ht="15.75">
      <c r="A91" s="878" t="s">
        <v>3832</v>
      </c>
      <c r="B91" s="879">
        <v>50000</v>
      </c>
      <c r="C91" s="880">
        <f>+B91*19%</f>
        <v>9500</v>
      </c>
      <c r="D91" s="880">
        <f t="shared" si="0"/>
        <v>72470.230157029466</v>
      </c>
      <c r="E91" s="880">
        <f>+D91*19%</f>
        <v>13769.343729835598</v>
      </c>
      <c r="F91" s="884">
        <f>+D91+E91:E91</f>
        <v>86239.573886865066</v>
      </c>
      <c r="G91" s="59" t="e">
        <f t="shared" si="2"/>
        <v>#N/A</v>
      </c>
    </row>
    <row r="92" spans="1:9" ht="15.75">
      <c r="A92" s="878" t="s">
        <v>3833</v>
      </c>
      <c r="B92" s="879">
        <v>150000</v>
      </c>
      <c r="C92" s="880">
        <f>+B92*19%</f>
        <v>28500</v>
      </c>
      <c r="D92" s="880">
        <f t="shared" si="0"/>
        <v>217410.6904710884</v>
      </c>
      <c r="E92" s="880">
        <f>+D92*19%</f>
        <v>41308.031189506793</v>
      </c>
      <c r="F92" s="884">
        <f>+D92+E92:E92</f>
        <v>258718.72166059518</v>
      </c>
      <c r="G92" s="59" t="e">
        <f t="shared" si="2"/>
        <v>#N/A</v>
      </c>
    </row>
    <row r="93" spans="1:9" ht="15.75">
      <c r="A93" s="878" t="s">
        <v>3834</v>
      </c>
      <c r="B93" s="879" t="e">
        <f>3%*SUM(B75:B83,B85:B92)</f>
        <v>#N/A</v>
      </c>
      <c r="C93" s="880" t="e">
        <f>+B93*19%</f>
        <v>#N/A</v>
      </c>
      <c r="D93" s="880" t="e">
        <f t="shared" si="0"/>
        <v>#N/A</v>
      </c>
      <c r="E93" s="880" t="e">
        <f>+D93*19%</f>
        <v>#N/A</v>
      </c>
      <c r="F93" s="884" t="e">
        <f>+D93+E93:E93</f>
        <v>#N/A</v>
      </c>
      <c r="G93" s="59" t="e">
        <f t="shared" si="2"/>
        <v>#N/A</v>
      </c>
      <c r="I93" t="e">
        <f>3%*SUM(B75:B83,B85:B92)</f>
        <v>#N/A</v>
      </c>
    </row>
    <row r="94" spans="1:9" ht="15">
      <c r="A94" s="862" t="s">
        <v>277</v>
      </c>
      <c r="B94" s="880" t="e">
        <f>+SUM(B75:B93)</f>
        <v>#N/A</v>
      </c>
      <c r="C94" s="880" t="e">
        <f>+SUM(C75:C93)</f>
        <v>#N/A</v>
      </c>
      <c r="D94" s="880" t="e">
        <f>+SUM(D75:D93)</f>
        <v>#N/A</v>
      </c>
      <c r="E94" s="880" t="e">
        <f>+SUM(E75:E93)</f>
        <v>#N/A</v>
      </c>
      <c r="F94" s="858" t="e">
        <f>+SUM(F75:F93)</f>
        <v>#N/A</v>
      </c>
    </row>
    <row r="95" spans="1:9" ht="15">
      <c r="B95" s="56" t="e">
        <f>+B94+C94</f>
        <v>#N/A</v>
      </c>
      <c r="C95" s="825"/>
      <c r="E95" s="882" t="s">
        <v>3870</v>
      </c>
      <c r="F95" s="885" t="e">
        <f>+F94*'Datos de Entrada (On Grid)'!G10</f>
        <v>#N/A</v>
      </c>
    </row>
    <row r="96" spans="1:9" ht="15">
      <c r="E96" s="882" t="s">
        <v>277</v>
      </c>
      <c r="F96" s="886" t="e">
        <f>+F95+F94</f>
        <v>#N/A</v>
      </c>
      <c r="H96">
        <v>34008111</v>
      </c>
    </row>
    <row r="97" spans="1:10">
      <c r="A97" s="26"/>
      <c r="B97" s="17"/>
      <c r="H97" s="285" t="e">
        <f>+F96-H96</f>
        <v>#N/A</v>
      </c>
      <c r="I97">
        <v>1</v>
      </c>
      <c r="J97" s="285" t="e">
        <f>+H97+1500000</f>
        <v>#N/A</v>
      </c>
    </row>
    <row r="98" spans="1:10" ht="15">
      <c r="A98" s="26"/>
      <c r="E98" s="20" t="s">
        <v>3865</v>
      </c>
      <c r="F98" s="883" t="s">
        <v>3867</v>
      </c>
      <c r="H98">
        <v>15219660</v>
      </c>
      <c r="I98">
        <v>2</v>
      </c>
      <c r="J98">
        <f>+H98+1500000</f>
        <v>16719660</v>
      </c>
    </row>
    <row r="99" spans="1:10">
      <c r="A99" s="26"/>
      <c r="E99" s="56" t="e">
        <f>+F96/C24</f>
        <v>#N/A</v>
      </c>
      <c r="F99" s="880">
        <f>+B80/C24</f>
        <v>307448.10744810745</v>
      </c>
    </row>
    <row r="102" spans="1:10" ht="15">
      <c r="A102" s="1234" t="s">
        <v>3868</v>
      </c>
      <c r="B102" s="1234"/>
      <c r="C102" s="1234"/>
      <c r="D102" s="1234"/>
      <c r="E102" s="1234"/>
    </row>
    <row r="103" spans="1:10" ht="15">
      <c r="A103" s="20" t="s">
        <v>3004</v>
      </c>
      <c r="B103" s="20" t="s">
        <v>289</v>
      </c>
      <c r="C103" s="1235"/>
      <c r="D103" s="1236"/>
      <c r="E103" s="20" t="s">
        <v>916</v>
      </c>
    </row>
    <row r="104" spans="1:10" ht="15">
      <c r="A104" s="18">
        <v>0.33</v>
      </c>
      <c r="B104" s="18" t="s">
        <v>187</v>
      </c>
      <c r="C104" s="20" t="s">
        <v>3005</v>
      </c>
      <c r="D104" s="20" t="s">
        <v>289</v>
      </c>
      <c r="E104" s="835">
        <v>892978</v>
      </c>
    </row>
    <row r="105" spans="1:10">
      <c r="A105" s="18">
        <v>4.5999999999999996</v>
      </c>
      <c r="B105" s="18" t="s">
        <v>187</v>
      </c>
      <c r="C105" s="18">
        <v>4.5</v>
      </c>
      <c r="D105" s="19" t="s">
        <v>187</v>
      </c>
      <c r="E105" s="835">
        <v>996754</v>
      </c>
    </row>
    <row r="106" spans="1:10">
      <c r="A106" s="18">
        <v>6.1</v>
      </c>
      <c r="B106" s="18" t="s">
        <v>187</v>
      </c>
      <c r="C106" s="18">
        <v>6</v>
      </c>
      <c r="D106" s="19" t="s">
        <v>187</v>
      </c>
      <c r="E106" s="835">
        <v>1111446</v>
      </c>
    </row>
    <row r="107" spans="1:10">
      <c r="A107" s="18">
        <v>8.6</v>
      </c>
      <c r="B107" s="18" t="s">
        <v>187</v>
      </c>
      <c r="C107" s="18">
        <v>8.5</v>
      </c>
      <c r="D107" s="19" t="s">
        <v>187</v>
      </c>
      <c r="E107" s="835">
        <v>1316946</v>
      </c>
    </row>
    <row r="108" spans="1:10">
      <c r="A108" s="18">
        <v>11.6</v>
      </c>
      <c r="B108" s="18" t="s">
        <v>187</v>
      </c>
      <c r="C108" s="18">
        <v>11.5</v>
      </c>
      <c r="D108" s="19" t="s">
        <v>187</v>
      </c>
      <c r="E108" s="835">
        <v>1532613</v>
      </c>
    </row>
    <row r="109" spans="1:10">
      <c r="A109" s="18">
        <v>14.1</v>
      </c>
      <c r="B109" s="18" t="s">
        <v>187</v>
      </c>
      <c r="C109" s="18">
        <v>14</v>
      </c>
      <c r="D109" s="19" t="s">
        <v>187</v>
      </c>
      <c r="E109" s="835">
        <v>1610710</v>
      </c>
    </row>
    <row r="110" spans="1:10">
      <c r="A110" s="18">
        <v>17.600000000000001</v>
      </c>
      <c r="B110" s="18" t="s">
        <v>187</v>
      </c>
      <c r="C110" s="18">
        <v>17.5</v>
      </c>
      <c r="D110" s="19" t="s">
        <v>187</v>
      </c>
      <c r="E110" s="835">
        <v>1795394</v>
      </c>
    </row>
    <row r="111" spans="1:10">
      <c r="A111" s="18">
        <v>20.100000000000001</v>
      </c>
      <c r="B111" s="18" t="s">
        <v>187</v>
      </c>
      <c r="C111" s="18">
        <v>20</v>
      </c>
      <c r="D111" s="19" t="s">
        <v>187</v>
      </c>
      <c r="E111" s="835">
        <v>2074668</v>
      </c>
    </row>
    <row r="112" spans="1:10">
      <c r="A112" s="18">
        <v>25.6</v>
      </c>
      <c r="B112" s="18" t="s">
        <v>187</v>
      </c>
      <c r="C112" s="18">
        <v>25.5</v>
      </c>
      <c r="D112" s="19" t="s">
        <v>187</v>
      </c>
      <c r="E112" s="835">
        <v>2420399</v>
      </c>
    </row>
    <row r="113" spans="1:5">
      <c r="A113" s="18">
        <v>35.1</v>
      </c>
      <c r="B113" s="18" t="s">
        <v>187</v>
      </c>
      <c r="C113" s="18">
        <v>35</v>
      </c>
      <c r="D113" s="19" t="s">
        <v>187</v>
      </c>
      <c r="E113" s="835">
        <v>2766130</v>
      </c>
    </row>
    <row r="114" spans="1:5">
      <c r="A114" s="18">
        <v>50.1</v>
      </c>
      <c r="B114" s="18" t="s">
        <v>187</v>
      </c>
      <c r="C114" s="18">
        <v>50</v>
      </c>
      <c r="D114" s="19" t="s">
        <v>187</v>
      </c>
      <c r="E114" s="835">
        <v>3111860</v>
      </c>
    </row>
    <row r="115" spans="1:5">
      <c r="A115" s="18">
        <v>70.099999999999994</v>
      </c>
      <c r="B115" s="18" t="s">
        <v>187</v>
      </c>
      <c r="C115" s="18">
        <v>70</v>
      </c>
      <c r="D115" s="19" t="s">
        <v>187</v>
      </c>
      <c r="E115" s="835">
        <v>3457591</v>
      </c>
    </row>
    <row r="116" spans="1:5">
      <c r="A116" s="18">
        <v>100.1</v>
      </c>
      <c r="B116" s="18" t="s">
        <v>187</v>
      </c>
      <c r="C116" s="18">
        <v>100</v>
      </c>
      <c r="D116" s="19" t="s">
        <v>187</v>
      </c>
      <c r="E116" s="835">
        <v>3803322</v>
      </c>
    </row>
    <row r="117" spans="1:5">
      <c r="A117" s="18">
        <v>151.1</v>
      </c>
      <c r="B117" s="18" t="s">
        <v>187</v>
      </c>
      <c r="C117" s="18">
        <v>150</v>
      </c>
      <c r="D117" s="19" t="s">
        <v>187</v>
      </c>
      <c r="E117" s="835">
        <v>4359322</v>
      </c>
    </row>
    <row r="118" spans="1:5">
      <c r="A118" s="18">
        <v>300.10000000000002</v>
      </c>
      <c r="B118" s="18" t="s">
        <v>187</v>
      </c>
      <c r="C118" s="18">
        <v>300</v>
      </c>
      <c r="D118" s="19" t="s">
        <v>187</v>
      </c>
      <c r="E118" s="835">
        <v>4915322</v>
      </c>
    </row>
    <row r="119" spans="1:5">
      <c r="C119" s="18">
        <v>650</v>
      </c>
      <c r="D119" s="19" t="s">
        <v>187</v>
      </c>
    </row>
  </sheetData>
  <mergeCells count="3">
    <mergeCell ref="A34:B34"/>
    <mergeCell ref="A102:E102"/>
    <mergeCell ref="C103:D103"/>
  </mergeCells>
  <conditionalFormatting sqref="J19:J23">
    <cfRule type="cellIs" dxfId="117" priority="1" operator="between">
      <formula>-0.1</formula>
      <formula>-9E+54</formula>
    </cfRule>
    <cfRule type="cellIs" dxfId="116" priority="2" operator="between">
      <formula>0</formula>
      <formula>9E+58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3" name="Button 2">
              <controlPr defaultSize="0" print="0" autoFill="0" autoPict="0" macro="[0]!IrMenu">
                <anchor moveWithCells="1" sizeWithCells="1">
                  <from>
                    <xdr:col>4</xdr:col>
                    <xdr:colOff>1457325</xdr:colOff>
                    <xdr:row>1</xdr:row>
                    <xdr:rowOff>114300</xdr:rowOff>
                  </from>
                  <to>
                    <xdr:col>6</xdr:col>
                    <xdr:colOff>333375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905F-9FB9-4CE4-A403-E89F3D0E3387}">
  <sheetPr codeName="Hoja7"/>
  <dimension ref="A1:AU1048574"/>
  <sheetViews>
    <sheetView topLeftCell="A112" zoomScale="90" zoomScaleNormal="90" workbookViewId="0">
      <selection activeCell="C102" sqref="C102"/>
    </sheetView>
  </sheetViews>
  <sheetFormatPr baseColWidth="10" defaultColWidth="11" defaultRowHeight="14.25"/>
  <cols>
    <col min="1" max="1" width="29.875" style="76" bestFit="1" customWidth="1"/>
    <col min="2" max="2" width="52.875" style="76" bestFit="1" customWidth="1"/>
    <col min="3" max="3" width="23" style="76" bestFit="1" customWidth="1"/>
    <col min="4" max="4" width="30" style="76" bestFit="1" customWidth="1"/>
    <col min="5" max="5" width="22.125" style="76" customWidth="1"/>
    <col min="6" max="6" width="28.25" style="76" customWidth="1"/>
    <col min="7" max="7" width="16.875" style="76" bestFit="1" customWidth="1"/>
    <col min="8" max="8" width="24" style="76" bestFit="1" customWidth="1"/>
    <col min="9" max="10" width="18" style="76" bestFit="1" customWidth="1"/>
    <col min="11" max="11" width="19.5" style="76" bestFit="1" customWidth="1"/>
    <col min="12" max="12" width="14.875" style="76" bestFit="1" customWidth="1"/>
    <col min="13" max="13" width="12.5" style="76" bestFit="1" customWidth="1"/>
    <col min="14" max="14" width="14.875" style="76" bestFit="1" customWidth="1"/>
    <col min="15" max="15" width="26.875" style="76" customWidth="1"/>
    <col min="16" max="16" width="21.875" style="76" bestFit="1" customWidth="1"/>
    <col min="17" max="17" width="17.5" style="76" customWidth="1"/>
    <col min="18" max="18" width="23" style="76" bestFit="1" customWidth="1"/>
    <col min="19" max="19" width="24" style="76" customWidth="1"/>
    <col min="20" max="20" width="18.5" style="76" bestFit="1" customWidth="1"/>
    <col min="21" max="21" width="19.375" style="76" customWidth="1"/>
    <col min="22" max="22" width="34.375" style="76" bestFit="1" customWidth="1"/>
    <col min="23" max="23" width="25" style="76" bestFit="1" customWidth="1"/>
    <col min="24" max="24" width="24.875" style="76" bestFit="1" customWidth="1"/>
    <col min="25" max="26" width="18.375" style="76" bestFit="1" customWidth="1"/>
    <col min="27" max="27" width="15.5" style="76" bestFit="1" customWidth="1"/>
    <col min="28" max="28" width="11" style="76"/>
    <col min="29" max="29" width="34.375" style="76" bestFit="1" customWidth="1"/>
    <col min="30" max="30" width="18.5" style="76" bestFit="1" customWidth="1"/>
    <col min="31" max="31" width="17" style="76" bestFit="1" customWidth="1"/>
    <col min="32" max="32" width="35" style="76" bestFit="1" customWidth="1"/>
    <col min="33" max="33" width="34" style="76" bestFit="1" customWidth="1"/>
    <col min="34" max="34" width="26" style="76" bestFit="1" customWidth="1"/>
    <col min="35" max="35" width="20.5" style="76" bestFit="1" customWidth="1"/>
    <col min="36" max="36" width="29" style="76" bestFit="1" customWidth="1"/>
    <col min="37" max="37" width="32" style="76" bestFit="1" customWidth="1"/>
    <col min="38" max="38" width="23.5" style="76" bestFit="1" customWidth="1"/>
    <col min="39" max="39" width="11" style="76"/>
    <col min="40" max="40" width="25.875" style="76" bestFit="1" customWidth="1"/>
    <col min="41" max="41" width="20.5" style="76" bestFit="1" customWidth="1"/>
    <col min="42" max="42" width="33" style="76" bestFit="1" customWidth="1"/>
    <col min="43" max="43" width="20" style="76" bestFit="1" customWidth="1"/>
    <col min="44" max="45" width="20.875" style="76" bestFit="1" customWidth="1"/>
    <col min="46" max="46" width="29.875" style="76" bestFit="1" customWidth="1"/>
    <col min="47" max="47" width="13.5" style="76" bestFit="1" customWidth="1"/>
    <col min="48" max="16384" width="11" style="76"/>
  </cols>
  <sheetData>
    <row r="1" spans="1:47" ht="15">
      <c r="A1" s="1239" t="s">
        <v>1614</v>
      </c>
      <c r="B1" s="1240"/>
      <c r="C1" s="1240"/>
      <c r="D1" s="1240"/>
      <c r="E1" s="1240"/>
      <c r="F1" s="1240"/>
      <c r="G1" s="1240"/>
      <c r="H1" s="1240"/>
      <c r="I1" s="1240"/>
      <c r="J1" s="1240"/>
      <c r="K1" s="1240"/>
      <c r="L1" s="1240"/>
      <c r="M1" s="1241"/>
    </row>
    <row r="2" spans="1:47" s="71" customFormat="1" ht="15.75">
      <c r="A2" s="321" t="s">
        <v>344</v>
      </c>
      <c r="B2" s="70" t="s">
        <v>345</v>
      </c>
      <c r="C2" s="70" t="s">
        <v>1615</v>
      </c>
      <c r="D2" s="70" t="s">
        <v>346</v>
      </c>
      <c r="E2" s="70" t="s">
        <v>347</v>
      </c>
      <c r="F2" s="70" t="s">
        <v>348</v>
      </c>
      <c r="G2" s="70" t="s">
        <v>349</v>
      </c>
      <c r="H2" s="115" t="s">
        <v>350</v>
      </c>
      <c r="I2" s="70" t="s">
        <v>351</v>
      </c>
      <c r="J2" s="128" t="s">
        <v>351</v>
      </c>
      <c r="K2" s="115" t="s">
        <v>352</v>
      </c>
      <c r="L2" s="128" t="s">
        <v>353</v>
      </c>
      <c r="M2" s="322" t="s">
        <v>354</v>
      </c>
      <c r="O2" s="70" t="s">
        <v>347</v>
      </c>
      <c r="P2" s="70" t="s">
        <v>369</v>
      </c>
      <c r="Q2" s="70" t="s">
        <v>371</v>
      </c>
      <c r="R2" s="70" t="s">
        <v>373</v>
      </c>
      <c r="S2" s="115" t="s">
        <v>374</v>
      </c>
      <c r="T2" s="70" t="s">
        <v>375</v>
      </c>
      <c r="U2" s="128" t="s">
        <v>375</v>
      </c>
      <c r="V2" s="70" t="s">
        <v>376</v>
      </c>
      <c r="W2" s="70" t="s">
        <v>346</v>
      </c>
      <c r="X2" s="70" t="s">
        <v>377</v>
      </c>
      <c r="Y2" s="128" t="s">
        <v>380</v>
      </c>
      <c r="Z2" s="128" t="s">
        <v>380</v>
      </c>
      <c r="AA2" s="128" t="s">
        <v>378</v>
      </c>
      <c r="AC2" s="115" t="s">
        <v>376</v>
      </c>
      <c r="AD2" s="70" t="s">
        <v>375</v>
      </c>
      <c r="AE2" s="72" t="s">
        <v>387</v>
      </c>
      <c r="AF2" s="72" t="s">
        <v>388</v>
      </c>
      <c r="AG2" s="72" t="s">
        <v>389</v>
      </c>
      <c r="AH2" s="72" t="s">
        <v>390</v>
      </c>
      <c r="AI2" s="72" t="s">
        <v>346</v>
      </c>
      <c r="AJ2" s="72" t="s">
        <v>392</v>
      </c>
      <c r="AK2" s="72" t="s">
        <v>391</v>
      </c>
      <c r="AL2" s="130" t="s">
        <v>397</v>
      </c>
      <c r="AN2" s="72" t="s">
        <v>361</v>
      </c>
      <c r="AO2" s="72" t="s">
        <v>346</v>
      </c>
      <c r="AP2" s="72" t="s">
        <v>393</v>
      </c>
      <c r="AQ2" s="72" t="s">
        <v>192</v>
      </c>
      <c r="AR2" s="130" t="s">
        <v>163</v>
      </c>
      <c r="AS2" s="130" t="s">
        <v>163</v>
      </c>
      <c r="AT2" s="72" t="s">
        <v>401</v>
      </c>
      <c r="AU2" s="72" t="s">
        <v>402</v>
      </c>
    </row>
    <row r="3" spans="1:47" s="71" customFormat="1" ht="15.75">
      <c r="A3" s="321" t="s">
        <v>355</v>
      </c>
      <c r="B3" s="70" t="s">
        <v>356</v>
      </c>
      <c r="C3" s="70" t="s">
        <v>356</v>
      </c>
      <c r="D3" s="70" t="s">
        <v>357</v>
      </c>
      <c r="E3" s="70" t="s">
        <v>358</v>
      </c>
      <c r="F3" s="70" t="s">
        <v>359</v>
      </c>
      <c r="G3" s="70" t="s">
        <v>356</v>
      </c>
      <c r="H3" s="70" t="s">
        <v>358</v>
      </c>
      <c r="I3" s="70" t="s">
        <v>360</v>
      </c>
      <c r="J3" s="128" t="s">
        <v>360</v>
      </c>
      <c r="K3" s="70" t="s">
        <v>357</v>
      </c>
      <c r="L3" s="128" t="s">
        <v>360</v>
      </c>
      <c r="M3" s="322" t="s">
        <v>360</v>
      </c>
      <c r="O3" s="70" t="s">
        <v>358</v>
      </c>
      <c r="P3" s="70" t="s">
        <v>356</v>
      </c>
      <c r="Q3" s="70" t="s">
        <v>372</v>
      </c>
      <c r="R3" s="70" t="s">
        <v>379</v>
      </c>
      <c r="S3" s="115" t="s">
        <v>379</v>
      </c>
      <c r="T3" s="70" t="s">
        <v>360</v>
      </c>
      <c r="U3" s="128" t="s">
        <v>360</v>
      </c>
      <c r="V3" s="70" t="s">
        <v>379</v>
      </c>
      <c r="W3" s="70" t="s">
        <v>357</v>
      </c>
      <c r="X3" s="70" t="s">
        <v>357</v>
      </c>
      <c r="Y3" s="128" t="s">
        <v>360</v>
      </c>
      <c r="Z3" s="128" t="s">
        <v>360</v>
      </c>
      <c r="AA3" s="128" t="s">
        <v>360</v>
      </c>
      <c r="AC3" s="70" t="s">
        <v>379</v>
      </c>
      <c r="AD3" s="70" t="s">
        <v>360</v>
      </c>
      <c r="AE3" s="70" t="s">
        <v>356</v>
      </c>
      <c r="AF3" s="70" t="s">
        <v>379</v>
      </c>
      <c r="AG3" s="70" t="s">
        <v>379</v>
      </c>
      <c r="AH3" s="73" t="s">
        <v>396</v>
      </c>
      <c r="AI3" s="70" t="s">
        <v>357</v>
      </c>
      <c r="AJ3" s="70" t="s">
        <v>379</v>
      </c>
      <c r="AK3" s="70" t="s">
        <v>379</v>
      </c>
      <c r="AL3" s="128" t="s">
        <v>360</v>
      </c>
      <c r="AN3" s="73" t="s">
        <v>396</v>
      </c>
      <c r="AO3" s="70" t="s">
        <v>357</v>
      </c>
      <c r="AP3" s="73" t="s">
        <v>396</v>
      </c>
      <c r="AQ3" s="73" t="s">
        <v>396</v>
      </c>
      <c r="AR3" s="128" t="s">
        <v>360</v>
      </c>
      <c r="AS3" s="128" t="s">
        <v>360</v>
      </c>
      <c r="AT3" s="70" t="s">
        <v>379</v>
      </c>
      <c r="AU3" s="70" t="s">
        <v>379</v>
      </c>
    </row>
    <row r="4" spans="1:47" ht="15" thickBot="1">
      <c r="A4" s="323">
        <f>+B8</f>
        <v>44437</v>
      </c>
      <c r="B4" s="324">
        <f>+'Datos de entrada (Off grid)'!O7</f>
        <v>0.93</v>
      </c>
      <c r="C4" s="324">
        <f>+'Datos de entrada (Off grid)'!O12</f>
        <v>0.95</v>
      </c>
      <c r="D4" s="324">
        <f>+'Datos de entrada (Off grid)'!O9</f>
        <v>12</v>
      </c>
      <c r="E4" s="325">
        <f>+((A4/(B4*C4))/D4)</f>
        <v>4191.3789850971516</v>
      </c>
      <c r="F4" s="324">
        <f>+'Datos de entrada (Off grid)'!O10</f>
        <v>1</v>
      </c>
      <c r="G4" s="326">
        <f>+'Datos de entrada (Off grid)'!O11</f>
        <v>0.9</v>
      </c>
      <c r="H4" s="324" t="e">
        <f>+B13</f>
        <v>#N/A</v>
      </c>
      <c r="I4" s="324" t="e">
        <f>+E4*F4/G4/H4/L4</f>
        <v>#N/A</v>
      </c>
      <c r="J4" s="327" t="e">
        <f>IF(I4&lt;1,1,ROUND(I4,0))</f>
        <v>#N/A</v>
      </c>
      <c r="K4" s="324" t="e">
        <f>+B14</f>
        <v>#N/A</v>
      </c>
      <c r="L4" s="327">
        <v>1</v>
      </c>
      <c r="M4" s="328">
        <v>2</v>
      </c>
      <c r="O4" s="74">
        <f>+E4</f>
        <v>4191.3789850971516</v>
      </c>
      <c r="P4" s="75">
        <f>+'Datos de entrada (Off grid)'!O12</f>
        <v>0.95</v>
      </c>
      <c r="Q4" s="74">
        <f>+B39</f>
        <v>5.5677635368663596</v>
      </c>
      <c r="R4" s="74">
        <f>+O4/P4/Q4</f>
        <v>792.41473705486726</v>
      </c>
      <c r="S4" s="107" t="e">
        <f>+B20</f>
        <v>#N/A</v>
      </c>
      <c r="T4" s="74" t="e">
        <f>+R4/S4</f>
        <v>#N/A</v>
      </c>
      <c r="U4" s="129" t="e">
        <f>ROUNDUP(T4,0)</f>
        <v>#N/A</v>
      </c>
      <c r="V4" s="74" t="e">
        <f>+B21</f>
        <v>#N/A</v>
      </c>
      <c r="W4" s="74">
        <f>+'Datos de entrada (Off grid)'!O9</f>
        <v>12</v>
      </c>
      <c r="X4" s="74" t="e">
        <f>+B23</f>
        <v>#N/A</v>
      </c>
      <c r="Y4" s="129" t="e">
        <f>+W4/X4</f>
        <v>#N/A</v>
      </c>
      <c r="Z4" s="129">
        <v>1</v>
      </c>
      <c r="AA4" s="129">
        <v>6</v>
      </c>
      <c r="AC4" s="74" t="e">
        <f>+B21*1.1</f>
        <v>#N/A</v>
      </c>
      <c r="AD4" s="74">
        <f>+Z9</f>
        <v>1</v>
      </c>
      <c r="AE4" s="75">
        <v>1</v>
      </c>
      <c r="AF4" s="74" t="e">
        <f>+AC4*AD4*AE4</f>
        <v>#N/A</v>
      </c>
      <c r="AG4" s="74">
        <f>+B27</f>
        <v>70</v>
      </c>
      <c r="AH4" s="74">
        <f>B7</f>
        <v>0</v>
      </c>
      <c r="AI4" s="77">
        <f>'Datos de entrada (Off grid)'!O9</f>
        <v>12</v>
      </c>
      <c r="AJ4" s="74">
        <f>+AH4/AI4</f>
        <v>0</v>
      </c>
      <c r="AK4" s="74"/>
      <c r="AL4" s="129">
        <v>1</v>
      </c>
      <c r="AN4" s="74">
        <f>+B6</f>
        <v>5914.4000000000005</v>
      </c>
      <c r="AO4" s="74">
        <f>+'Datos de entrada (Off grid)'!O9</f>
        <v>12</v>
      </c>
      <c r="AP4" s="74">
        <f>+AN4*3</f>
        <v>17743.2</v>
      </c>
      <c r="AQ4" s="74">
        <f>+B33</f>
        <v>3000</v>
      </c>
      <c r="AR4" s="129">
        <f>AN4/AQ4</f>
        <v>1.9714666666666669</v>
      </c>
      <c r="AS4" s="129">
        <v>1</v>
      </c>
      <c r="AT4" s="74">
        <f>+B35</f>
        <v>95</v>
      </c>
      <c r="AU4" s="74">
        <f>+AP4/'Datos de entrada (Off grid)'!R25</f>
        <v>161.30181818181819</v>
      </c>
    </row>
    <row r="5" spans="1:47">
      <c r="O5" s="1246"/>
      <c r="P5" s="1246"/>
    </row>
    <row r="6" spans="1:47" ht="15.75">
      <c r="A6" s="70" t="s">
        <v>361</v>
      </c>
      <c r="B6" s="74">
        <f>+SUM('Datos de entrada (Off grid)'!I18:I39)*'Datos de entrada (Off grid)'!G13</f>
        <v>5914.4000000000005</v>
      </c>
    </row>
    <row r="7" spans="1:47" ht="15.75">
      <c r="A7" s="70" t="s">
        <v>362</v>
      </c>
      <c r="B7" s="74">
        <f>+SUM('Datos de entrada (Off grid)'!J18:J39)</f>
        <v>0</v>
      </c>
      <c r="O7" s="77" t="s">
        <v>727</v>
      </c>
      <c r="AC7" s="77" t="s">
        <v>727</v>
      </c>
      <c r="AD7" s="74"/>
      <c r="AE7" s="74"/>
      <c r="AF7" s="74"/>
      <c r="AG7" s="74"/>
      <c r="AH7" s="74"/>
      <c r="AI7" s="74"/>
      <c r="AJ7" s="74"/>
      <c r="AK7" s="74"/>
      <c r="AL7" s="74"/>
    </row>
    <row r="8" spans="1:47" ht="15.75">
      <c r="A8" s="70" t="s">
        <v>363</v>
      </c>
      <c r="B8" s="74">
        <f>+SUM('Datos de entrada (Off grid)'!N18:N39)</f>
        <v>44437</v>
      </c>
      <c r="O8" s="70" t="s">
        <v>1617</v>
      </c>
      <c r="P8" s="70" t="s">
        <v>1616</v>
      </c>
      <c r="Q8" s="70" t="s">
        <v>371</v>
      </c>
      <c r="R8" s="193" t="s">
        <v>2102</v>
      </c>
      <c r="S8" s="72" t="s">
        <v>716</v>
      </c>
      <c r="T8" s="70"/>
      <c r="U8" s="128" t="s">
        <v>380</v>
      </c>
      <c r="V8" s="70" t="s">
        <v>729</v>
      </c>
      <c r="W8" s="70" t="s">
        <v>732</v>
      </c>
      <c r="X8" s="70" t="s">
        <v>733</v>
      </c>
      <c r="Y8" s="192" t="s">
        <v>375</v>
      </c>
      <c r="Z8" s="128" t="s">
        <v>375</v>
      </c>
      <c r="AA8" s="128" t="s">
        <v>378</v>
      </c>
      <c r="AC8" s="77" t="s">
        <v>728</v>
      </c>
      <c r="AD8" s="77" t="s">
        <v>729</v>
      </c>
      <c r="AE8" s="74"/>
      <c r="AF8" s="74"/>
      <c r="AG8" s="74"/>
      <c r="AH8" s="74"/>
      <c r="AI8" s="74"/>
      <c r="AJ8" s="74"/>
      <c r="AK8" s="74"/>
      <c r="AL8" s="77" t="s">
        <v>397</v>
      </c>
    </row>
    <row r="9" spans="1:47" ht="15.75">
      <c r="A9" s="70" t="s">
        <v>364</v>
      </c>
      <c r="B9" s="74">
        <f>+SUM('Datos de entrada (Off grid)'!O18:O39)</f>
        <v>0</v>
      </c>
      <c r="O9" s="329">
        <f>+A4/(B4*C4)/1000</f>
        <v>50.296547821165817</v>
      </c>
      <c r="P9" s="330">
        <v>0.9</v>
      </c>
      <c r="Q9" s="74">
        <f>+B39</f>
        <v>5.5677635368663596</v>
      </c>
      <c r="R9" s="331">
        <f>O9/P9/Q9*(1+'Datos de entrada (Off grid)'!O13)</f>
        <v>15.055880004042475</v>
      </c>
      <c r="S9" s="74">
        <f>+B19</f>
        <v>585</v>
      </c>
      <c r="T9" s="74"/>
      <c r="U9" s="74" t="e">
        <f>+S19</f>
        <v>#N/A</v>
      </c>
      <c r="V9" s="74" t="e">
        <f>+U9*S9</f>
        <v>#N/A</v>
      </c>
      <c r="W9" s="74">
        <f>+B29</f>
        <v>0</v>
      </c>
      <c r="X9" s="74">
        <f>+W9*(D4/12)</f>
        <v>0</v>
      </c>
      <c r="Y9" s="74" t="e">
        <f>+(R9/(S9/1000))/U9</f>
        <v>#N/A</v>
      </c>
      <c r="Z9" s="74">
        <v>1</v>
      </c>
      <c r="AA9" s="74">
        <v>6</v>
      </c>
      <c r="AC9" s="74">
        <f>+X9</f>
        <v>0</v>
      </c>
      <c r="AD9" s="74" t="e">
        <f>+V9</f>
        <v>#N/A</v>
      </c>
      <c r="AE9" s="74"/>
      <c r="AF9" s="74"/>
      <c r="AG9" s="74"/>
      <c r="AH9" s="74"/>
      <c r="AI9" s="74"/>
      <c r="AJ9" s="74"/>
      <c r="AK9" s="74"/>
      <c r="AL9" s="74">
        <v>1</v>
      </c>
    </row>
    <row r="10" spans="1:47">
      <c r="R10" s="80"/>
      <c r="X10" s="80" t="s">
        <v>734</v>
      </c>
      <c r="AL10" s="80"/>
    </row>
    <row r="11" spans="1:47" ht="15">
      <c r="A11" s="71"/>
    </row>
    <row r="12" spans="1:47" ht="15">
      <c r="A12" s="116" t="s">
        <v>532</v>
      </c>
      <c r="B12" s="107" t="str">
        <f>+'Datos de entrada (Off grid)'!R8</f>
        <v>Batería Litio US5000 48V Pylontech</v>
      </c>
      <c r="T12" s="80" t="s">
        <v>717</v>
      </c>
    </row>
    <row r="13" spans="1:47" ht="15.75">
      <c r="A13" s="117" t="s">
        <v>367</v>
      </c>
      <c r="B13" s="107" t="e">
        <f>+VLOOKUP(B12,'Precios E&amp;M'!A142:H149,8,FALSE)</f>
        <v>#N/A</v>
      </c>
    </row>
    <row r="14" spans="1:47" ht="15.75">
      <c r="A14" s="117" t="s">
        <v>368</v>
      </c>
      <c r="B14" s="107" t="e">
        <f>+VLOOKUP(B12,'Precios E&amp;M'!A142:H149,7,FALSE)</f>
        <v>#N/A</v>
      </c>
      <c r="AA14" s="1237" t="s">
        <v>735</v>
      </c>
      <c r="AB14" s="1238"/>
      <c r="AC14" s="1238"/>
    </row>
    <row r="15" spans="1:47" ht="15">
      <c r="A15" s="116" t="s">
        <v>510</v>
      </c>
      <c r="B15" s="107" t="e">
        <f>+VLOOKUP(B12,'Precios E&amp;M'!A142:H149,6,FALSE)</f>
        <v>#N/A</v>
      </c>
      <c r="O15" s="80" t="s">
        <v>718</v>
      </c>
      <c r="AA15" s="1238"/>
      <c r="AB15" s="1238"/>
      <c r="AC15" s="1238"/>
    </row>
    <row r="16" spans="1:47" ht="15">
      <c r="A16" s="116" t="s">
        <v>194</v>
      </c>
      <c r="B16" s="114" t="e">
        <f>+VLOOKUP(B12,'Precios E&amp;M'!A142:I149,9,FALSE)</f>
        <v>#N/A</v>
      </c>
      <c r="AA16" s="1238"/>
      <c r="AB16" s="1238"/>
      <c r="AC16" s="1238"/>
    </row>
    <row r="17" spans="1:29" ht="15">
      <c r="A17" s="118"/>
      <c r="B17" s="108"/>
      <c r="O17" s="77" t="s">
        <v>380</v>
      </c>
      <c r="P17" s="74"/>
      <c r="Q17" s="74"/>
      <c r="R17" s="74"/>
      <c r="S17" s="74"/>
      <c r="U17" s="77" t="s">
        <v>723</v>
      </c>
      <c r="V17" s="74"/>
      <c r="W17" s="74"/>
      <c r="AA17" s="1238"/>
      <c r="AB17" s="1238"/>
      <c r="AC17" s="1238"/>
    </row>
    <row r="18" spans="1:29" ht="15">
      <c r="A18" s="116" t="s">
        <v>533</v>
      </c>
      <c r="B18" s="107" t="str">
        <f>+'Datos de entrada (Off grid)'!R7</f>
        <v>Panel solar Monocristalino  HalfCell (585W)</v>
      </c>
      <c r="F18" s="20" t="s">
        <v>36</v>
      </c>
      <c r="G18"/>
      <c r="O18" s="72" t="s">
        <v>720</v>
      </c>
      <c r="P18" s="72" t="s">
        <v>719</v>
      </c>
      <c r="Q18" s="72" t="s">
        <v>721</v>
      </c>
      <c r="R18" s="72" t="s">
        <v>724</v>
      </c>
      <c r="S18" s="190" t="s">
        <v>380</v>
      </c>
      <c r="U18" s="72" t="s">
        <v>726</v>
      </c>
      <c r="V18" s="72" t="s">
        <v>725</v>
      </c>
      <c r="W18" s="190" t="s">
        <v>725</v>
      </c>
    </row>
    <row r="19" spans="1:29" ht="15">
      <c r="A19" s="116" t="s">
        <v>384</v>
      </c>
      <c r="B19" s="107">
        <f>+VLOOKUP($B$18,'Datos Equipos'!$B$9:$N$25,6,)</f>
        <v>585</v>
      </c>
      <c r="F19" s="55" t="s">
        <v>275</v>
      </c>
      <c r="G19" s="658">
        <v>2</v>
      </c>
      <c r="O19" s="74">
        <f>+D4</f>
        <v>12</v>
      </c>
      <c r="P19" s="77">
        <v>1.55</v>
      </c>
      <c r="Q19" s="74" t="e">
        <f>+B23</f>
        <v>#N/A</v>
      </c>
      <c r="R19" s="74" t="e">
        <f>+B28/(Q19*1.1)</f>
        <v>#N/A</v>
      </c>
      <c r="S19" s="191" t="e">
        <f>+ROUNDDOWN(R19,0)</f>
        <v>#N/A</v>
      </c>
      <c r="U19" s="74">
        <f>+B28</f>
        <v>250</v>
      </c>
      <c r="V19" s="74" t="e">
        <f>+U19/(B22*1.1)</f>
        <v>#N/A</v>
      </c>
      <c r="W19" s="191" t="e">
        <f>+ROUNDDOWN(V19,0)</f>
        <v>#N/A</v>
      </c>
    </row>
    <row r="20" spans="1:29" ht="15">
      <c r="A20" s="116" t="s">
        <v>383</v>
      </c>
      <c r="B20" s="107" t="e">
        <f>+VLOOKUP($B$18,'Datos Equipos'!$B$9:$N$21,10,)</f>
        <v>#N/A</v>
      </c>
      <c r="F20" s="55" t="s">
        <v>276</v>
      </c>
      <c r="G20" s="658">
        <v>2</v>
      </c>
      <c r="O20" s="1242" t="s">
        <v>722</v>
      </c>
      <c r="P20" s="1245"/>
      <c r="Q20" s="1245"/>
      <c r="R20" s="1245"/>
      <c r="S20" s="1245"/>
      <c r="U20" s="74"/>
      <c r="V20" s="74"/>
      <c r="W20" s="74"/>
    </row>
    <row r="21" spans="1:29" ht="15">
      <c r="A21" s="116" t="s">
        <v>385</v>
      </c>
      <c r="B21" s="107" t="e">
        <f>+VLOOKUP($B$18,'Datos Equipos'!$B$9:$N$21,8,)</f>
        <v>#N/A</v>
      </c>
      <c r="F21" s="55" t="s">
        <v>3818</v>
      </c>
      <c r="G21" s="243">
        <v>100000</v>
      </c>
      <c r="H21" s="188"/>
    </row>
    <row r="22" spans="1:29" ht="15">
      <c r="A22" s="116" t="s">
        <v>536</v>
      </c>
      <c r="B22" s="107" t="e">
        <f>+VLOOKUP($B$18,'Datos Equipos'!$B$9:$N$21,7,)</f>
        <v>#N/A</v>
      </c>
      <c r="F22" s="55" t="s">
        <v>3819</v>
      </c>
      <c r="G22" s="243">
        <v>80000</v>
      </c>
      <c r="H22" s="1125"/>
    </row>
    <row r="23" spans="1:29" ht="15">
      <c r="A23" s="116" t="s">
        <v>386</v>
      </c>
      <c r="B23" s="107" t="e">
        <f>+VLOOKUP($B$18,'Datos Equipos'!$B$9:$N$21,5,)</f>
        <v>#N/A</v>
      </c>
      <c r="F23" s="225" t="s">
        <v>273</v>
      </c>
      <c r="G23" s="243">
        <f>G21*G20*B133</f>
        <v>2200000</v>
      </c>
      <c r="H23" s="1125"/>
    </row>
    <row r="24" spans="1:29" ht="15">
      <c r="A24" s="116" t="s">
        <v>194</v>
      </c>
      <c r="B24" s="121" t="e">
        <f>+VLOOKUP($B$18,'Datos Equipos'!$B$9:$N$21,13,)</f>
        <v>#N/A</v>
      </c>
      <c r="F24" s="225" t="s">
        <v>274</v>
      </c>
      <c r="G24" s="243">
        <f>G21*G19*B107</f>
        <v>2006819.7108732502</v>
      </c>
      <c r="H24" s="1126" t="s">
        <v>3838</v>
      </c>
    </row>
    <row r="25" spans="1:29" ht="15">
      <c r="A25" s="119"/>
      <c r="B25" s="79"/>
      <c r="F25"/>
      <c r="G25"/>
    </row>
    <row r="26" spans="1:29" ht="15">
      <c r="A26" s="116" t="s">
        <v>157</v>
      </c>
      <c r="B26" s="107" t="str">
        <f>+'Datos de entrada (Off grid)'!R10</f>
        <v>BlueSolar MPPT 150/70-MC4 Victron Energy</v>
      </c>
      <c r="F26" s="55" t="s">
        <v>774</v>
      </c>
      <c r="G26" s="243">
        <v>60000</v>
      </c>
    </row>
    <row r="27" spans="1:29" ht="15">
      <c r="A27" s="116" t="s">
        <v>394</v>
      </c>
      <c r="B27" s="107">
        <f>+VLOOKUP(B26,'Precios E&amp;M'!A3:I53,9,FALSE)</f>
        <v>70</v>
      </c>
      <c r="F27" s="55" t="s">
        <v>3817</v>
      </c>
      <c r="G27" s="243">
        <v>70000</v>
      </c>
    </row>
    <row r="28" spans="1:29" ht="15">
      <c r="A28" s="116" t="s">
        <v>395</v>
      </c>
      <c r="B28" s="107">
        <f>+VLOOKUP(B26,'Precios E&amp;M'!A3:I53,8,FALSE)</f>
        <v>250</v>
      </c>
      <c r="F28" s="55" t="s">
        <v>3821</v>
      </c>
      <c r="G28" s="243">
        <v>5000</v>
      </c>
    </row>
    <row r="29" spans="1:29" ht="15">
      <c r="A29" s="116" t="s">
        <v>731</v>
      </c>
      <c r="B29" s="107">
        <f>+VLOOKUP(B26,'Precios E&amp;M'!A3:J53,10,FALSE)</f>
        <v>0</v>
      </c>
      <c r="F29" s="225" t="s">
        <v>906</v>
      </c>
      <c r="G29" s="243">
        <f>IF('Datos de entrada (Off grid)'!R17="Ida y regreso",G28*B133*(G19+G20),(G26+G27+G28)*B133*(G19+G20))</f>
        <v>220000</v>
      </c>
      <c r="H29" s="80" t="s">
        <v>3862</v>
      </c>
    </row>
    <row r="30" spans="1:29" ht="15">
      <c r="A30" s="116" t="s">
        <v>194</v>
      </c>
      <c r="B30" s="121">
        <f>+VLOOKUP(B26,'Precios E&amp;M'!A3:I53,4,FALSE)</f>
        <v>1306878.3</v>
      </c>
      <c r="F30" s="55" t="s">
        <v>277</v>
      </c>
      <c r="G30" s="647">
        <f>+G29+G24+G23</f>
        <v>4426819.7108732499</v>
      </c>
    </row>
    <row r="31" spans="1:29" ht="15">
      <c r="A31" s="71"/>
      <c r="F31" s="55" t="s">
        <v>3824</v>
      </c>
      <c r="G31" s="243">
        <v>180000</v>
      </c>
    </row>
    <row r="32" spans="1:29">
      <c r="A32" s="107" t="s">
        <v>269</v>
      </c>
      <c r="B32" s="107" t="str">
        <f>+'Datos de entrada (Off grid)'!R11</f>
        <v>MultiPlus 12/2000/80-50 120V VE.Bus Victron Energy</v>
      </c>
      <c r="F32"/>
      <c r="G32" s="17"/>
      <c r="H32" s="1127"/>
    </row>
    <row r="33" spans="1:9" ht="15">
      <c r="A33" s="116" t="s">
        <v>192</v>
      </c>
      <c r="B33" s="107">
        <f>+VLOOKUP(B32,'Precios E&amp;M'!A57:L100,8,FALSE)</f>
        <v>3000</v>
      </c>
      <c r="F33" s="55" t="s">
        <v>3822</v>
      </c>
      <c r="G33" s="659">
        <v>500</v>
      </c>
    </row>
    <row r="34" spans="1:9" ht="15">
      <c r="A34" s="116" t="s">
        <v>400</v>
      </c>
      <c r="B34" s="107">
        <f>+VLOOKUP(B32,'Precios E&amp;M'!A57:L100,7,FALSE)</f>
        <v>12</v>
      </c>
      <c r="F34" s="55" t="s">
        <v>775</v>
      </c>
      <c r="G34" s="659">
        <v>12000</v>
      </c>
    </row>
    <row r="35" spans="1:9" ht="15">
      <c r="A35" s="120" t="s">
        <v>401</v>
      </c>
      <c r="B35" s="78">
        <v>95</v>
      </c>
      <c r="F35" s="55" t="s">
        <v>3816</v>
      </c>
      <c r="G35" s="852">
        <f>+'Datos de entrada (Off grid)'!R18/50*G34</f>
        <v>72000</v>
      </c>
    </row>
    <row r="36" spans="1:9">
      <c r="A36" s="77" t="s">
        <v>194</v>
      </c>
      <c r="B36" s="122">
        <f>+VLOOKUP(B32,'Precios E&amp;M'!A57:L100,4,FALSE)</f>
        <v>3204173.7</v>
      </c>
      <c r="F36" s="55" t="s">
        <v>3820</v>
      </c>
      <c r="G36" s="1128">
        <f>+G33*'Datos de entrada (Off grid)'!R18</f>
        <v>150000</v>
      </c>
    </row>
    <row r="37" spans="1:9" ht="15">
      <c r="F37" s="225" t="s">
        <v>3863</v>
      </c>
      <c r="G37" s="852">
        <f>IF('Datos de entrada (Off grid)'!R17="Ida y regreso",G35*(B133+4)*2,G35*2+G31*6)</f>
        <v>2160000</v>
      </c>
    </row>
    <row r="38" spans="1:9" ht="15">
      <c r="A38" s="1242" t="s">
        <v>381</v>
      </c>
      <c r="B38" s="1242"/>
      <c r="F38" s="225" t="s">
        <v>3864</v>
      </c>
      <c r="G38" s="852">
        <f>IF('Datos de entrada (Off grid)'!R17="Ida y regreso",G36*(B133+4)*2,G31*2*5+G31*6)</f>
        <v>4500000</v>
      </c>
    </row>
    <row r="39" spans="1:9" ht="15.75">
      <c r="A39" s="189" t="s">
        <v>382</v>
      </c>
      <c r="B39" s="74">
        <f>VLOOKUP('Datos de entrada (Off grid)'!G6,'Datos Equipos'!B192:D205,3,FALSE)</f>
        <v>5.5677635368663596</v>
      </c>
      <c r="D39" s="235">
        <v>0.1</v>
      </c>
    </row>
    <row r="40" spans="1:9" ht="15">
      <c r="F40" s="1129"/>
      <c r="G40" s="237"/>
    </row>
    <row r="41" spans="1:9" ht="15" thickBot="1">
      <c r="F41" s="920"/>
      <c r="G41" s="1130"/>
    </row>
    <row r="42" spans="1:9" ht="15.75" thickBot="1">
      <c r="A42" s="1243" t="s">
        <v>197</v>
      </c>
      <c r="B42" s="1244"/>
      <c r="D42" s="80" t="s">
        <v>42</v>
      </c>
      <c r="I42" s="162"/>
    </row>
    <row r="43" spans="1:9">
      <c r="A43" s="149" t="s">
        <v>159</v>
      </c>
      <c r="B43" s="146" t="e">
        <f>+B24*AA9</f>
        <v>#N/A</v>
      </c>
      <c r="D43" s="188" t="e">
        <f>+B43</f>
        <v>#N/A</v>
      </c>
      <c r="I43" s="162"/>
    </row>
    <row r="44" spans="1:9">
      <c r="A44" s="150" t="s">
        <v>198</v>
      </c>
      <c r="B44" s="147">
        <f>+B36*AS4</f>
        <v>3204173.7</v>
      </c>
      <c r="D44" s="188">
        <f>+B44</f>
        <v>3204173.7</v>
      </c>
      <c r="I44" s="162"/>
    </row>
    <row r="45" spans="1:9">
      <c r="A45" s="150" t="s">
        <v>157</v>
      </c>
      <c r="B45" s="147">
        <f>+B30*AL9</f>
        <v>1306878.3</v>
      </c>
      <c r="D45" s="188">
        <f>+B45</f>
        <v>1306878.3</v>
      </c>
      <c r="F45" s="188"/>
      <c r="I45" s="162"/>
    </row>
    <row r="46" spans="1:9">
      <c r="A46" s="150" t="s">
        <v>537</v>
      </c>
      <c r="B46" s="147">
        <f>IF('Datos de entrada (Off grid)'!R9="Kit Solar",0,IF(AA9&gt;6,AA9*50000,300000))</f>
        <v>300000</v>
      </c>
      <c r="D46" s="188">
        <f>+B46</f>
        <v>300000</v>
      </c>
      <c r="I46" s="162"/>
    </row>
    <row r="47" spans="1:9" ht="15">
      <c r="A47" s="151" t="s">
        <v>202</v>
      </c>
      <c r="B47" s="147" t="e">
        <f>+SUM(B43:B46)</f>
        <v>#N/A</v>
      </c>
      <c r="D47" s="236" t="e">
        <f>+B47</f>
        <v>#N/A</v>
      </c>
      <c r="I47" s="162"/>
    </row>
    <row r="48" spans="1:9" ht="15.75" thickBot="1">
      <c r="A48" s="152" t="s">
        <v>203</v>
      </c>
      <c r="B48" s="148" t="e">
        <f>IF('Datos de entrada (Off grid)'!R9="Kit Solar",B47/(1-('Datos de entrada (Off grid)'!#REF!+'Datos de entrada (Off grid)'!G9)+5%),B47/(1-('Datos de entrada (Off grid)'!#REF!+'Datos de entrada (Off grid)'!G9)))</f>
        <v>#N/A</v>
      </c>
      <c r="D48" s="234" t="e">
        <f>+D47/(1-D39)</f>
        <v>#N/A</v>
      </c>
      <c r="I48" s="162"/>
    </row>
    <row r="49" spans="1:9" ht="15.75" thickBot="1">
      <c r="A49" s="153"/>
      <c r="B49" s="154"/>
      <c r="I49" s="162"/>
    </row>
    <row r="50" spans="1:9">
      <c r="A50" s="144" t="s">
        <v>158</v>
      </c>
      <c r="B50" s="145" t="e">
        <f>+B16*M4</f>
        <v>#N/A</v>
      </c>
      <c r="D50" s="237" t="e">
        <f>+B50</f>
        <v>#N/A</v>
      </c>
      <c r="I50" s="162"/>
    </row>
    <row r="51" spans="1:9" ht="15">
      <c r="A51" s="141" t="s">
        <v>199</v>
      </c>
      <c r="B51" s="142">
        <v>1000000</v>
      </c>
      <c r="D51" s="238">
        <v>500000</v>
      </c>
      <c r="I51" s="162"/>
    </row>
    <row r="52" spans="1:9" ht="15">
      <c r="A52" s="141" t="s">
        <v>200</v>
      </c>
      <c r="B52" s="142">
        <f>IF('Datos de entrada (Off grid)'!R9="Kit Solar",0,VLOOKUP('Datos de entrada (Off grid)'!R6,'Datos Equipos'!B154:C164,2,FALSE)*AA9)</f>
        <v>1320000</v>
      </c>
      <c r="D52" s="188"/>
      <c r="I52" s="162"/>
    </row>
    <row r="53" spans="1:9" ht="45">
      <c r="A53" s="141" t="s">
        <v>151</v>
      </c>
      <c r="B53" s="142">
        <f>+B70*0.8</f>
        <v>4041600</v>
      </c>
      <c r="D53" s="188"/>
      <c r="I53" s="162"/>
    </row>
    <row r="54" spans="1:9" ht="15">
      <c r="A54" s="140" t="s">
        <v>201</v>
      </c>
      <c r="B54" s="143" t="e">
        <f>+SUM(B50:B53)</f>
        <v>#N/A</v>
      </c>
      <c r="D54" s="233" t="e">
        <f>+D51+D50</f>
        <v>#N/A</v>
      </c>
      <c r="I54" s="162"/>
    </row>
    <row r="55" spans="1:9" ht="15">
      <c r="A55" s="140" t="s">
        <v>205</v>
      </c>
      <c r="B55" s="143" t="e">
        <f>IF('Datos de entrada (Off grid)'!R9="Kit Solar",B54/(1-('Datos de entrada (Off grid)'!#REF!+'Datos de entrada (Off grid)'!G9-0.05)),B54/(1-('Datos de entrada (Off grid)'!#REF!+'Datos de entrada (Off grid)'!G9)))</f>
        <v>#N/A</v>
      </c>
      <c r="D55" s="234" t="e">
        <f>+D54/(1-D39)</f>
        <v>#N/A</v>
      </c>
      <c r="E55" s="188" t="e">
        <f>+D55+D48</f>
        <v>#N/A</v>
      </c>
      <c r="I55" s="162"/>
    </row>
    <row r="56" spans="1:9" ht="15" thickBot="1">
      <c r="A56" s="155" t="s">
        <v>206</v>
      </c>
      <c r="B56" s="156" t="e">
        <f>+B55*19%</f>
        <v>#N/A</v>
      </c>
      <c r="D56" s="233" t="e">
        <f>+D55*0.19</f>
        <v>#N/A</v>
      </c>
      <c r="I56" s="162"/>
    </row>
    <row r="57" spans="1:9" ht="15.75" thickBot="1">
      <c r="A57" s="157" t="s">
        <v>207</v>
      </c>
      <c r="B57" s="158" t="e">
        <f>+B56+B55+B48</f>
        <v>#N/A</v>
      </c>
      <c r="D57" s="239" t="e">
        <f>+D56+D55+D48</f>
        <v>#N/A</v>
      </c>
    </row>
    <row r="60" spans="1:9">
      <c r="A60" s="77" t="s">
        <v>296</v>
      </c>
      <c r="B60" s="74">
        <f>+(ROUNDUP(IF(AA9&lt;=10,3,IF(AA9&lt;=20,CEILING((1/3)*AA9+(1/3),1),_xlfn.CEILING.MATH(0.15*AA9+6)))*(3)/(B64+B65),0))</f>
        <v>3</v>
      </c>
      <c r="C60" s="74" t="s">
        <v>281</v>
      </c>
    </row>
    <row r="63" spans="1:9" ht="15">
      <c r="A63" s="20" t="s">
        <v>36</v>
      </c>
      <c r="B63"/>
    </row>
    <row r="64" spans="1:9">
      <c r="A64" s="55" t="s">
        <v>275</v>
      </c>
      <c r="B64" s="54">
        <v>2</v>
      </c>
    </row>
    <row r="65" spans="1:7">
      <c r="A65" s="55" t="s">
        <v>276</v>
      </c>
      <c r="B65" s="54">
        <v>2</v>
      </c>
    </row>
    <row r="66" spans="1:7">
      <c r="A66" s="55" t="s">
        <v>278</v>
      </c>
      <c r="B66" s="53">
        <v>200000</v>
      </c>
    </row>
    <row r="67" spans="1:7">
      <c r="A67" s="55" t="s">
        <v>273</v>
      </c>
      <c r="B67" s="53">
        <f>130000*B60*B65</f>
        <v>780000</v>
      </c>
    </row>
    <row r="68" spans="1:7">
      <c r="A68" s="55" t="s">
        <v>274</v>
      </c>
      <c r="B68" s="53">
        <f>B66*'Datos de entrada (Off grid)'!R24*B64</f>
        <v>4212000</v>
      </c>
    </row>
    <row r="69" spans="1:7">
      <c r="A69" s="55" t="s">
        <v>272</v>
      </c>
      <c r="B69" s="53">
        <f>IF('Datos de entrada (Off grid)'!K12="Full",((B64+B65)*(300000+B60*100000)),IF('Datos de entrada (Off grid)'!K12="No",(5000)*B60*(B64+B65),(300000)*(B64+B65)))</f>
        <v>60000</v>
      </c>
    </row>
    <row r="70" spans="1:7" ht="15">
      <c r="A70" s="55" t="s">
        <v>277</v>
      </c>
      <c r="B70" s="28">
        <f>B69+B68+B67</f>
        <v>5052000</v>
      </c>
    </row>
    <row r="79" spans="1:7" ht="15">
      <c r="A79" s="862" t="s">
        <v>920</v>
      </c>
      <c r="B79" s="862" t="s">
        <v>194</v>
      </c>
      <c r="C79" s="862" t="s">
        <v>206</v>
      </c>
      <c r="D79" s="20" t="s">
        <v>854</v>
      </c>
      <c r="E79" s="20" t="s">
        <v>206</v>
      </c>
      <c r="F79" s="20" t="s">
        <v>277</v>
      </c>
      <c r="G79" s="20" t="s">
        <v>3869</v>
      </c>
    </row>
    <row r="80" spans="1:7" ht="15.75">
      <c r="A80" s="878" t="s">
        <v>159</v>
      </c>
      <c r="B80" s="879">
        <f>VLOOKUP('Datos de entrada (Off grid)'!R7,'Datos Equipos'!B21:N29,13,FALSE)*B111</f>
        <v>6844500</v>
      </c>
      <c r="C80" s="880"/>
      <c r="D80" s="880">
        <f>+B80/(1-0.3)</f>
        <v>9777857.1428571437</v>
      </c>
      <c r="E80" s="880"/>
      <c r="F80" s="884">
        <f t="shared" ref="F80:F93" si="0">+D80+E80:E80</f>
        <v>9777857.1428571437</v>
      </c>
      <c r="G80" s="59" t="e">
        <f>+F80/$F$97</f>
        <v>#N/A</v>
      </c>
    </row>
    <row r="81" spans="1:7" ht="15.75">
      <c r="A81" s="878" t="s">
        <v>924</v>
      </c>
      <c r="B81" s="879">
        <f>++VLOOKUP(B32,'Precios E&amp;M'!A57:L100,4,FALSE)*B119</f>
        <v>9612521.1000000015</v>
      </c>
      <c r="C81" s="880"/>
      <c r="D81" s="880">
        <f t="shared" ref="D81:D97" si="1">+B81/(1-0.3)</f>
        <v>13732173.000000004</v>
      </c>
      <c r="E81" s="880"/>
      <c r="F81" s="884">
        <f t="shared" si="0"/>
        <v>13732173.000000004</v>
      </c>
      <c r="G81" s="59" t="e">
        <f t="shared" ref="G81:G96" si="2">+F81/$F$97</f>
        <v>#N/A</v>
      </c>
    </row>
    <row r="82" spans="1:7" ht="15.75">
      <c r="A82" s="878" t="s">
        <v>200</v>
      </c>
      <c r="B82" s="879">
        <f>IF(B111&gt;10,VLOOKUP('Datos de entrada (Off grid)'!R6,'Datos Equipos'!B159:C169,2,FALSE)*B111/1.19,VLOOKUP('Datos de entrada (Off grid)'!R6,'Datos Equipos'!B159:D172,3,FALSE)*B111/1.19)</f>
        <v>3327731.0924369749</v>
      </c>
      <c r="C82" s="880">
        <f>+B82*19%</f>
        <v>632268.90756302525</v>
      </c>
      <c r="D82" s="880">
        <f t="shared" si="1"/>
        <v>4753901.5606242502</v>
      </c>
      <c r="E82" s="880">
        <f>+D82*19%</f>
        <v>903241.29651860753</v>
      </c>
      <c r="F82" s="884">
        <f t="shared" si="0"/>
        <v>5657142.8571428582</v>
      </c>
      <c r="G82" s="59" t="e">
        <f t="shared" si="2"/>
        <v>#N/A</v>
      </c>
    </row>
    <row r="83" spans="1:7" ht="15.75">
      <c r="A83" s="878" t="s">
        <v>199</v>
      </c>
      <c r="B83" s="1107">
        <f>500000*B111</f>
        <v>9000000</v>
      </c>
      <c r="C83" s="880">
        <f>+B83*19%</f>
        <v>1710000</v>
      </c>
      <c r="D83" s="880">
        <f t="shared" si="1"/>
        <v>12857142.857142858</v>
      </c>
      <c r="E83" s="880">
        <f>+D83*19%</f>
        <v>2442857.1428571432</v>
      </c>
      <c r="F83" s="884">
        <f t="shared" si="0"/>
        <v>15300000.000000002</v>
      </c>
      <c r="G83" s="59" t="e">
        <f t="shared" si="2"/>
        <v>#N/A</v>
      </c>
    </row>
    <row r="84" spans="1:7" ht="15.75">
      <c r="A84" s="878" t="s">
        <v>3860</v>
      </c>
      <c r="B84" s="1123">
        <f>+G30</f>
        <v>4426819.7108732499</v>
      </c>
      <c r="C84" s="880">
        <f>+B84*19%</f>
        <v>841095.74506591749</v>
      </c>
      <c r="D84" s="880">
        <f t="shared" si="1"/>
        <v>6324028.1583903572</v>
      </c>
      <c r="E84" s="880">
        <f>+D84*19%</f>
        <v>1201565.350094168</v>
      </c>
      <c r="F84" s="884">
        <f t="shared" si="0"/>
        <v>7525593.5084845256</v>
      </c>
      <c r="G84" s="59" t="e">
        <f t="shared" si="2"/>
        <v>#N/A</v>
      </c>
    </row>
    <row r="85" spans="1:7" ht="15.75">
      <c r="A85" s="878" t="s">
        <v>3861</v>
      </c>
      <c r="B85" s="1107">
        <f>+G37+G38</f>
        <v>6660000</v>
      </c>
      <c r="C85" s="880"/>
      <c r="D85" s="880">
        <f t="shared" si="1"/>
        <v>9514285.7142857146</v>
      </c>
      <c r="E85" s="880"/>
      <c r="F85" s="884">
        <f t="shared" si="0"/>
        <v>9514285.7142857146</v>
      </c>
      <c r="G85" s="59" t="e">
        <f t="shared" si="2"/>
        <v>#N/A</v>
      </c>
    </row>
    <row r="86" spans="1:7" ht="15.75">
      <c r="A86" s="878" t="s">
        <v>3829</v>
      </c>
      <c r="B86" s="879">
        <f>100000*B107</f>
        <v>1003409.8554366251</v>
      </c>
      <c r="C86" s="880"/>
      <c r="D86" s="880">
        <f t="shared" si="1"/>
        <v>1433442.6506237502</v>
      </c>
      <c r="E86" s="880"/>
      <c r="F86" s="884">
        <f t="shared" si="0"/>
        <v>1433442.6506237502</v>
      </c>
      <c r="G86" s="59" t="e">
        <f t="shared" si="2"/>
        <v>#N/A</v>
      </c>
    </row>
    <row r="87" spans="1:7" ht="15.75">
      <c r="A87" s="878" t="s">
        <v>907</v>
      </c>
      <c r="B87" s="879">
        <f>+IF(B107&lt;3,300000,IF(C29&lt;10,400000,700000))</f>
        <v>400000</v>
      </c>
      <c r="C87" s="880">
        <f>+B87*19%</f>
        <v>76000</v>
      </c>
      <c r="D87" s="880">
        <f t="shared" si="1"/>
        <v>571428.57142857148</v>
      </c>
      <c r="E87" s="880">
        <f>+D87*19%</f>
        <v>108571.42857142858</v>
      </c>
      <c r="F87" s="884">
        <f t="shared" si="0"/>
        <v>680000</v>
      </c>
      <c r="G87" s="59" t="e">
        <f t="shared" si="2"/>
        <v>#N/A</v>
      </c>
    </row>
    <row r="88" spans="1:7" ht="15.75">
      <c r="A88" s="878" t="s">
        <v>3866</v>
      </c>
      <c r="B88" s="879">
        <v>0</v>
      </c>
      <c r="C88" s="880">
        <f t="shared" ref="C88:E93" si="3">+B88*19%</f>
        <v>0</v>
      </c>
      <c r="D88" s="880">
        <f t="shared" si="1"/>
        <v>0</v>
      </c>
      <c r="E88" s="880">
        <f t="shared" si="3"/>
        <v>0</v>
      </c>
      <c r="F88" s="884">
        <f t="shared" si="0"/>
        <v>0</v>
      </c>
      <c r="G88" s="59" t="e">
        <f t="shared" si="2"/>
        <v>#N/A</v>
      </c>
    </row>
    <row r="89" spans="1:7" ht="15.75">
      <c r="A89" s="878" t="s">
        <v>1238</v>
      </c>
      <c r="B89" s="879">
        <v>0</v>
      </c>
      <c r="C89" s="880">
        <f t="shared" si="3"/>
        <v>0</v>
      </c>
      <c r="D89" s="880">
        <f t="shared" si="1"/>
        <v>0</v>
      </c>
      <c r="E89" s="880">
        <f t="shared" si="3"/>
        <v>0</v>
      </c>
      <c r="F89" s="884">
        <f t="shared" si="0"/>
        <v>0</v>
      </c>
      <c r="G89" s="59" t="e">
        <f t="shared" si="2"/>
        <v>#N/A</v>
      </c>
    </row>
    <row r="90" spans="1:7" ht="15.75">
      <c r="A90" s="655" t="s">
        <v>1868</v>
      </c>
      <c r="B90" s="879">
        <v>0</v>
      </c>
      <c r="C90" s="880">
        <f t="shared" si="3"/>
        <v>0</v>
      </c>
      <c r="D90" s="880">
        <f t="shared" si="1"/>
        <v>0</v>
      </c>
      <c r="E90" s="880">
        <f t="shared" si="3"/>
        <v>0</v>
      </c>
      <c r="F90" s="884">
        <f t="shared" si="0"/>
        <v>0</v>
      </c>
      <c r="G90" s="59" t="e">
        <f t="shared" si="2"/>
        <v>#N/A</v>
      </c>
    </row>
    <row r="91" spans="1:7" ht="15.75">
      <c r="A91" s="655" t="s">
        <v>482</v>
      </c>
      <c r="B91" s="879" t="e">
        <f>+VLOOKUP('Datos de entrada (Off grid)'!R8,'Precios E&amp;M'!A142:I160,9,FALSE)*B116</f>
        <v>#N/A</v>
      </c>
      <c r="C91" s="880" t="e">
        <f t="shared" si="3"/>
        <v>#N/A</v>
      </c>
      <c r="D91" s="880" t="e">
        <f t="shared" si="1"/>
        <v>#N/A</v>
      </c>
      <c r="E91" s="880" t="e">
        <f t="shared" si="3"/>
        <v>#N/A</v>
      </c>
      <c r="F91" s="884" t="e">
        <f t="shared" si="0"/>
        <v>#N/A</v>
      </c>
      <c r="G91" s="59" t="e">
        <f t="shared" si="2"/>
        <v>#N/A</v>
      </c>
    </row>
    <row r="92" spans="1:7" ht="15.75">
      <c r="A92" s="655" t="s">
        <v>435</v>
      </c>
      <c r="B92" s="879">
        <f>+VLOOKUP('Datos de entrada (Off grid)'!R10,'Precios E&amp;M'!A3:I53,4,FALSE)*'Datos de entrada (Off grid)'!R16</f>
        <v>2613756.6</v>
      </c>
      <c r="C92" s="880">
        <f t="shared" si="3"/>
        <v>496613.75400000002</v>
      </c>
      <c r="D92" s="880">
        <f t="shared" si="1"/>
        <v>3733938.0000000005</v>
      </c>
      <c r="E92" s="880">
        <f t="shared" si="3"/>
        <v>709448.22000000009</v>
      </c>
      <c r="F92" s="884">
        <f t="shared" si="0"/>
        <v>4443386.2200000007</v>
      </c>
      <c r="G92" s="59" t="e">
        <f t="shared" si="2"/>
        <v>#N/A</v>
      </c>
    </row>
    <row r="93" spans="1:7" ht="15.75">
      <c r="A93" s="655" t="s">
        <v>1867</v>
      </c>
      <c r="B93" s="879">
        <v>0</v>
      </c>
      <c r="C93" s="880">
        <f t="shared" si="3"/>
        <v>0</v>
      </c>
      <c r="D93" s="880">
        <f t="shared" si="1"/>
        <v>0</v>
      </c>
      <c r="E93" s="880">
        <f t="shared" si="3"/>
        <v>0</v>
      </c>
      <c r="F93" s="884">
        <f t="shared" si="0"/>
        <v>0</v>
      </c>
      <c r="G93" s="59" t="e">
        <f t="shared" si="2"/>
        <v>#N/A</v>
      </c>
    </row>
    <row r="94" spans="1:7" ht="15.75">
      <c r="A94" s="878" t="s">
        <v>3832</v>
      </c>
      <c r="B94" s="879">
        <v>50000</v>
      </c>
      <c r="C94" s="880">
        <f>+B94*19%</f>
        <v>9500</v>
      </c>
      <c r="D94" s="880">
        <f t="shared" si="1"/>
        <v>71428.571428571435</v>
      </c>
      <c r="E94" s="880">
        <f>+D94*19%</f>
        <v>13571.428571428572</v>
      </c>
      <c r="F94" s="884">
        <f>+D94+E94:E94</f>
        <v>85000</v>
      </c>
      <c r="G94" s="59" t="e">
        <f t="shared" si="2"/>
        <v>#N/A</v>
      </c>
    </row>
    <row r="95" spans="1:7" ht="15.75">
      <c r="A95" s="878" t="s">
        <v>3833</v>
      </c>
      <c r="B95" s="879">
        <v>150000</v>
      </c>
      <c r="C95" s="880">
        <f>+B95*19%</f>
        <v>28500</v>
      </c>
      <c r="D95" s="880">
        <f t="shared" si="1"/>
        <v>214285.71428571429</v>
      </c>
      <c r="E95" s="880">
        <f>+D95*19%</f>
        <v>40714.285714285717</v>
      </c>
      <c r="F95" s="884">
        <f>+D95+E95:E95</f>
        <v>255000</v>
      </c>
      <c r="G95" s="59" t="e">
        <f t="shared" si="2"/>
        <v>#N/A</v>
      </c>
    </row>
    <row r="96" spans="1:7" ht="15.75">
      <c r="A96" s="878" t="s">
        <v>3834</v>
      </c>
      <c r="B96" s="879" t="e">
        <f>3%*SUM(B80:B95)</f>
        <v>#N/A</v>
      </c>
      <c r="C96" s="880" t="e">
        <f>+B96*19%</f>
        <v>#N/A</v>
      </c>
      <c r="D96" s="880" t="e">
        <f t="shared" si="1"/>
        <v>#N/A</v>
      </c>
      <c r="E96" s="880" t="e">
        <f>+D96*19%</f>
        <v>#N/A</v>
      </c>
      <c r="F96" s="884" t="e">
        <f>+D96+E96:E96</f>
        <v>#N/A</v>
      </c>
      <c r="G96" s="59" t="e">
        <f t="shared" si="2"/>
        <v>#N/A</v>
      </c>
    </row>
    <row r="97" spans="1:7" ht="15">
      <c r="A97" s="862" t="s">
        <v>277</v>
      </c>
      <c r="B97" s="880" t="e">
        <f>+SUM(B80:B96)</f>
        <v>#N/A</v>
      </c>
      <c r="C97" s="880" t="e">
        <f>+SUM(C80:C96)</f>
        <v>#N/A</v>
      </c>
      <c r="D97" s="880" t="e">
        <f t="shared" si="1"/>
        <v>#N/A</v>
      </c>
      <c r="E97" s="880" t="e">
        <f>+SUM(E80:E96)</f>
        <v>#N/A</v>
      </c>
      <c r="F97" s="858" t="e">
        <f>+SUM(F80:F96)</f>
        <v>#N/A</v>
      </c>
      <c r="G97"/>
    </row>
    <row r="98" spans="1:7" ht="15">
      <c r="A98"/>
      <c r="B98" s="56" t="e">
        <f>+B97+C97</f>
        <v>#N/A</v>
      </c>
      <c r="C98" s="825"/>
      <c r="D98"/>
      <c r="E98" s="882" t="s">
        <v>3870</v>
      </c>
      <c r="F98" s="885" t="e">
        <f>+F97*'Datos de entrada (Off grid)'!G9</f>
        <v>#N/A</v>
      </c>
      <c r="G98"/>
    </row>
    <row r="99" spans="1:7" ht="15">
      <c r="A99"/>
      <c r="B99"/>
      <c r="C99"/>
      <c r="D99"/>
      <c r="E99" s="882" t="s">
        <v>277</v>
      </c>
      <c r="F99" s="886" t="e">
        <f>+F98+F97</f>
        <v>#N/A</v>
      </c>
      <c r="G99"/>
    </row>
    <row r="100" spans="1:7">
      <c r="A100" s="26"/>
      <c r="B100"/>
      <c r="C100"/>
      <c r="D100"/>
      <c r="E100"/>
      <c r="F100"/>
      <c r="G100"/>
    </row>
    <row r="101" spans="1:7" ht="15">
      <c r="A101" s="26"/>
      <c r="B101"/>
      <c r="C101"/>
      <c r="D101"/>
      <c r="E101" s="20" t="s">
        <v>3865</v>
      </c>
      <c r="F101" s="883" t="s">
        <v>3867</v>
      </c>
      <c r="G101"/>
    </row>
    <row r="102" spans="1:7">
      <c r="A102" s="26"/>
      <c r="B102"/>
      <c r="C102"/>
      <c r="D102"/>
      <c r="E102" s="56" t="e">
        <f>+F99/B107</f>
        <v>#N/A</v>
      </c>
      <c r="F102" s="880">
        <f>+B84/B107</f>
        <v>441177.61918403301</v>
      </c>
      <c r="G102"/>
    </row>
    <row r="105" spans="1:7">
      <c r="A105" s="19" t="s">
        <v>4126</v>
      </c>
      <c r="B105" s="657">
        <f>+'Datos de entrada (Off grid)'!R23</f>
        <v>44.436999999999998</v>
      </c>
      <c r="C105" s="19" t="s">
        <v>180</v>
      </c>
    </row>
    <row r="106" spans="1:7">
      <c r="A106" s="19" t="s">
        <v>183</v>
      </c>
      <c r="B106" s="656">
        <f>VLOOKUP('Datos de entrada (Off grid)'!G6,'Datos Equipos'!B192:D205,3,FALSE)</f>
        <v>5.5677635368663596</v>
      </c>
      <c r="C106" s="19"/>
    </row>
    <row r="107" spans="1:7">
      <c r="A107" s="19" t="s">
        <v>184</v>
      </c>
      <c r="B107" s="656">
        <f>+B105/(B106*B108*B109)</f>
        <v>10.034098554366251</v>
      </c>
      <c r="C107" s="19" t="s">
        <v>187</v>
      </c>
      <c r="D107" s="1124">
        <f>+ROUNDUP(B107,0)</f>
        <v>11</v>
      </c>
    </row>
    <row r="108" spans="1:7">
      <c r="A108" s="19" t="s">
        <v>185</v>
      </c>
      <c r="B108" s="25">
        <v>0.82</v>
      </c>
      <c r="C108" s="19"/>
    </row>
    <row r="109" spans="1:7">
      <c r="A109" s="19" t="s">
        <v>186</v>
      </c>
      <c r="B109" s="25">
        <v>0.97</v>
      </c>
      <c r="C109" s="19"/>
    </row>
    <row r="110" spans="1:7">
      <c r="A110" s="19" t="s">
        <v>188</v>
      </c>
      <c r="B110" s="24">
        <f>+VLOOKUP($B$18,'Datos Equipos'!$B$9:$N$25,6,)</f>
        <v>585</v>
      </c>
      <c r="C110" s="19" t="s">
        <v>189</v>
      </c>
    </row>
    <row r="111" spans="1:7" ht="15">
      <c r="A111" s="20" t="s">
        <v>4128</v>
      </c>
      <c r="B111" s="1131">
        <f>+ROUNDUP(B107/(B110/1000),0)</f>
        <v>18</v>
      </c>
      <c r="C111" s="19"/>
    </row>
    <row r="112" spans="1:7">
      <c r="A112" s="19" t="s">
        <v>1213</v>
      </c>
      <c r="B112" s="24" t="e">
        <f>+VLOOKUP('Datos de entrada (Off grid)'!R8,'Precios E&amp;M'!A142:H160,7,FALSE)</f>
        <v>#N/A</v>
      </c>
      <c r="C112" s="19" t="s">
        <v>513</v>
      </c>
    </row>
    <row r="113" spans="1:4">
      <c r="A113" s="19" t="s">
        <v>4129</v>
      </c>
      <c r="B113" s="24" t="e">
        <f>+VLOOKUP('Datos de entrada (Off grid)'!R8,'Precios E&amp;M'!A142:H160,8,FALSE)</f>
        <v>#N/A</v>
      </c>
      <c r="C113" s="19" t="s">
        <v>515</v>
      </c>
      <c r="D113" s="76" t="e">
        <f>+B113*B112*0.9</f>
        <v>#N/A</v>
      </c>
    </row>
    <row r="114" spans="1:4">
      <c r="A114" s="19" t="s">
        <v>1214</v>
      </c>
      <c r="B114" s="24" t="e">
        <f>+B113*B112*0.9/1000</f>
        <v>#N/A</v>
      </c>
      <c r="C114" s="19" t="s">
        <v>4127</v>
      </c>
    </row>
    <row r="115" spans="1:4">
      <c r="A115" s="19" t="s">
        <v>4130</v>
      </c>
      <c r="B115" s="24">
        <f>+B105*'Datos de entrada (Off grid)'!O10</f>
        <v>44.436999999999998</v>
      </c>
      <c r="C115" s="19" t="s">
        <v>4127</v>
      </c>
    </row>
    <row r="116" spans="1:4" ht="15">
      <c r="A116" s="20" t="s">
        <v>1215</v>
      </c>
      <c r="B116" s="1131" t="e">
        <f>+ROUNDUP(B115/B114,0)</f>
        <v>#N/A</v>
      </c>
      <c r="C116" s="19"/>
    </row>
    <row r="117" spans="1:4">
      <c r="A117" s="19" t="s">
        <v>184</v>
      </c>
      <c r="B117" s="24">
        <f>+SUM('Datos de entrada (Off grid)'!I18:I39)</f>
        <v>7393</v>
      </c>
      <c r="C117" s="19"/>
    </row>
    <row r="118" spans="1:4">
      <c r="A118" s="19" t="s">
        <v>4131</v>
      </c>
      <c r="B118" s="24">
        <f>+VLOOKUP(B32,'Precios E&amp;M'!A57:L100,8,FALSE)</f>
        <v>3000</v>
      </c>
      <c r="C118" s="19" t="s">
        <v>189</v>
      </c>
    </row>
    <row r="119" spans="1:4" ht="15">
      <c r="A119" s="20" t="s">
        <v>163</v>
      </c>
      <c r="B119" s="1131">
        <f>+ROUNDUP(B117/B118,0)</f>
        <v>3</v>
      </c>
      <c r="C119" s="19"/>
    </row>
    <row r="120" spans="1:4">
      <c r="A120" s="19" t="s">
        <v>2406</v>
      </c>
      <c r="B120" s="24">
        <f>+VLOOKUP('Datos de entrada (Off grid)'!R7,'Datos Equipos'!B9:N25,7,FALSE)</f>
        <v>52.36</v>
      </c>
      <c r="C120" s="19"/>
    </row>
    <row r="121" spans="1:4">
      <c r="A121" s="19" t="s">
        <v>2411</v>
      </c>
      <c r="B121" s="24">
        <f>+VLOOKUP('Datos de entrada (Off grid)'!R7,'Datos Equipos'!B9:N25,8,FALSE)</f>
        <v>14.27</v>
      </c>
      <c r="C121" s="19"/>
    </row>
    <row r="122" spans="1:4">
      <c r="A122" s="19" t="s">
        <v>2409</v>
      </c>
      <c r="B122" s="24" t="e">
        <f>+B120*#REF!/B136</f>
        <v>#REF!</v>
      </c>
      <c r="C122" s="19"/>
    </row>
    <row r="123" spans="1:4">
      <c r="A123" s="19" t="s">
        <v>2408</v>
      </c>
      <c r="B123" s="24" t="e">
        <f>+VLOOKUP('Datos de Entrada (On Grid)'!G128,Tabla102227[#All],15,FALSE)</f>
        <v>#N/A</v>
      </c>
      <c r="C123" s="19"/>
    </row>
    <row r="124" spans="1:4">
      <c r="A124" s="19" t="s">
        <v>2410</v>
      </c>
      <c r="B124" s="24" t="e">
        <f>+VLOOKUP('Datos de Entrada (On Grid)'!G128,Tabla102227[#All],16,FALSE)</f>
        <v>#N/A</v>
      </c>
      <c r="C124" s="19"/>
    </row>
    <row r="125" spans="1:4">
      <c r="A125" s="19" t="s">
        <v>2412</v>
      </c>
      <c r="B125" s="24" t="e">
        <f>+VLOOKUP('Datos de Entrada (On Grid)'!G128,Tabla102227[#All],7,FALSE)</f>
        <v>#N/A</v>
      </c>
      <c r="C125" s="19"/>
    </row>
    <row r="126" spans="1:4">
      <c r="A126" s="19" t="s">
        <v>2413</v>
      </c>
      <c r="B126" s="656" t="e">
        <f>+B121/B125</f>
        <v>#N/A</v>
      </c>
      <c r="C126" s="19"/>
    </row>
    <row r="127" spans="1:4">
      <c r="A127" s="19" t="s">
        <v>2414</v>
      </c>
      <c r="B127" s="656" t="e">
        <f>+B122/B124</f>
        <v>#REF!</v>
      </c>
      <c r="C127" s="19"/>
    </row>
    <row r="128" spans="1:4">
      <c r="A128" s="19" t="s">
        <v>2415</v>
      </c>
      <c r="B128" s="656" t="e">
        <f>+B123/B122</f>
        <v>#N/A</v>
      </c>
      <c r="C128" s="19"/>
    </row>
    <row r="129" spans="1:3">
      <c r="A129" s="19" t="s">
        <v>191</v>
      </c>
      <c r="B129" s="24" t="e">
        <f>#REF!*B110</f>
        <v>#REF!</v>
      </c>
      <c r="C129" s="834" t="e">
        <f>+B129/1000</f>
        <v>#REF!</v>
      </c>
    </row>
    <row r="130" spans="1:3">
      <c r="A130" s="19" t="s">
        <v>192</v>
      </c>
      <c r="B130" s="850" t="e">
        <f>VLOOKUP('Datos de Entrada (On Grid)'!G128,'Datos Equipos'!B135:D183,3,FALSE)</f>
        <v>#N/A</v>
      </c>
      <c r="C130" s="851" t="s">
        <v>189</v>
      </c>
    </row>
    <row r="131" spans="1:3">
      <c r="A131" s="19" t="s">
        <v>193</v>
      </c>
      <c r="B131" s="24" t="e">
        <f>IF('Datos de Entrada (On Grid)'!G127="Microinversor",'Calculos (On Grid)'!B129/VLOOKUP('Datos de Entrada (On Grid)'!G128,'Datos Equipos'!B135:L183,4,FALSE),'Calculos (On Grid)'!B130/VLOOKUP('Datos de Entrada (On Grid)'!G128,'Datos Equipos'!B135:D183,3,FALSE))</f>
        <v>#N/A</v>
      </c>
      <c r="C131" s="19" t="e">
        <f>+IF('Datos de Entrada (On Grid)'!G127="Microinversor",ROUNDUP(B131,0),IF(B131&lt;0.9,1,ROUNDUP(B131/1.38,0)))</f>
        <v>#N/A</v>
      </c>
    </row>
    <row r="132" spans="1:3">
      <c r="A132" s="19" t="s">
        <v>204</v>
      </c>
      <c r="B132" s="24">
        <f>+IF('Datos de Entrada (On Grid)'!$G$21="Microinversor",'Historico costos proyectos'!AB131,IF('Datos de Entrada (On Grid)'!$G$21="Inversor",'Historico costos proyectos'!AB132,'Historico costos proyectos'!AB133))</f>
        <v>0</v>
      </c>
      <c r="C132" s="18"/>
    </row>
    <row r="133" spans="1:3">
      <c r="A133" s="19" t="s">
        <v>297</v>
      </c>
      <c r="B133" s="24">
        <f>+IF(D107&lt;4,3,D107)</f>
        <v>11</v>
      </c>
      <c r="C133" s="18"/>
    </row>
    <row r="134" spans="1:3">
      <c r="A134" s="19" t="s">
        <v>296</v>
      </c>
      <c r="B134" s="24" t="e">
        <f>+(ROUNDUP(IF(#REF!&lt;=10,2,IF(#REF!&lt;=20,CEILING((1/3)*#REF!+(1/3),1),_xlfn.CEILING.MATH(0.15*#REF!+6)))*(3)/(F152+F153),0))</f>
        <v>#REF!</v>
      </c>
      <c r="C134" s="18" t="s">
        <v>281</v>
      </c>
    </row>
    <row r="135" spans="1:3">
      <c r="A135" s="19" t="s">
        <v>1040</v>
      </c>
      <c r="B135" s="24" t="e">
        <f>+C131*B130</f>
        <v>#N/A</v>
      </c>
      <c r="C135" s="240"/>
    </row>
    <row r="136" spans="1:3">
      <c r="A136" s="19" t="s">
        <v>625</v>
      </c>
      <c r="B136" s="24" t="e">
        <f>(VLOOKUP('Datos de Entrada (On Grid)'!G128,'Datos Equipos'!B135:L183,4,FALSE)*C131)</f>
        <v>#N/A</v>
      </c>
      <c r="C136" s="240"/>
    </row>
    <row r="137" spans="1:3">
      <c r="A137" s="19" t="s">
        <v>626</v>
      </c>
      <c r="B137" s="24" t="e">
        <f>+B135/B136</f>
        <v>#N/A</v>
      </c>
      <c r="C137" s="16"/>
    </row>
    <row r="1048569" spans="3:10">
      <c r="C1048569" s="80" t="s">
        <v>337</v>
      </c>
      <c r="F1048569" s="80" t="s">
        <v>340</v>
      </c>
      <c r="G1048569" s="80" t="s">
        <v>341</v>
      </c>
    </row>
    <row r="1048570" spans="3:10" ht="14.25" customHeight="1">
      <c r="C1048570" s="80" t="s">
        <v>331</v>
      </c>
      <c r="D1048570" s="80" t="s">
        <v>338</v>
      </c>
      <c r="E1048570" s="80" t="s">
        <v>339</v>
      </c>
      <c r="F1048570" s="76">
        <v>171</v>
      </c>
      <c r="G1048570" s="76">
        <v>6</v>
      </c>
    </row>
    <row r="1048571" spans="3:10" ht="14.25" customHeight="1">
      <c r="C1048571" s="80" t="s">
        <v>333</v>
      </c>
      <c r="D1048571" s="80" t="s">
        <v>332</v>
      </c>
      <c r="E1048571" s="76">
        <v>210</v>
      </c>
      <c r="F1048571" s="76">
        <v>90</v>
      </c>
      <c r="G1048571" s="76">
        <v>35</v>
      </c>
      <c r="I1048571" s="81" t="s">
        <v>330</v>
      </c>
      <c r="J1048571" s="106" t="s">
        <v>526</v>
      </c>
    </row>
    <row r="1048572" spans="3:10">
      <c r="C1048572" s="80" t="s">
        <v>335</v>
      </c>
      <c r="D1048572" s="80" t="s">
        <v>334</v>
      </c>
      <c r="E1048572" s="76">
        <v>70</v>
      </c>
      <c r="F1048572" s="76">
        <v>106</v>
      </c>
      <c r="G1048572" s="76">
        <v>133</v>
      </c>
      <c r="I1048572" s="80" t="s">
        <v>325</v>
      </c>
      <c r="J1048572" s="80" t="s">
        <v>509</v>
      </c>
    </row>
    <row r="1048573" spans="3:10">
      <c r="C1048573" s="80" t="s">
        <v>342</v>
      </c>
      <c r="D1048573" s="80" t="s">
        <v>336</v>
      </c>
      <c r="E1048573" s="76">
        <v>11</v>
      </c>
      <c r="F1048573" s="76">
        <v>154</v>
      </c>
      <c r="G1048573" s="76">
        <v>154</v>
      </c>
      <c r="I1048573" s="80" t="s">
        <v>326</v>
      </c>
      <c r="J1048573" s="80" t="s">
        <v>485</v>
      </c>
    </row>
    <row r="1048574" spans="3:10">
      <c r="D1048574" s="80" t="s">
        <v>343</v>
      </c>
      <c r="E1048574" s="76">
        <v>155</v>
      </c>
    </row>
  </sheetData>
  <mergeCells count="6">
    <mergeCell ref="AA14:AC17"/>
    <mergeCell ref="A1:M1"/>
    <mergeCell ref="A38:B38"/>
    <mergeCell ref="A42:B42"/>
    <mergeCell ref="O20:S20"/>
    <mergeCell ref="O5:P5"/>
  </mergeCells>
  <conditionalFormatting sqref="X9">
    <cfRule type="cellIs" dxfId="115" priority="1" operator="lessThan">
      <formula>$V$9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IrMenu">
                <anchor moveWithCells="1" sizeWithCells="1">
                  <from>
                    <xdr:col>3</xdr:col>
                    <xdr:colOff>1038225</xdr:colOff>
                    <xdr:row>7</xdr:row>
                    <xdr:rowOff>114300</xdr:rowOff>
                  </from>
                  <to>
                    <xdr:col>4</xdr:col>
                    <xdr:colOff>571500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91933-802D-4EFC-939D-807F67D31C30}">
  <sheetPr codeName="Hoja12"/>
  <dimension ref="A1:M149"/>
  <sheetViews>
    <sheetView topLeftCell="A37" zoomScale="112" zoomScaleNormal="112" workbookViewId="0">
      <pane xSplit="1" topLeftCell="B1" activePane="topRight" state="frozen"/>
      <selection pane="topRight" activeCell="F71" sqref="F71"/>
    </sheetView>
  </sheetViews>
  <sheetFormatPr baseColWidth="10" defaultColWidth="11" defaultRowHeight="12.75"/>
  <cols>
    <col min="1" max="1" width="52.5" style="87" bestFit="1" customWidth="1"/>
    <col min="2" max="2" width="12.25" style="87" customWidth="1"/>
    <col min="3" max="3" width="6.5" style="87" customWidth="1"/>
    <col min="4" max="4" width="13.5" style="87" bestFit="1" customWidth="1"/>
    <col min="5" max="5" width="11" style="87"/>
    <col min="6" max="6" width="52.5" style="87" bestFit="1" customWidth="1"/>
    <col min="7" max="8" width="11" style="87"/>
    <col min="9" max="9" width="15" style="87" bestFit="1" customWidth="1"/>
    <col min="10" max="12" width="19.5" style="87" bestFit="1" customWidth="1"/>
    <col min="13" max="13" width="15.375" style="87" bestFit="1" customWidth="1"/>
    <col min="14" max="16384" width="11" style="87"/>
  </cols>
  <sheetData>
    <row r="1" spans="1:12" ht="21.75" customHeight="1">
      <c r="A1" s="1247" t="s">
        <v>435</v>
      </c>
      <c r="B1" s="1247"/>
      <c r="C1" s="1247"/>
      <c r="D1" s="96" t="s">
        <v>445</v>
      </c>
      <c r="E1" s="96" t="s">
        <v>56</v>
      </c>
      <c r="G1" s="93" t="s">
        <v>510</v>
      </c>
      <c r="H1" s="93" t="s">
        <v>160</v>
      </c>
      <c r="I1" s="93" t="s">
        <v>511</v>
      </c>
      <c r="J1" s="87" t="s">
        <v>730</v>
      </c>
    </row>
    <row r="2" spans="1:12" ht="12" customHeight="1">
      <c r="A2" s="123" t="s">
        <v>525</v>
      </c>
      <c r="B2" s="1122" t="s">
        <v>524</v>
      </c>
      <c r="C2" s="1122" t="s">
        <v>3778</v>
      </c>
      <c r="D2" s="104"/>
      <c r="E2" s="104"/>
      <c r="G2" s="93"/>
      <c r="H2" s="93"/>
      <c r="I2" s="93"/>
    </row>
    <row r="3" spans="1:12" ht="12" customHeight="1">
      <c r="A3" s="102" t="s">
        <v>1249</v>
      </c>
      <c r="B3" s="1121"/>
      <c r="C3" s="1121"/>
      <c r="D3" s="98">
        <f>1297000*1.19</f>
        <v>1543430</v>
      </c>
      <c r="E3" s="93" t="s">
        <v>483</v>
      </c>
      <c r="G3" s="93"/>
      <c r="H3" s="93"/>
      <c r="I3" s="93"/>
    </row>
    <row r="4" spans="1:12">
      <c r="A4" s="102" t="s">
        <v>1246</v>
      </c>
      <c r="B4" s="102"/>
      <c r="C4" s="102"/>
      <c r="D4" s="98">
        <v>0</v>
      </c>
      <c r="E4" s="93" t="s">
        <v>483</v>
      </c>
      <c r="F4" s="93" t="s">
        <v>1247</v>
      </c>
      <c r="G4" s="93" t="s">
        <v>485</v>
      </c>
      <c r="H4" s="93">
        <v>48</v>
      </c>
      <c r="I4" s="93">
        <v>120</v>
      </c>
      <c r="J4" s="87">
        <f>+I4*H4</f>
        <v>5760</v>
      </c>
      <c r="K4" s="87">
        <v>120</v>
      </c>
      <c r="L4" s="87">
        <v>120</v>
      </c>
    </row>
    <row r="5" spans="1:12">
      <c r="A5" s="102" t="s">
        <v>1252</v>
      </c>
      <c r="B5" s="102"/>
      <c r="C5" s="102"/>
      <c r="D5" s="98">
        <v>0</v>
      </c>
      <c r="E5" s="93" t="s">
        <v>483</v>
      </c>
      <c r="F5" s="93" t="s">
        <v>1247</v>
      </c>
      <c r="G5" s="93" t="s">
        <v>1253</v>
      </c>
      <c r="H5" s="93">
        <v>48</v>
      </c>
      <c r="I5" s="93">
        <v>80</v>
      </c>
      <c r="J5" s="87">
        <f>+I5*H5</f>
        <v>3840</v>
      </c>
    </row>
    <row r="6" spans="1:12">
      <c r="A6" s="102" t="s">
        <v>1248</v>
      </c>
      <c r="B6" s="102"/>
      <c r="C6" s="102"/>
      <c r="D6" s="98">
        <v>0</v>
      </c>
      <c r="E6" s="93" t="s">
        <v>483</v>
      </c>
      <c r="F6" s="93" t="s">
        <v>1247</v>
      </c>
      <c r="G6" s="93" t="s">
        <v>485</v>
      </c>
      <c r="H6" s="93">
        <v>48</v>
      </c>
      <c r="I6" s="93">
        <v>75</v>
      </c>
      <c r="J6" s="87">
        <f>+I6*H6</f>
        <v>3600</v>
      </c>
      <c r="K6" s="87">
        <v>140</v>
      </c>
      <c r="L6" s="87">
        <v>140</v>
      </c>
    </row>
    <row r="7" spans="1:12" ht="12" customHeight="1">
      <c r="A7" s="102" t="s">
        <v>4539</v>
      </c>
      <c r="B7" s="1118">
        <v>1172.74</v>
      </c>
      <c r="C7" s="102" t="s">
        <v>407</v>
      </c>
      <c r="D7" s="98">
        <f>+B7*'Datos de entrada (Off grid)'!$K$11*0.9</f>
        <v>4116317.4</v>
      </c>
      <c r="E7" s="93" t="s">
        <v>483</v>
      </c>
      <c r="F7" s="88" t="s">
        <v>4151</v>
      </c>
      <c r="G7" s="93" t="s">
        <v>485</v>
      </c>
      <c r="H7" s="93">
        <v>75</v>
      </c>
      <c r="I7" s="93">
        <v>10</v>
      </c>
    </row>
    <row r="8" spans="1:12" ht="12" customHeight="1">
      <c r="A8" s="102" t="s">
        <v>4540</v>
      </c>
      <c r="B8" s="1118">
        <v>2053.48</v>
      </c>
      <c r="C8" s="102" t="s">
        <v>407</v>
      </c>
      <c r="D8" s="98">
        <f>+B8*'Datos de entrada (Off grid)'!$K$11*0.9</f>
        <v>7207714.7999999998</v>
      </c>
      <c r="E8" s="93" t="s">
        <v>483</v>
      </c>
      <c r="F8" s="88" t="s">
        <v>4151</v>
      </c>
      <c r="G8" s="93" t="s">
        <v>485</v>
      </c>
      <c r="H8" s="93">
        <v>75</v>
      </c>
      <c r="I8" s="93">
        <v>15</v>
      </c>
    </row>
    <row r="9" spans="1:12" ht="12" customHeight="1">
      <c r="A9" s="102" t="s">
        <v>408</v>
      </c>
      <c r="B9" s="1118">
        <v>48.2</v>
      </c>
      <c r="C9" s="102" t="s">
        <v>407</v>
      </c>
      <c r="D9" s="98">
        <f>+B9*'Datos de entrada (Off grid)'!$K$11*0.9</f>
        <v>169182</v>
      </c>
      <c r="E9" s="93" t="s">
        <v>483</v>
      </c>
      <c r="F9" s="88" t="s">
        <v>4151</v>
      </c>
      <c r="G9" s="93" t="s">
        <v>485</v>
      </c>
      <c r="H9" s="93">
        <v>100</v>
      </c>
      <c r="I9" s="93">
        <v>15</v>
      </c>
    </row>
    <row r="10" spans="1:12">
      <c r="A10" s="102" t="s">
        <v>409</v>
      </c>
      <c r="B10" s="1118">
        <v>52.92</v>
      </c>
      <c r="C10" s="102" t="s">
        <v>407</v>
      </c>
      <c r="D10" s="98">
        <f>+B10*'Datos de entrada (Off grid)'!$K$11*0.9</f>
        <v>185749.2</v>
      </c>
      <c r="E10" s="93" t="s">
        <v>483</v>
      </c>
      <c r="F10" s="88" t="s">
        <v>4151</v>
      </c>
      <c r="G10" s="93" t="s">
        <v>485</v>
      </c>
      <c r="H10" s="93">
        <v>100</v>
      </c>
      <c r="I10" s="93">
        <v>20</v>
      </c>
    </row>
    <row r="11" spans="1:12">
      <c r="A11" s="102" t="s">
        <v>410</v>
      </c>
      <c r="B11" s="1118">
        <v>65.2</v>
      </c>
      <c r="C11" s="102" t="s">
        <v>407</v>
      </c>
      <c r="D11" s="98">
        <f>+B11*'Datos de entrada (Off grid)'!$K$11*0.9</f>
        <v>228852</v>
      </c>
      <c r="E11" s="93" t="s">
        <v>483</v>
      </c>
      <c r="F11" s="88" t="s">
        <v>4151</v>
      </c>
      <c r="G11" s="93" t="s">
        <v>485</v>
      </c>
      <c r="H11" s="93">
        <v>100</v>
      </c>
      <c r="I11" s="93">
        <v>30</v>
      </c>
    </row>
    <row r="12" spans="1:12">
      <c r="A12" s="102" t="s">
        <v>4137</v>
      </c>
      <c r="B12" s="1118">
        <v>77.489999999999995</v>
      </c>
      <c r="C12" s="102" t="s">
        <v>407</v>
      </c>
      <c r="D12" s="98">
        <f>+B12*'Datos de entrada (Off grid)'!$K$11*0.9</f>
        <v>271989.90000000002</v>
      </c>
      <c r="E12" s="93" t="s">
        <v>483</v>
      </c>
      <c r="F12" s="88" t="s">
        <v>4151</v>
      </c>
      <c r="G12" s="93" t="s">
        <v>485</v>
      </c>
      <c r="H12" s="93">
        <v>150</v>
      </c>
      <c r="I12" s="93">
        <v>35</v>
      </c>
    </row>
    <row r="13" spans="1:12">
      <c r="A13" s="102" t="s">
        <v>411</v>
      </c>
      <c r="B13" s="1118">
        <v>118.12</v>
      </c>
      <c r="C13" s="102" t="s">
        <v>407</v>
      </c>
      <c r="D13" s="98">
        <f>+B13*'Datos de entrada (Off grid)'!$K$11*0.9</f>
        <v>414601.2</v>
      </c>
      <c r="E13" s="93" t="s">
        <v>483</v>
      </c>
      <c r="F13" s="88" t="s">
        <v>4151</v>
      </c>
      <c r="G13" s="93" t="s">
        <v>485</v>
      </c>
      <c r="H13" s="93">
        <v>100</v>
      </c>
      <c r="I13" s="93">
        <v>50</v>
      </c>
    </row>
    <row r="14" spans="1:12">
      <c r="A14" s="102" t="s">
        <v>412</v>
      </c>
      <c r="B14" s="1118">
        <v>177.66</v>
      </c>
      <c r="C14" s="102" t="s">
        <v>407</v>
      </c>
      <c r="D14" s="98">
        <f>+B14*'Datos de entrada (Off grid)'!$K$11*0.9</f>
        <v>623586.6</v>
      </c>
      <c r="E14" s="93" t="s">
        <v>483</v>
      </c>
      <c r="F14" s="88" t="s">
        <v>4151</v>
      </c>
      <c r="G14" s="93" t="s">
        <v>485</v>
      </c>
      <c r="H14" s="93">
        <v>150</v>
      </c>
      <c r="I14" s="93">
        <v>45</v>
      </c>
    </row>
    <row r="15" spans="1:12">
      <c r="A15" s="102" t="s">
        <v>413</v>
      </c>
      <c r="B15" s="1118">
        <v>177.66</v>
      </c>
      <c r="C15" s="102" t="s">
        <v>407</v>
      </c>
      <c r="D15" s="98">
        <f>+B15*'Datos de entrada (Off grid)'!$K$11*0.9</f>
        <v>623586.6</v>
      </c>
      <c r="E15" s="93" t="s">
        <v>483</v>
      </c>
      <c r="F15" s="88" t="s">
        <v>4151</v>
      </c>
      <c r="G15" s="93" t="s">
        <v>485</v>
      </c>
      <c r="H15" s="93">
        <v>150</v>
      </c>
      <c r="I15" s="93">
        <v>60</v>
      </c>
    </row>
    <row r="16" spans="1:12">
      <c r="A16" s="102" t="s">
        <v>4138</v>
      </c>
      <c r="B16" s="1118">
        <v>213.57</v>
      </c>
      <c r="C16" s="102" t="s">
        <v>407</v>
      </c>
      <c r="D16" s="98">
        <f>+B16*'Datos de entrada (Off grid)'!$K$11*0.9</f>
        <v>749630.70000000007</v>
      </c>
      <c r="E16" s="93" t="s">
        <v>483</v>
      </c>
      <c r="F16" s="88" t="s">
        <v>4151</v>
      </c>
      <c r="G16" s="93" t="s">
        <v>485</v>
      </c>
      <c r="H16" s="93">
        <v>150</v>
      </c>
      <c r="I16" s="93">
        <v>60</v>
      </c>
    </row>
    <row r="17" spans="1:9">
      <c r="A17" s="102" t="s">
        <v>414</v>
      </c>
      <c r="B17" s="1118">
        <v>338.31</v>
      </c>
      <c r="C17" s="102" t="s">
        <v>407</v>
      </c>
      <c r="D17" s="98">
        <f>+B17*'Datos de entrada (Off grid)'!$K$11*0.9</f>
        <v>1187468.1000000001</v>
      </c>
      <c r="E17" s="93" t="s">
        <v>483</v>
      </c>
      <c r="F17" s="88" t="s">
        <v>4151</v>
      </c>
      <c r="G17" s="93" t="s">
        <v>485</v>
      </c>
      <c r="H17" s="93">
        <v>150</v>
      </c>
      <c r="I17" s="93">
        <v>70</v>
      </c>
    </row>
    <row r="18" spans="1:9">
      <c r="A18" s="102" t="s">
        <v>415</v>
      </c>
      <c r="B18" s="1118">
        <v>338.31</v>
      </c>
      <c r="C18" s="102" t="s">
        <v>407</v>
      </c>
      <c r="D18" s="98">
        <f>+B18*'Datos de entrada (Off grid)'!$K$11*0.9</f>
        <v>1187468.1000000001</v>
      </c>
      <c r="E18" s="93" t="s">
        <v>483</v>
      </c>
      <c r="F18" s="88" t="s">
        <v>4151</v>
      </c>
      <c r="G18" s="93" t="s">
        <v>485</v>
      </c>
      <c r="H18" s="93">
        <v>150</v>
      </c>
      <c r="I18" s="93">
        <v>70</v>
      </c>
    </row>
    <row r="19" spans="1:9">
      <c r="A19" s="102" t="s">
        <v>416</v>
      </c>
      <c r="B19" s="1118">
        <v>371.38</v>
      </c>
      <c r="C19" s="102" t="s">
        <v>407</v>
      </c>
      <c r="D19" s="98">
        <f>+B19*'Datos de entrada (Off grid)'!$K$11*0.9</f>
        <v>1303543.8</v>
      </c>
      <c r="E19" s="93" t="s">
        <v>483</v>
      </c>
      <c r="F19" s="88" t="s">
        <v>4151</v>
      </c>
      <c r="G19" s="93" t="s">
        <v>485</v>
      </c>
      <c r="H19" s="93">
        <v>150</v>
      </c>
      <c r="I19" s="93">
        <v>100</v>
      </c>
    </row>
    <row r="20" spans="1:9">
      <c r="A20" s="102" t="s">
        <v>417</v>
      </c>
      <c r="B20" s="1118">
        <v>372.33</v>
      </c>
      <c r="C20" s="102" t="s">
        <v>407</v>
      </c>
      <c r="D20" s="98">
        <f>+B20*'Datos de entrada (Off grid)'!$K$11*0.9</f>
        <v>1306878.3</v>
      </c>
      <c r="E20" s="93" t="s">
        <v>483</v>
      </c>
      <c r="F20" s="88" t="s">
        <v>4151</v>
      </c>
      <c r="G20" s="93" t="s">
        <v>485</v>
      </c>
      <c r="H20" s="93">
        <v>250</v>
      </c>
      <c r="I20" s="93">
        <v>70</v>
      </c>
    </row>
    <row r="21" spans="1:9">
      <c r="A21" s="102" t="s">
        <v>4139</v>
      </c>
      <c r="B21" s="1118">
        <v>527.30999999999995</v>
      </c>
      <c r="C21" s="102" t="s">
        <v>407</v>
      </c>
      <c r="D21" s="98">
        <f>+B21*'Datos de entrada (Off grid)'!$K$11*0.9</f>
        <v>1850858.0999999999</v>
      </c>
      <c r="E21" s="93" t="s">
        <v>483</v>
      </c>
      <c r="F21" s="88" t="s">
        <v>4151</v>
      </c>
      <c r="G21" s="93" t="s">
        <v>485</v>
      </c>
      <c r="H21" s="93">
        <v>250</v>
      </c>
      <c r="I21" s="93">
        <v>100</v>
      </c>
    </row>
    <row r="22" spans="1:9">
      <c r="A22" s="102" t="s">
        <v>4140</v>
      </c>
      <c r="B22" s="1118">
        <v>527.30999999999995</v>
      </c>
      <c r="C22" s="102" t="s">
        <v>407</v>
      </c>
      <c r="D22" s="98">
        <f>+B22*'Datos de entrada (Off grid)'!$K$11*0.9</f>
        <v>1850858.0999999999</v>
      </c>
      <c r="E22" s="93" t="s">
        <v>483</v>
      </c>
      <c r="F22" s="88" t="s">
        <v>4151</v>
      </c>
      <c r="G22" s="93" t="s">
        <v>485</v>
      </c>
      <c r="H22" s="93">
        <v>75</v>
      </c>
      <c r="I22" s="93">
        <v>10</v>
      </c>
    </row>
    <row r="23" spans="1:9">
      <c r="A23" s="102" t="s">
        <v>4141</v>
      </c>
      <c r="B23" s="1118">
        <v>645.44000000000005</v>
      </c>
      <c r="C23" s="102" t="s">
        <v>407</v>
      </c>
      <c r="D23" s="98">
        <f>+B23*'Datos de entrada (Off grid)'!$K$11*0.9</f>
        <v>2265494.4</v>
      </c>
      <c r="E23" s="93" t="s">
        <v>483</v>
      </c>
      <c r="F23" s="88" t="s">
        <v>4151</v>
      </c>
      <c r="G23" s="93" t="s">
        <v>485</v>
      </c>
      <c r="H23" s="93">
        <v>75</v>
      </c>
      <c r="I23" s="93">
        <v>15</v>
      </c>
    </row>
    <row r="24" spans="1:9">
      <c r="A24" s="102" t="s">
        <v>418</v>
      </c>
      <c r="B24" s="1118">
        <v>66.150000000000006</v>
      </c>
      <c r="C24" s="102" t="s">
        <v>407</v>
      </c>
      <c r="D24" s="98">
        <f>+B24*'Datos de entrada (Off grid)'!$K$11*0.9</f>
        <v>232186.50000000003</v>
      </c>
      <c r="E24" s="93" t="s">
        <v>483</v>
      </c>
      <c r="F24" s="88" t="s">
        <v>4151</v>
      </c>
      <c r="G24" s="93" t="s">
        <v>485</v>
      </c>
      <c r="H24" s="93">
        <v>100</v>
      </c>
      <c r="I24" s="93">
        <v>15</v>
      </c>
    </row>
    <row r="25" spans="1:9">
      <c r="A25" s="102" t="s">
        <v>419</v>
      </c>
      <c r="B25" s="1118">
        <v>70.88</v>
      </c>
      <c r="C25" s="102" t="s">
        <v>407</v>
      </c>
      <c r="D25" s="98">
        <f>+B25*'Datos de entrada (Off grid)'!$K$11*0.9</f>
        <v>248788.80000000002</v>
      </c>
      <c r="E25" s="93" t="s">
        <v>483</v>
      </c>
      <c r="F25" s="88" t="s">
        <v>4151</v>
      </c>
      <c r="G25" s="93" t="s">
        <v>485</v>
      </c>
      <c r="H25" s="93">
        <v>100</v>
      </c>
      <c r="I25" s="93">
        <v>20</v>
      </c>
    </row>
    <row r="26" spans="1:9">
      <c r="A26" s="102" t="s">
        <v>420</v>
      </c>
      <c r="B26" s="1118">
        <v>83.16</v>
      </c>
      <c r="C26" s="102" t="s">
        <v>407</v>
      </c>
      <c r="D26" s="98">
        <f>+B26*'Datos de entrada (Off grid)'!$K$11*0.9</f>
        <v>291891.60000000003</v>
      </c>
      <c r="E26" s="93" t="s">
        <v>483</v>
      </c>
      <c r="F26" s="88" t="s">
        <v>4151</v>
      </c>
      <c r="G26" s="93" t="s">
        <v>485</v>
      </c>
      <c r="H26" s="93">
        <v>100</v>
      </c>
      <c r="I26" s="93">
        <v>30</v>
      </c>
    </row>
    <row r="27" spans="1:9">
      <c r="A27" s="102" t="s">
        <v>4142</v>
      </c>
      <c r="B27" s="1118">
        <v>94.5</v>
      </c>
      <c r="C27" s="102" t="s">
        <v>407</v>
      </c>
      <c r="D27" s="98">
        <f>+B27*'Datos de entrada (Off grid)'!$K$11*0.9</f>
        <v>331695</v>
      </c>
      <c r="E27" s="93" t="s">
        <v>483</v>
      </c>
      <c r="F27" s="88" t="s">
        <v>4151</v>
      </c>
      <c r="G27" s="93" t="s">
        <v>485</v>
      </c>
      <c r="H27" s="93">
        <v>100</v>
      </c>
      <c r="I27" s="93">
        <v>50</v>
      </c>
    </row>
    <row r="28" spans="1:9">
      <c r="A28" s="102" t="s">
        <v>421</v>
      </c>
      <c r="B28" s="1118">
        <v>136.08000000000001</v>
      </c>
      <c r="C28" s="102" t="s">
        <v>407</v>
      </c>
      <c r="D28" s="98">
        <f>+B28*'Datos de entrada (Off grid)'!$K$11*0.9</f>
        <v>477640.8</v>
      </c>
      <c r="E28" s="93" t="s">
        <v>483</v>
      </c>
      <c r="F28" s="88" t="s">
        <v>4151</v>
      </c>
      <c r="G28" s="93" t="s">
        <v>485</v>
      </c>
      <c r="H28" s="93">
        <v>150</v>
      </c>
      <c r="I28" s="93">
        <v>35</v>
      </c>
    </row>
    <row r="29" spans="1:9">
      <c r="A29" s="102" t="s">
        <v>422</v>
      </c>
      <c r="B29" s="1118">
        <v>195.62</v>
      </c>
      <c r="C29" s="102" t="s">
        <v>407</v>
      </c>
      <c r="D29" s="98">
        <f>+B29*'Datos de entrada (Off grid)'!$K$11*0.9</f>
        <v>686626.20000000007</v>
      </c>
      <c r="E29" s="93" t="s">
        <v>483</v>
      </c>
      <c r="F29" s="88" t="s">
        <v>4151</v>
      </c>
      <c r="G29" s="93" t="s">
        <v>485</v>
      </c>
      <c r="H29" s="93">
        <v>150</v>
      </c>
      <c r="I29" s="93">
        <v>45</v>
      </c>
    </row>
    <row r="30" spans="1:9">
      <c r="A30" s="102" t="s">
        <v>423</v>
      </c>
      <c r="B30" s="1118">
        <v>195.62</v>
      </c>
      <c r="C30" s="102" t="s">
        <v>407</v>
      </c>
      <c r="D30" s="98">
        <f>+B30*'Datos de entrada (Off grid)'!$K$11*0.9</f>
        <v>686626.20000000007</v>
      </c>
      <c r="E30" s="93" t="s">
        <v>483</v>
      </c>
      <c r="F30" s="88" t="s">
        <v>4151</v>
      </c>
      <c r="G30" s="93" t="s">
        <v>485</v>
      </c>
      <c r="H30" s="93">
        <v>150</v>
      </c>
      <c r="I30" s="93">
        <v>60</v>
      </c>
    </row>
    <row r="31" spans="1:9">
      <c r="A31" s="102" t="s">
        <v>4143</v>
      </c>
      <c r="B31" s="1118">
        <v>231.52</v>
      </c>
      <c r="C31" s="102" t="s">
        <v>407</v>
      </c>
      <c r="D31" s="98">
        <f>+B31*'Datos de entrada (Off grid)'!$K$11*0.9</f>
        <v>812635.20000000007</v>
      </c>
      <c r="E31" s="93" t="s">
        <v>483</v>
      </c>
      <c r="F31" s="88" t="s">
        <v>4151</v>
      </c>
      <c r="G31" s="93" t="s">
        <v>485</v>
      </c>
      <c r="H31" s="93">
        <v>150</v>
      </c>
      <c r="I31" s="93">
        <v>60</v>
      </c>
    </row>
    <row r="32" spans="1:9">
      <c r="A32" s="102" t="s">
        <v>424</v>
      </c>
      <c r="B32" s="1118">
        <v>371.38</v>
      </c>
      <c r="C32" s="102" t="s">
        <v>407</v>
      </c>
      <c r="D32" s="98">
        <f>+B32*'Datos de entrada (Off grid)'!$K$11*0.9</f>
        <v>1303543.8</v>
      </c>
      <c r="E32" s="93" t="s">
        <v>483</v>
      </c>
      <c r="F32" s="88" t="s">
        <v>4151</v>
      </c>
      <c r="G32" s="93" t="s">
        <v>485</v>
      </c>
      <c r="H32" s="93">
        <v>150</v>
      </c>
      <c r="I32" s="93">
        <v>70</v>
      </c>
    </row>
    <row r="33" spans="1:9">
      <c r="A33" s="102" t="s">
        <v>425</v>
      </c>
      <c r="B33" s="1118">
        <v>371.38</v>
      </c>
      <c r="C33" s="102" t="s">
        <v>407</v>
      </c>
      <c r="D33" s="98">
        <f>+B33*'Datos de entrada (Off grid)'!$K$11*0.9</f>
        <v>1303543.8</v>
      </c>
      <c r="E33" s="93" t="s">
        <v>483</v>
      </c>
      <c r="F33" s="88" t="s">
        <v>4151</v>
      </c>
      <c r="G33" s="93" t="s">
        <v>485</v>
      </c>
      <c r="H33" s="93">
        <v>150</v>
      </c>
      <c r="I33" s="93">
        <v>70</v>
      </c>
    </row>
    <row r="34" spans="1:9">
      <c r="A34" s="102" t="s">
        <v>426</v>
      </c>
      <c r="B34" s="1118">
        <v>405.4</v>
      </c>
      <c r="C34" s="102" t="s">
        <v>407</v>
      </c>
      <c r="D34" s="98">
        <f>+B34*'Datos de entrada (Off grid)'!$K$11*0.9</f>
        <v>1422954</v>
      </c>
      <c r="E34" s="93" t="s">
        <v>483</v>
      </c>
      <c r="F34" s="88" t="s">
        <v>4151</v>
      </c>
      <c r="G34" s="93" t="s">
        <v>485</v>
      </c>
      <c r="H34" s="93">
        <v>150</v>
      </c>
      <c r="I34" s="93">
        <v>70</v>
      </c>
    </row>
    <row r="35" spans="1:9">
      <c r="A35" s="102" t="s">
        <v>427</v>
      </c>
      <c r="B35" s="1118">
        <v>439.42</v>
      </c>
      <c r="C35" s="102" t="s">
        <v>407</v>
      </c>
      <c r="D35" s="98">
        <f>+B35*'Datos de entrada (Off grid)'!$K$11*0.9</f>
        <v>1542364.2</v>
      </c>
      <c r="E35" s="93" t="s">
        <v>483</v>
      </c>
      <c r="F35" s="88" t="s">
        <v>4151</v>
      </c>
      <c r="G35" s="93" t="s">
        <v>485</v>
      </c>
      <c r="H35" s="93">
        <v>150</v>
      </c>
      <c r="I35" s="93">
        <v>85</v>
      </c>
    </row>
    <row r="36" spans="1:9">
      <c r="A36" s="102" t="s">
        <v>4144</v>
      </c>
      <c r="B36" s="1118">
        <v>439.42</v>
      </c>
      <c r="C36" s="102" t="s">
        <v>407</v>
      </c>
      <c r="D36" s="98">
        <f>+B36*'Datos de entrada (Off grid)'!$K$11*0.9</f>
        <v>1542364.2</v>
      </c>
      <c r="E36" s="93" t="s">
        <v>483</v>
      </c>
      <c r="F36" s="88" t="s">
        <v>4151</v>
      </c>
      <c r="G36" s="93" t="s">
        <v>485</v>
      </c>
      <c r="H36" s="93">
        <v>150</v>
      </c>
      <c r="I36" s="93">
        <v>85</v>
      </c>
    </row>
    <row r="37" spans="1:9">
      <c r="A37" s="102" t="s">
        <v>4145</v>
      </c>
      <c r="B37" s="1118">
        <v>480.06</v>
      </c>
      <c r="C37" s="102" t="s">
        <v>407</v>
      </c>
      <c r="D37" s="98">
        <f>+B37*'Datos de entrada (Off grid)'!$K$11*0.9</f>
        <v>1685010.6</v>
      </c>
      <c r="E37" s="93" t="s">
        <v>483</v>
      </c>
      <c r="F37" s="88" t="s">
        <v>4151</v>
      </c>
      <c r="G37" s="93" t="s">
        <v>485</v>
      </c>
      <c r="H37" s="93">
        <v>150</v>
      </c>
      <c r="I37" s="93">
        <v>100</v>
      </c>
    </row>
    <row r="38" spans="1:9">
      <c r="A38" s="102" t="s">
        <v>4146</v>
      </c>
      <c r="B38" s="1118">
        <v>490.46</v>
      </c>
      <c r="C38" s="102" t="s">
        <v>407</v>
      </c>
      <c r="D38" s="98">
        <f>+B38*'Datos de entrada (Off grid)'!$K$11*0.9</f>
        <v>1721514.6</v>
      </c>
      <c r="E38" s="93" t="s">
        <v>483</v>
      </c>
      <c r="F38" s="88" t="s">
        <v>4151</v>
      </c>
      <c r="G38" s="93" t="s">
        <v>485</v>
      </c>
      <c r="H38" s="93">
        <v>150</v>
      </c>
      <c r="I38" s="93">
        <v>100</v>
      </c>
    </row>
    <row r="39" spans="1:9">
      <c r="A39" s="102" t="s">
        <v>428</v>
      </c>
      <c r="B39" s="1118">
        <v>547.16</v>
      </c>
      <c r="C39" s="102" t="s">
        <v>407</v>
      </c>
      <c r="D39" s="98">
        <f>+B39*'Datos de entrada (Off grid)'!$K$11*0.9</f>
        <v>1920531.6</v>
      </c>
      <c r="E39" s="93" t="s">
        <v>483</v>
      </c>
      <c r="F39" s="88" t="s">
        <v>4151</v>
      </c>
      <c r="G39" s="93" t="s">
        <v>485</v>
      </c>
      <c r="H39" s="93">
        <v>250</v>
      </c>
      <c r="I39" s="93">
        <v>60</v>
      </c>
    </row>
    <row r="40" spans="1:9">
      <c r="A40" s="102" t="s">
        <v>4147</v>
      </c>
      <c r="B40" s="1118">
        <v>557.54999999999995</v>
      </c>
      <c r="C40" s="102" t="s">
        <v>407</v>
      </c>
      <c r="D40" s="98">
        <f>+B40*'Datos de entrada (Off grid)'!$K$11*0.9</f>
        <v>1957000.5</v>
      </c>
      <c r="E40" s="93" t="s">
        <v>483</v>
      </c>
      <c r="F40" s="88" t="s">
        <v>4151</v>
      </c>
      <c r="G40" s="93" t="s">
        <v>485</v>
      </c>
      <c r="H40" s="93">
        <v>250</v>
      </c>
      <c r="I40" s="93">
        <v>60</v>
      </c>
    </row>
    <row r="41" spans="1:9">
      <c r="A41" s="102" t="s">
        <v>429</v>
      </c>
      <c r="B41" s="1118">
        <v>439.42</v>
      </c>
      <c r="C41" s="102" t="s">
        <v>407</v>
      </c>
      <c r="D41" s="98">
        <f>+B41*'Datos de entrada (Off grid)'!$K$11*0.9</f>
        <v>1542364.2</v>
      </c>
      <c r="E41" s="93" t="s">
        <v>483</v>
      </c>
      <c r="F41" s="88" t="s">
        <v>4151</v>
      </c>
      <c r="G41" s="93" t="s">
        <v>485</v>
      </c>
      <c r="H41" s="93">
        <v>250</v>
      </c>
      <c r="I41" s="93">
        <v>70</v>
      </c>
    </row>
    <row r="42" spans="1:9">
      <c r="A42" s="102" t="s">
        <v>430</v>
      </c>
      <c r="B42" s="1118">
        <v>439.42</v>
      </c>
      <c r="C42" s="102" t="s">
        <v>407</v>
      </c>
      <c r="D42" s="98">
        <f>+B42*'Datos de entrada (Off grid)'!$K$11*0.9</f>
        <v>1542364.2</v>
      </c>
      <c r="E42" s="93" t="s">
        <v>483</v>
      </c>
      <c r="F42" s="88" t="s">
        <v>4151</v>
      </c>
      <c r="G42" s="93" t="s">
        <v>485</v>
      </c>
      <c r="H42" s="93">
        <v>250</v>
      </c>
      <c r="I42" s="93">
        <v>70</v>
      </c>
    </row>
    <row r="43" spans="1:9">
      <c r="A43" s="102" t="s">
        <v>431</v>
      </c>
      <c r="B43" s="1118">
        <v>506.52</v>
      </c>
      <c r="C43" s="102" t="s">
        <v>407</v>
      </c>
      <c r="D43" s="98">
        <f>+B43*'Datos de entrada (Off grid)'!$K$11*0.9</f>
        <v>1777885.2</v>
      </c>
      <c r="E43" s="93" t="s">
        <v>483</v>
      </c>
      <c r="F43" s="88" t="s">
        <v>4151</v>
      </c>
      <c r="G43" s="93" t="s">
        <v>485</v>
      </c>
      <c r="H43" s="93">
        <v>250</v>
      </c>
      <c r="I43" s="93">
        <v>70</v>
      </c>
    </row>
    <row r="44" spans="1:9">
      <c r="A44" s="102" t="s">
        <v>432</v>
      </c>
      <c r="B44" s="1118">
        <v>540.54</v>
      </c>
      <c r="C44" s="102" t="s">
        <v>407</v>
      </c>
      <c r="D44" s="98">
        <f>+B44*'Datos de entrada (Off grid)'!$K$11*0.9</f>
        <v>1897295.4000000001</v>
      </c>
      <c r="E44" s="93" t="s">
        <v>483</v>
      </c>
      <c r="F44" s="88" t="s">
        <v>4151</v>
      </c>
      <c r="G44" s="93" t="s">
        <v>485</v>
      </c>
      <c r="H44" s="93">
        <v>250</v>
      </c>
      <c r="I44" s="93">
        <v>85</v>
      </c>
    </row>
    <row r="45" spans="1:9">
      <c r="A45" s="102" t="s">
        <v>4148</v>
      </c>
      <c r="B45" s="1118">
        <v>540.54</v>
      </c>
      <c r="C45" s="102" t="s">
        <v>407</v>
      </c>
      <c r="D45" s="98">
        <f>+B45*'Datos de entrada (Off grid)'!$K$11*0.9</f>
        <v>1897295.4000000001</v>
      </c>
      <c r="E45" s="93" t="s">
        <v>483</v>
      </c>
      <c r="F45" s="88" t="s">
        <v>4151</v>
      </c>
      <c r="G45" s="93" t="s">
        <v>485</v>
      </c>
      <c r="H45" s="93">
        <v>250</v>
      </c>
      <c r="I45" s="93">
        <v>85</v>
      </c>
    </row>
    <row r="46" spans="1:9">
      <c r="A46" s="102" t="s">
        <v>433</v>
      </c>
      <c r="B46" s="1118">
        <v>581.17999999999995</v>
      </c>
      <c r="C46" s="102" t="s">
        <v>407</v>
      </c>
      <c r="D46" s="98">
        <f>+B46*'Datos de entrada (Off grid)'!$K$11*0.9</f>
        <v>2039941.8</v>
      </c>
      <c r="E46" s="93" t="s">
        <v>483</v>
      </c>
      <c r="F46" s="88" t="s">
        <v>4151</v>
      </c>
      <c r="G46" s="93" t="s">
        <v>485</v>
      </c>
      <c r="H46" s="93">
        <v>250</v>
      </c>
      <c r="I46" s="93">
        <v>100</v>
      </c>
    </row>
    <row r="47" spans="1:9">
      <c r="A47" s="102" t="s">
        <v>4149</v>
      </c>
      <c r="B47" s="1118">
        <v>591.57000000000005</v>
      </c>
      <c r="C47" s="102" t="s">
        <v>407</v>
      </c>
      <c r="D47" s="98">
        <f>+B47*'Datos de entrada (Off grid)'!$K$11*0.9</f>
        <v>2076410.7</v>
      </c>
      <c r="E47" s="93" t="s">
        <v>483</v>
      </c>
      <c r="F47" s="88" t="s">
        <v>4151</v>
      </c>
      <c r="G47" s="93" t="s">
        <v>485</v>
      </c>
      <c r="H47" s="93">
        <v>250</v>
      </c>
      <c r="I47" s="93">
        <v>100</v>
      </c>
    </row>
    <row r="48" spans="1:9">
      <c r="A48" s="102" t="s">
        <v>434</v>
      </c>
      <c r="B48" s="1119">
        <v>648.27</v>
      </c>
      <c r="C48" s="102" t="s">
        <v>407</v>
      </c>
      <c r="D48" s="98">
        <f>+B48*'Datos de entrada (Off grid)'!$K$11*0.9</f>
        <v>2275427.7000000002</v>
      </c>
      <c r="E48" s="93" t="s">
        <v>483</v>
      </c>
      <c r="F48" s="88" t="s">
        <v>4151</v>
      </c>
      <c r="G48" s="93" t="s">
        <v>485</v>
      </c>
      <c r="H48" s="93">
        <v>450</v>
      </c>
      <c r="I48" s="93">
        <v>200</v>
      </c>
    </row>
    <row r="49" spans="1:13">
      <c r="A49" s="102" t="s">
        <v>4150</v>
      </c>
      <c r="B49" s="1119">
        <v>658.66</v>
      </c>
      <c r="C49" s="102" t="s">
        <v>407</v>
      </c>
      <c r="D49" s="98">
        <f>+B49*'Datos de entrada (Off grid)'!$K$11*0.9</f>
        <v>2311896.6</v>
      </c>
      <c r="E49" s="93" t="s">
        <v>483</v>
      </c>
      <c r="F49" s="88" t="s">
        <v>4151</v>
      </c>
      <c r="G49" s="93" t="s">
        <v>485</v>
      </c>
      <c r="H49" s="93">
        <v>450</v>
      </c>
      <c r="I49" s="93">
        <v>100</v>
      </c>
    </row>
    <row r="50" spans="1:13">
      <c r="A50" s="102"/>
      <c r="B50" s="1118"/>
      <c r="C50" s="102" t="s">
        <v>407</v>
      </c>
      <c r="D50" s="98">
        <f>+B50*'Datos de entrada (Off grid)'!$K$11*0.9</f>
        <v>0</v>
      </c>
      <c r="E50" s="93" t="s">
        <v>483</v>
      </c>
      <c r="F50" s="88" t="s">
        <v>4151</v>
      </c>
      <c r="G50" s="93" t="s">
        <v>485</v>
      </c>
      <c r="H50" s="93">
        <v>150</v>
      </c>
      <c r="I50" s="93">
        <v>85</v>
      </c>
    </row>
    <row r="51" spans="1:13">
      <c r="A51" s="102"/>
      <c r="B51" s="102"/>
      <c r="C51" s="102"/>
      <c r="D51" s="98"/>
      <c r="E51" s="93"/>
      <c r="F51" s="88"/>
      <c r="G51" s="93"/>
      <c r="H51" s="93"/>
      <c r="I51" s="93"/>
    </row>
    <row r="52" spans="1:13">
      <c r="A52" s="102"/>
      <c r="B52" s="1120"/>
      <c r="C52" s="102"/>
      <c r="D52" s="98"/>
      <c r="E52" s="93"/>
      <c r="F52" s="88"/>
      <c r="G52" s="93"/>
      <c r="H52" s="93"/>
      <c r="I52" s="93"/>
    </row>
    <row r="53" spans="1:13">
      <c r="A53" s="102"/>
      <c r="B53" s="102"/>
      <c r="C53" s="102"/>
      <c r="D53" s="98"/>
      <c r="E53" s="93"/>
      <c r="F53" s="88"/>
      <c r="G53" s="93"/>
      <c r="H53" s="93"/>
      <c r="I53" s="93"/>
    </row>
    <row r="54" spans="1:13">
      <c r="A54" s="103"/>
      <c r="B54" s="103"/>
      <c r="C54" s="103"/>
      <c r="D54" s="98"/>
      <c r="E54" s="93"/>
      <c r="F54" s="88"/>
      <c r="G54" s="93"/>
      <c r="H54" s="93"/>
      <c r="I54" s="93"/>
    </row>
    <row r="56" spans="1:13">
      <c r="A56" s="93" t="s">
        <v>446</v>
      </c>
      <c r="B56" s="93"/>
      <c r="C56" s="93"/>
      <c r="D56" s="93"/>
      <c r="E56" s="93"/>
      <c r="F56" s="93"/>
      <c r="G56" s="93" t="s">
        <v>160</v>
      </c>
      <c r="H56" s="93" t="s">
        <v>514</v>
      </c>
      <c r="I56" s="93" t="s">
        <v>512</v>
      </c>
      <c r="M56" s="836"/>
    </row>
    <row r="57" spans="1:13">
      <c r="A57" s="103" t="s">
        <v>4541</v>
      </c>
      <c r="B57" s="90">
        <v>957.28</v>
      </c>
      <c r="C57" s="91" t="s">
        <v>407</v>
      </c>
      <c r="D57" s="98">
        <f>+B57*'Datos de entrada (Off grid)'!$K$11*0.9</f>
        <v>3360052.8000000003</v>
      </c>
      <c r="E57" s="95" t="s">
        <v>483</v>
      </c>
      <c r="F57" s="89" t="s">
        <v>486</v>
      </c>
      <c r="G57" s="291">
        <v>12</v>
      </c>
      <c r="H57" s="291">
        <v>2000</v>
      </c>
      <c r="I57" s="291">
        <v>120</v>
      </c>
      <c r="J57" s="94"/>
      <c r="K57" s="94"/>
      <c r="L57" s="94"/>
      <c r="M57" s="836">
        <f t="shared" ref="M57:M72" si="0">+D57/0.8</f>
        <v>4200066</v>
      </c>
    </row>
    <row r="58" spans="1:13">
      <c r="A58" s="103" t="s">
        <v>4132</v>
      </c>
      <c r="B58" s="90">
        <v>912.87</v>
      </c>
      <c r="C58" s="91" t="s">
        <v>407</v>
      </c>
      <c r="D58" s="98">
        <f>+B58*'Datos de entrada (Off grid)'!$K$11*0.9</f>
        <v>3204173.7</v>
      </c>
      <c r="E58" s="95" t="s">
        <v>483</v>
      </c>
      <c r="F58" s="89" t="s">
        <v>486</v>
      </c>
      <c r="G58" s="291">
        <v>12</v>
      </c>
      <c r="H58" s="291">
        <v>3000</v>
      </c>
      <c r="I58" s="291">
        <v>120</v>
      </c>
      <c r="J58" s="94"/>
      <c r="K58" s="94"/>
      <c r="L58" s="94"/>
      <c r="M58" s="836">
        <f t="shared" si="0"/>
        <v>4005217.125</v>
      </c>
    </row>
    <row r="59" spans="1:13">
      <c r="A59" s="103" t="s">
        <v>436</v>
      </c>
      <c r="B59" s="90">
        <v>1237</v>
      </c>
      <c r="C59" s="91" t="s">
        <v>407</v>
      </c>
      <c r="D59" s="98">
        <f>+B59*'Datos de entrada (Off grid)'!$K$11*0.9</f>
        <v>4341870</v>
      </c>
      <c r="E59" s="95" t="s">
        <v>483</v>
      </c>
      <c r="F59" s="89" t="s">
        <v>486</v>
      </c>
      <c r="G59" s="291">
        <v>12</v>
      </c>
      <c r="H59" s="291">
        <v>3000</v>
      </c>
      <c r="I59" s="291">
        <v>120</v>
      </c>
      <c r="J59" s="94"/>
      <c r="K59" s="94"/>
      <c r="L59" s="94"/>
      <c r="M59" s="836">
        <f t="shared" si="0"/>
        <v>5427337.5</v>
      </c>
    </row>
    <row r="60" spans="1:13">
      <c r="A60" s="103" t="s">
        <v>4542</v>
      </c>
      <c r="B60" s="90">
        <v>1055.56</v>
      </c>
      <c r="C60" s="91" t="s">
        <v>407</v>
      </c>
      <c r="D60" s="98">
        <f>+B60*'Datos de entrada (Off grid)'!$K$11*0.9</f>
        <v>3705015.6</v>
      </c>
      <c r="E60" s="95" t="s">
        <v>483</v>
      </c>
      <c r="F60" s="89" t="s">
        <v>4136</v>
      </c>
      <c r="G60" s="291">
        <v>12</v>
      </c>
      <c r="H60" s="291">
        <v>3000</v>
      </c>
      <c r="I60" s="291">
        <v>120</v>
      </c>
      <c r="J60" s="94"/>
      <c r="K60" s="94"/>
      <c r="L60" s="94"/>
      <c r="M60" s="836">
        <f t="shared" si="0"/>
        <v>4631269.5</v>
      </c>
    </row>
    <row r="61" spans="1:13">
      <c r="A61" s="103" t="s">
        <v>4543</v>
      </c>
      <c r="B61" s="90">
        <v>1065.96</v>
      </c>
      <c r="C61" s="91" t="s">
        <v>407</v>
      </c>
      <c r="D61" s="98">
        <f>+B61*'Datos de entrada (Off grid)'!$K$11*0.9</f>
        <v>3741519.6</v>
      </c>
      <c r="E61" s="95" t="s">
        <v>483</v>
      </c>
      <c r="F61" s="89" t="s">
        <v>4136</v>
      </c>
      <c r="G61" s="291">
        <v>12</v>
      </c>
      <c r="H61" s="291">
        <v>3000</v>
      </c>
      <c r="I61" s="291">
        <v>120</v>
      </c>
      <c r="J61" s="94"/>
      <c r="K61" s="94"/>
      <c r="L61" s="94"/>
      <c r="M61" s="836">
        <f t="shared" si="0"/>
        <v>4676899.5</v>
      </c>
    </row>
    <row r="62" spans="1:13">
      <c r="A62" s="103" t="s">
        <v>4544</v>
      </c>
      <c r="B62" s="90">
        <v>1151.96</v>
      </c>
      <c r="C62" s="91" t="s">
        <v>407</v>
      </c>
      <c r="D62" s="98">
        <f>+B62*'Datos de entrada (Off grid)'!$K$11*0.9</f>
        <v>4043379.6</v>
      </c>
      <c r="E62" s="95" t="s">
        <v>483</v>
      </c>
      <c r="F62" s="89" t="s">
        <v>4136</v>
      </c>
      <c r="G62" s="291">
        <v>12</v>
      </c>
      <c r="H62" s="291">
        <v>3000</v>
      </c>
      <c r="I62" s="291">
        <v>120</v>
      </c>
      <c r="J62" s="94"/>
      <c r="K62" s="94"/>
      <c r="L62" s="94"/>
      <c r="M62" s="836">
        <f t="shared" si="0"/>
        <v>5054224.5</v>
      </c>
    </row>
    <row r="63" spans="1:13">
      <c r="A63" s="103" t="s">
        <v>4545</v>
      </c>
      <c r="B63" s="90">
        <v>1458.14</v>
      </c>
      <c r="C63" s="91" t="s">
        <v>407</v>
      </c>
      <c r="D63" s="98">
        <f>+B63*'Datos de entrada (Off grid)'!$K$11*0.9</f>
        <v>5118071.4000000004</v>
      </c>
      <c r="E63" s="95" t="s">
        <v>483</v>
      </c>
      <c r="F63" s="89" t="s">
        <v>4554</v>
      </c>
      <c r="G63" s="291">
        <v>12</v>
      </c>
      <c r="H63" s="291">
        <v>3000</v>
      </c>
      <c r="I63" s="291">
        <v>120</v>
      </c>
      <c r="J63" s="94"/>
      <c r="K63" s="94"/>
      <c r="L63" s="94"/>
      <c r="M63" s="836">
        <f t="shared" si="0"/>
        <v>6397589.25</v>
      </c>
    </row>
    <row r="64" spans="1:13">
      <c r="A64" s="103" t="s">
        <v>437</v>
      </c>
      <c r="B64" s="90">
        <v>3160.08</v>
      </c>
      <c r="C64" s="91" t="s">
        <v>407</v>
      </c>
      <c r="D64" s="98">
        <f>+B64*'Datos de entrada (Off grid)'!$K$11*0.9</f>
        <v>11091880.800000001</v>
      </c>
      <c r="E64" s="95" t="s">
        <v>483</v>
      </c>
      <c r="F64" s="89" t="s">
        <v>487</v>
      </c>
      <c r="G64" s="291">
        <v>12</v>
      </c>
      <c r="H64" s="291">
        <v>5000</v>
      </c>
      <c r="I64" s="291">
        <v>120</v>
      </c>
      <c r="J64" s="94"/>
      <c r="K64" s="94"/>
      <c r="L64" s="94"/>
      <c r="M64" s="836">
        <f t="shared" si="0"/>
        <v>13864851</v>
      </c>
    </row>
    <row r="65" spans="1:13">
      <c r="A65" s="103" t="s">
        <v>438</v>
      </c>
      <c r="B65" s="90">
        <v>818.37</v>
      </c>
      <c r="C65" s="91" t="s">
        <v>407</v>
      </c>
      <c r="D65" s="98">
        <f>+B65*'Datos de entrada (Off grid)'!$K$11*0.9</f>
        <v>2872478.7</v>
      </c>
      <c r="E65" s="95" t="s">
        <v>483</v>
      </c>
      <c r="F65" s="89" t="s">
        <v>486</v>
      </c>
      <c r="G65" s="291">
        <v>24</v>
      </c>
      <c r="H65" s="291">
        <v>2000</v>
      </c>
      <c r="I65" s="291">
        <v>120</v>
      </c>
      <c r="J65" s="94"/>
      <c r="K65" s="94"/>
      <c r="L65" s="94"/>
      <c r="M65" s="836">
        <f t="shared" si="0"/>
        <v>3590598.375</v>
      </c>
    </row>
    <row r="66" spans="1:13">
      <c r="A66" s="103" t="s">
        <v>4133</v>
      </c>
      <c r="B66" s="90">
        <v>821.2</v>
      </c>
      <c r="C66" s="91" t="s">
        <v>407</v>
      </c>
      <c r="D66" s="98">
        <f>+B66*'Datos de entrada (Off grid)'!$K$11*0.9</f>
        <v>2882412</v>
      </c>
      <c r="E66" s="95" t="s">
        <v>483</v>
      </c>
      <c r="F66" s="89" t="s">
        <v>486</v>
      </c>
      <c r="G66" s="291">
        <v>24</v>
      </c>
      <c r="H66" s="291">
        <v>2000</v>
      </c>
      <c r="I66" s="291">
        <v>120</v>
      </c>
      <c r="M66" s="836">
        <f t="shared" si="0"/>
        <v>3603015</v>
      </c>
    </row>
    <row r="67" spans="1:13">
      <c r="A67" s="103" t="s">
        <v>4546</v>
      </c>
      <c r="B67" s="92">
        <v>831.6</v>
      </c>
      <c r="C67" s="91" t="s">
        <v>407</v>
      </c>
      <c r="D67" s="98">
        <f>+B67*'Datos de entrada (Off grid)'!$K$11*0.9</f>
        <v>2918916</v>
      </c>
      <c r="E67" s="95" t="s">
        <v>483</v>
      </c>
      <c r="F67" s="89" t="s">
        <v>486</v>
      </c>
      <c r="G67" s="291">
        <v>24</v>
      </c>
      <c r="H67" s="291">
        <v>2000</v>
      </c>
      <c r="I67" s="291">
        <v>120</v>
      </c>
      <c r="M67" s="836">
        <f t="shared" si="0"/>
        <v>3648645</v>
      </c>
    </row>
    <row r="68" spans="1:13">
      <c r="A68" s="103" t="s">
        <v>439</v>
      </c>
      <c r="B68" s="90">
        <v>1237</v>
      </c>
      <c r="C68" s="91" t="s">
        <v>407</v>
      </c>
      <c r="D68" s="98">
        <f>+B68*'Datos de entrada (Off grid)'!$K$11*0.9</f>
        <v>4341870</v>
      </c>
      <c r="E68" s="95" t="s">
        <v>483</v>
      </c>
      <c r="F68" s="89" t="s">
        <v>486</v>
      </c>
      <c r="G68" s="291">
        <v>24</v>
      </c>
      <c r="H68" s="291">
        <v>3000</v>
      </c>
      <c r="I68" s="291">
        <v>120</v>
      </c>
      <c r="M68" s="836">
        <f t="shared" si="0"/>
        <v>5427337.5</v>
      </c>
    </row>
    <row r="69" spans="1:13">
      <c r="A69" s="103" t="s">
        <v>440</v>
      </c>
      <c r="B69" s="90">
        <v>1254.96</v>
      </c>
      <c r="C69" s="91" t="s">
        <v>407</v>
      </c>
      <c r="D69" s="98">
        <f>+B69*'Datos de entrada (Off grid)'!$K$11*0.9</f>
        <v>4404909.6000000006</v>
      </c>
      <c r="E69" s="95" t="s">
        <v>483</v>
      </c>
      <c r="F69" s="89" t="s">
        <v>486</v>
      </c>
      <c r="G69" s="291">
        <v>24</v>
      </c>
      <c r="H69" s="291">
        <v>3000</v>
      </c>
      <c r="I69" s="291">
        <v>120</v>
      </c>
      <c r="M69" s="836">
        <f t="shared" si="0"/>
        <v>5506137</v>
      </c>
    </row>
    <row r="70" spans="1:13">
      <c r="A70" s="103" t="s">
        <v>4547</v>
      </c>
      <c r="B70" s="90">
        <v>1055.56</v>
      </c>
      <c r="C70" s="91" t="s">
        <v>407</v>
      </c>
      <c r="D70" s="98">
        <f>+B70*'Datos de entrada (Off grid)'!$K$11*0.9</f>
        <v>3705015.6</v>
      </c>
      <c r="E70" s="95" t="s">
        <v>483</v>
      </c>
      <c r="F70" s="89" t="s">
        <v>4136</v>
      </c>
      <c r="G70" s="291">
        <v>24</v>
      </c>
      <c r="H70" s="291">
        <v>3000</v>
      </c>
      <c r="I70" s="291">
        <v>120</v>
      </c>
      <c r="M70" s="836">
        <f t="shared" si="0"/>
        <v>4631269.5</v>
      </c>
    </row>
    <row r="71" spans="1:13">
      <c r="A71" s="103" t="s">
        <v>4548</v>
      </c>
      <c r="B71" s="90">
        <v>1200.1500000000001</v>
      </c>
      <c r="C71" s="91" t="s">
        <v>407</v>
      </c>
      <c r="D71" s="98">
        <f>+B71*'Datos de entrada (Off grid)'!$K$11*0.9</f>
        <v>4212526.5</v>
      </c>
      <c r="E71" s="95" t="s">
        <v>483</v>
      </c>
      <c r="F71" s="89" t="s">
        <v>4136</v>
      </c>
      <c r="G71" s="291">
        <v>24</v>
      </c>
      <c r="H71" s="291">
        <v>3000</v>
      </c>
      <c r="I71" s="291">
        <v>120</v>
      </c>
      <c r="M71" s="836">
        <f t="shared" si="0"/>
        <v>5265658.125</v>
      </c>
    </row>
    <row r="72" spans="1:13">
      <c r="A72" s="103" t="s">
        <v>4549</v>
      </c>
      <c r="B72" s="90">
        <v>1213.3800000000001</v>
      </c>
      <c r="C72" s="91" t="s">
        <v>407</v>
      </c>
      <c r="D72" s="98">
        <f>+B72*'Datos de entrada (Off grid)'!$K$11*0.9</f>
        <v>4258963.8</v>
      </c>
      <c r="E72" s="95" t="s">
        <v>483</v>
      </c>
      <c r="F72" s="89" t="s">
        <v>4136</v>
      </c>
      <c r="G72" s="291">
        <v>24</v>
      </c>
      <c r="H72" s="291">
        <v>3000</v>
      </c>
      <c r="I72" s="291">
        <v>120</v>
      </c>
      <c r="M72" s="836">
        <f t="shared" si="0"/>
        <v>5323704.7499999991</v>
      </c>
    </row>
    <row r="73" spans="1:13">
      <c r="A73" s="103" t="s">
        <v>4550</v>
      </c>
      <c r="B73" s="1202">
        <v>1385.37</v>
      </c>
      <c r="C73" s="91" t="s">
        <v>407</v>
      </c>
      <c r="D73" s="98">
        <f>+B73*'Datos de entrada (Off grid)'!$K$11*0.9</f>
        <v>4862648.7</v>
      </c>
      <c r="E73" s="1198" t="s">
        <v>483</v>
      </c>
      <c r="F73" s="89" t="s">
        <v>4554</v>
      </c>
      <c r="G73" s="291">
        <v>24</v>
      </c>
      <c r="H73" s="291">
        <v>3000</v>
      </c>
      <c r="I73" s="291">
        <v>120</v>
      </c>
    </row>
    <row r="74" spans="1:13">
      <c r="A74" s="103" t="s">
        <v>441</v>
      </c>
      <c r="B74" s="92">
        <v>2641.28</v>
      </c>
      <c r="C74" s="91" t="s">
        <v>407</v>
      </c>
      <c r="D74" s="98">
        <f>+B74*'Datos de entrada (Off grid)'!$K$11*0.9</f>
        <v>9270892.8000000007</v>
      </c>
      <c r="E74" s="1198" t="s">
        <v>483</v>
      </c>
      <c r="F74" s="89" t="s">
        <v>487</v>
      </c>
      <c r="G74" s="291">
        <v>24</v>
      </c>
      <c r="H74" s="291">
        <v>5000</v>
      </c>
      <c r="I74" s="291">
        <v>120</v>
      </c>
      <c r="M74" s="836"/>
    </row>
    <row r="75" spans="1:13">
      <c r="A75" s="103" t="s">
        <v>4135</v>
      </c>
      <c r="B75" s="90">
        <v>569.84</v>
      </c>
      <c r="C75" s="91" t="s">
        <v>407</v>
      </c>
      <c r="D75" s="98">
        <f>+B75*'Datos de entrada (Off grid)'!$K$11*0.9</f>
        <v>2000138.4000000001</v>
      </c>
      <c r="E75" s="1198" t="s">
        <v>483</v>
      </c>
      <c r="F75" s="89" t="s">
        <v>486</v>
      </c>
      <c r="G75" s="291">
        <v>48</v>
      </c>
      <c r="H75" s="291">
        <v>2000</v>
      </c>
      <c r="I75" s="291">
        <v>120</v>
      </c>
      <c r="M75" s="836"/>
    </row>
    <row r="76" spans="1:13">
      <c r="A76" s="103" t="s">
        <v>4134</v>
      </c>
      <c r="B76" s="90">
        <v>619.91999999999996</v>
      </c>
      <c r="C76" s="91" t="s">
        <v>407</v>
      </c>
      <c r="D76" s="98">
        <f>+B76*'Datos de entrada (Off grid)'!$K$11*0.9</f>
        <v>2175919.2000000002</v>
      </c>
      <c r="E76" s="1198" t="s">
        <v>483</v>
      </c>
      <c r="F76" s="89" t="s">
        <v>4136</v>
      </c>
      <c r="G76" s="291">
        <v>48</v>
      </c>
      <c r="H76" s="291">
        <v>3000</v>
      </c>
      <c r="I76" s="291">
        <v>120</v>
      </c>
      <c r="M76" s="836"/>
    </row>
    <row r="77" spans="1:13">
      <c r="A77" s="103" t="s">
        <v>4551</v>
      </c>
      <c r="B77" s="90">
        <v>628.41999999999996</v>
      </c>
      <c r="C77" s="91" t="s">
        <v>407</v>
      </c>
      <c r="D77" s="98">
        <f>+B77*'Datos de entrada (Off grid)'!$K$11*0.9</f>
        <v>2205754.2000000002</v>
      </c>
      <c r="E77" s="1198" t="s">
        <v>483</v>
      </c>
      <c r="F77" s="89" t="s">
        <v>4136</v>
      </c>
      <c r="G77" s="291">
        <v>48</v>
      </c>
      <c r="H77" s="291">
        <v>3000</v>
      </c>
      <c r="I77" s="291">
        <v>120</v>
      </c>
      <c r="M77" s="836"/>
    </row>
    <row r="78" spans="1:13">
      <c r="A78" s="103" t="s">
        <v>4552</v>
      </c>
      <c r="B78" s="90">
        <v>980.91</v>
      </c>
      <c r="C78" s="91" t="s">
        <v>407</v>
      </c>
      <c r="D78" s="98">
        <f>+B78*'Datos de entrada (Off grid)'!$K$11*0.9</f>
        <v>3442994.1</v>
      </c>
      <c r="E78" s="1198" t="s">
        <v>483</v>
      </c>
      <c r="F78" s="89" t="s">
        <v>4136</v>
      </c>
      <c r="G78" s="291">
        <v>48</v>
      </c>
      <c r="H78" s="291">
        <v>5000</v>
      </c>
      <c r="I78" s="291">
        <v>120</v>
      </c>
      <c r="M78" s="836"/>
    </row>
    <row r="79" spans="1:13">
      <c r="A79" s="103" t="s">
        <v>442</v>
      </c>
      <c r="B79" s="90">
        <v>1471.36</v>
      </c>
      <c r="C79" s="91" t="s">
        <v>407</v>
      </c>
      <c r="D79" s="98">
        <f>+B79*'Datos de entrada (Off grid)'!$K$11*0.9</f>
        <v>5164473.6000000006</v>
      </c>
      <c r="E79" s="1198" t="s">
        <v>483</v>
      </c>
      <c r="F79" s="89" t="s">
        <v>487</v>
      </c>
      <c r="G79" s="291">
        <v>48</v>
      </c>
      <c r="H79" s="291">
        <v>3000</v>
      </c>
      <c r="I79" s="291">
        <v>120</v>
      </c>
      <c r="M79" s="836"/>
    </row>
    <row r="80" spans="1:13">
      <c r="A80" s="103" t="s">
        <v>443</v>
      </c>
      <c r="B80" s="90">
        <v>1530.9</v>
      </c>
      <c r="C80" s="91" t="s">
        <v>407</v>
      </c>
      <c r="D80" s="98">
        <f>+B80*'Datos de entrada (Off grid)'!$K$11*0.9</f>
        <v>5373459</v>
      </c>
      <c r="E80" s="1198" t="s">
        <v>483</v>
      </c>
      <c r="F80" s="89" t="s">
        <v>487</v>
      </c>
      <c r="G80" s="291">
        <v>48</v>
      </c>
      <c r="H80" s="291">
        <v>5000</v>
      </c>
      <c r="I80" s="291">
        <v>120</v>
      </c>
      <c r="M80" s="836"/>
    </row>
    <row r="81" spans="1:13">
      <c r="A81" s="103" t="s">
        <v>444</v>
      </c>
      <c r="B81" s="90">
        <v>2760.34</v>
      </c>
      <c r="C81" s="91" t="s">
        <v>407</v>
      </c>
      <c r="D81" s="98">
        <f>+B81*'Datos de entrada (Off grid)'!$K$11*0.9</f>
        <v>9688793.4000000004</v>
      </c>
      <c r="E81" s="1198" t="s">
        <v>483</v>
      </c>
      <c r="F81" s="89" t="s">
        <v>487</v>
      </c>
      <c r="G81" s="291">
        <v>48</v>
      </c>
      <c r="H81" s="291">
        <v>10000</v>
      </c>
      <c r="I81" s="291">
        <v>120</v>
      </c>
      <c r="M81" s="836"/>
    </row>
    <row r="82" spans="1:13">
      <c r="A82" s="103" t="s">
        <v>4553</v>
      </c>
      <c r="B82" s="90">
        <v>3625.96</v>
      </c>
      <c r="C82" s="91" t="s">
        <v>407</v>
      </c>
      <c r="D82" s="98">
        <f>+B82*'Datos de entrada (Off grid)'!$K$11*0.9</f>
        <v>12727119.6</v>
      </c>
      <c r="E82" s="1198" t="s">
        <v>483</v>
      </c>
      <c r="F82" s="89" t="s">
        <v>487</v>
      </c>
      <c r="G82" s="291">
        <v>48</v>
      </c>
      <c r="H82" s="291">
        <v>15000</v>
      </c>
      <c r="I82" s="291">
        <v>277</v>
      </c>
      <c r="M82" s="836"/>
    </row>
    <row r="83" spans="1:13">
      <c r="A83" s="103"/>
      <c r="B83" s="90"/>
      <c r="C83" s="91"/>
      <c r="D83" s="98"/>
      <c r="E83" s="95"/>
      <c r="F83" s="89"/>
      <c r="G83" s="93"/>
      <c r="H83" s="100"/>
      <c r="I83" s="93"/>
      <c r="M83" s="836"/>
    </row>
    <row r="84" spans="1:13">
      <c r="A84" s="103"/>
      <c r="B84" s="90"/>
      <c r="C84" s="91"/>
      <c r="D84" s="98"/>
      <c r="E84" s="95"/>
      <c r="F84" s="89"/>
      <c r="G84" s="93"/>
      <c r="H84" s="100"/>
      <c r="I84" s="93"/>
      <c r="M84" s="836"/>
    </row>
    <row r="85" spans="1:13">
      <c r="A85" s="103"/>
      <c r="B85" s="90"/>
      <c r="C85" s="91"/>
      <c r="D85" s="98"/>
      <c r="E85" s="95"/>
      <c r="F85" s="89"/>
      <c r="G85" s="93"/>
      <c r="H85" s="100"/>
      <c r="I85" s="93"/>
      <c r="M85" s="836"/>
    </row>
    <row r="86" spans="1:13">
      <c r="A86" s="103"/>
      <c r="B86" s="95"/>
      <c r="C86" s="91"/>
      <c r="D86" s="98"/>
      <c r="E86" s="95"/>
      <c r="F86" s="93"/>
      <c r="G86" s="93"/>
      <c r="H86" s="93"/>
      <c r="I86" s="93"/>
      <c r="M86" s="836"/>
    </row>
    <row r="87" spans="1:13">
      <c r="A87" s="103"/>
      <c r="B87" s="95"/>
      <c r="C87" s="91"/>
      <c r="D87" s="98"/>
      <c r="E87" s="95"/>
      <c r="F87" s="93"/>
      <c r="G87" s="93"/>
      <c r="H87" s="93"/>
      <c r="I87" s="93"/>
      <c r="M87" s="836"/>
    </row>
    <row r="88" spans="1:13">
      <c r="A88" s="103"/>
      <c r="B88" s="95"/>
      <c r="C88" s="91"/>
      <c r="D88" s="98"/>
      <c r="E88" s="95"/>
      <c r="F88" s="93"/>
      <c r="G88" s="93"/>
      <c r="H88" s="93"/>
      <c r="I88" s="93"/>
      <c r="M88" s="836"/>
    </row>
    <row r="89" spans="1:13">
      <c r="A89" s="103"/>
      <c r="B89" s="92"/>
      <c r="C89" s="91"/>
      <c r="D89" s="98"/>
      <c r="E89" s="93"/>
      <c r="F89" s="89"/>
      <c r="G89" s="93"/>
      <c r="H89" s="100"/>
      <c r="I89" s="93"/>
      <c r="J89" s="93"/>
      <c r="K89" s="93"/>
      <c r="L89" s="93"/>
      <c r="M89" s="836"/>
    </row>
    <row r="90" spans="1:13">
      <c r="A90" s="103"/>
      <c r="B90" s="92"/>
      <c r="C90" s="91"/>
      <c r="D90" s="98"/>
      <c r="E90" s="93"/>
      <c r="F90" s="99"/>
      <c r="G90" s="93"/>
      <c r="H90" s="100"/>
      <c r="I90" s="93"/>
      <c r="J90" s="93"/>
      <c r="K90" s="93"/>
      <c r="L90" s="93"/>
      <c r="M90" s="836"/>
    </row>
    <row r="91" spans="1:13">
      <c r="A91" s="103"/>
      <c r="B91" s="92"/>
      <c r="C91" s="91"/>
      <c r="D91" s="98"/>
      <c r="E91" s="93"/>
      <c r="F91" s="89"/>
      <c r="G91" s="93"/>
      <c r="H91" s="100"/>
      <c r="I91" s="93"/>
      <c r="J91" s="93"/>
      <c r="K91" s="93"/>
      <c r="L91" s="93"/>
      <c r="M91" s="836"/>
    </row>
    <row r="92" spans="1:13">
      <c r="A92" s="103"/>
      <c r="B92" s="92"/>
      <c r="C92" s="91"/>
      <c r="D92" s="98"/>
      <c r="E92" s="93"/>
      <c r="F92" s="89"/>
      <c r="G92" s="93"/>
      <c r="H92" s="100"/>
      <c r="I92" s="93"/>
      <c r="J92" s="93"/>
      <c r="K92" s="93"/>
      <c r="L92" s="93"/>
      <c r="M92" s="836"/>
    </row>
    <row r="93" spans="1:13">
      <c r="A93" s="103"/>
      <c r="B93" s="92"/>
      <c r="C93" s="91"/>
      <c r="D93" s="98"/>
      <c r="E93" s="93"/>
      <c r="F93" s="89"/>
      <c r="G93" s="93"/>
      <c r="H93" s="100"/>
      <c r="I93" s="93"/>
      <c r="J93" s="93"/>
      <c r="K93" s="93"/>
      <c r="L93" s="93"/>
      <c r="M93" s="836"/>
    </row>
    <row r="94" spans="1:13">
      <c r="A94" s="103"/>
      <c r="B94" s="92"/>
      <c r="C94" s="91"/>
      <c r="D94" s="98"/>
      <c r="E94" s="93"/>
      <c r="F94" s="89"/>
      <c r="G94" s="93"/>
      <c r="H94" s="100"/>
      <c r="I94" s="93"/>
      <c r="J94" s="93"/>
      <c r="K94" s="93"/>
      <c r="L94" s="93"/>
      <c r="M94" s="836"/>
    </row>
    <row r="95" spans="1:13">
      <c r="A95" s="103"/>
      <c r="B95" s="92"/>
      <c r="C95" s="91"/>
      <c r="D95" s="98"/>
      <c r="E95" s="93"/>
      <c r="F95" s="89"/>
      <c r="G95" s="93"/>
      <c r="H95" s="100"/>
      <c r="I95" s="93"/>
      <c r="J95" s="93"/>
      <c r="K95" s="93"/>
      <c r="L95" s="93"/>
      <c r="M95" s="836"/>
    </row>
    <row r="96" spans="1:13">
      <c r="A96" s="103"/>
      <c r="B96" s="92"/>
      <c r="C96" s="91"/>
      <c r="D96" s="98"/>
      <c r="E96" s="93"/>
      <c r="F96" s="89"/>
      <c r="G96" s="93"/>
      <c r="H96" s="100"/>
      <c r="I96" s="93"/>
      <c r="J96" s="93"/>
      <c r="K96" s="93"/>
      <c r="L96" s="93"/>
      <c r="M96" s="836"/>
    </row>
    <row r="97" spans="1:13">
      <c r="A97" s="103"/>
      <c r="B97" s="92"/>
      <c r="C97" s="91"/>
      <c r="D97" s="98"/>
      <c r="E97" s="93"/>
      <c r="F97" s="89"/>
      <c r="G97" s="93"/>
      <c r="H97" s="100"/>
      <c r="I97" s="93"/>
      <c r="J97" s="93"/>
      <c r="K97" s="93"/>
      <c r="L97" s="93"/>
      <c r="M97" s="836"/>
    </row>
    <row r="98" spans="1:13">
      <c r="A98" s="103"/>
      <c r="B98" s="92"/>
      <c r="C98" s="91"/>
      <c r="D98" s="98"/>
      <c r="E98" s="93"/>
      <c r="F98" s="89"/>
      <c r="G98" s="93"/>
      <c r="H98" s="100"/>
      <c r="I98" s="93"/>
      <c r="J98" s="93"/>
      <c r="K98" s="93"/>
      <c r="L98" s="93"/>
      <c r="M98" s="836"/>
    </row>
    <row r="99" spans="1:13">
      <c r="A99" s="103"/>
      <c r="B99" s="92"/>
      <c r="C99" s="91"/>
      <c r="D99" s="98"/>
      <c r="E99" s="93"/>
      <c r="F99" s="89"/>
      <c r="G99" s="93"/>
      <c r="H99" s="100"/>
      <c r="I99" s="93"/>
      <c r="J99" s="93"/>
      <c r="K99" s="93"/>
      <c r="L99" s="93"/>
      <c r="M99" s="836"/>
    </row>
    <row r="100" spans="1:13">
      <c r="A100" s="103"/>
      <c r="B100" s="92"/>
      <c r="C100" s="91"/>
      <c r="D100" s="98"/>
      <c r="E100" s="93"/>
      <c r="F100" s="89"/>
      <c r="G100" s="93"/>
      <c r="H100" s="100"/>
      <c r="I100" s="93"/>
      <c r="J100" s="93"/>
      <c r="K100" s="93"/>
      <c r="L100" s="93"/>
      <c r="M100" s="836"/>
    </row>
    <row r="101" spans="1:13">
      <c r="A101" s="94"/>
      <c r="B101" s="94"/>
      <c r="C101" s="94"/>
      <c r="F101" s="94"/>
      <c r="M101" s="836">
        <f>+D101/0.8</f>
        <v>0</v>
      </c>
    </row>
    <row r="102" spans="1:13">
      <c r="A102" s="1198" t="s">
        <v>447</v>
      </c>
      <c r="B102" s="1198"/>
      <c r="C102" s="1198"/>
      <c r="D102" s="1198"/>
      <c r="E102" s="1198"/>
      <c r="M102" s="836">
        <f>+D102/0.8</f>
        <v>0</v>
      </c>
    </row>
    <row r="103" spans="1:13">
      <c r="A103" s="95"/>
      <c r="B103" s="95"/>
      <c r="C103" s="95"/>
      <c r="D103" s="95"/>
      <c r="E103" s="95"/>
      <c r="M103" s="836">
        <f>+D103/0.8</f>
        <v>0</v>
      </c>
    </row>
    <row r="104" spans="1:13">
      <c r="A104" s="89" t="s">
        <v>448</v>
      </c>
      <c r="B104" s="97">
        <v>2965.17</v>
      </c>
      <c r="C104" s="89" t="s">
        <v>407</v>
      </c>
      <c r="D104" s="98">
        <f>+B104*'Datos de entrada (Off grid)'!$K$11</f>
        <v>11564163</v>
      </c>
      <c r="E104" s="93" t="s">
        <v>483</v>
      </c>
      <c r="F104" s="89" t="s">
        <v>488</v>
      </c>
      <c r="G104" s="93" t="s">
        <v>489</v>
      </c>
      <c r="H104" s="93">
        <v>208</v>
      </c>
      <c r="I104" s="93" t="s">
        <v>490</v>
      </c>
      <c r="M104" s="836">
        <f>+D104/0.8</f>
        <v>14455203.75</v>
      </c>
    </row>
    <row r="105" spans="1:13">
      <c r="A105" s="89" t="s">
        <v>449</v>
      </c>
      <c r="B105" s="97">
        <v>3030.18</v>
      </c>
      <c r="C105" s="89" t="s">
        <v>407</v>
      </c>
      <c r="D105" s="98">
        <f>+B105*'Datos de entrada (Off grid)'!$K$11</f>
        <v>11817702</v>
      </c>
      <c r="E105" s="93" t="s">
        <v>483</v>
      </c>
      <c r="F105" s="89" t="s">
        <v>488</v>
      </c>
      <c r="G105" s="93" t="s">
        <v>491</v>
      </c>
      <c r="H105" s="93">
        <v>480</v>
      </c>
      <c r="I105" s="93" t="s">
        <v>492</v>
      </c>
    </row>
    <row r="106" spans="1:13">
      <c r="A106" s="89" t="s">
        <v>450</v>
      </c>
      <c r="B106" s="97">
        <v>2875.71</v>
      </c>
      <c r="C106" s="89" t="s">
        <v>407</v>
      </c>
      <c r="D106" s="98">
        <f>+B106*'Datos de entrada (Off grid)'!$K$11</f>
        <v>11215269</v>
      </c>
      <c r="E106" s="93" t="s">
        <v>483</v>
      </c>
      <c r="F106" s="89" t="s">
        <v>488</v>
      </c>
      <c r="G106" s="93" t="s">
        <v>493</v>
      </c>
      <c r="H106" s="93" t="s">
        <v>494</v>
      </c>
      <c r="I106" s="93" t="s">
        <v>492</v>
      </c>
    </row>
    <row r="107" spans="1:13">
      <c r="A107" s="89" t="s">
        <v>451</v>
      </c>
      <c r="B107" s="97">
        <v>3210.88</v>
      </c>
      <c r="C107" s="89" t="s">
        <v>407</v>
      </c>
      <c r="D107" s="98">
        <f>+B107*'Datos de entrada (Off grid)'!$K$11</f>
        <v>12522432</v>
      </c>
      <c r="E107" s="93" t="s">
        <v>483</v>
      </c>
      <c r="F107" s="89" t="s">
        <v>488</v>
      </c>
      <c r="G107" s="93" t="s">
        <v>495</v>
      </c>
      <c r="H107" s="93" t="s">
        <v>494</v>
      </c>
      <c r="I107" s="93" t="s">
        <v>492</v>
      </c>
    </row>
    <row r="108" spans="1:13">
      <c r="A108" s="89" t="s">
        <v>452</v>
      </c>
      <c r="B108" s="97">
        <v>2934.58</v>
      </c>
      <c r="C108" s="89" t="s">
        <v>407</v>
      </c>
      <c r="D108" s="98">
        <f>+B108*'Datos de entrada (Off grid)'!$K$11</f>
        <v>11444862</v>
      </c>
      <c r="E108" s="93" t="s">
        <v>483</v>
      </c>
      <c r="F108" s="89" t="s">
        <v>488</v>
      </c>
      <c r="G108" s="93" t="s">
        <v>489</v>
      </c>
      <c r="H108" s="93">
        <v>480</v>
      </c>
      <c r="I108" s="93" t="s">
        <v>492</v>
      </c>
    </row>
    <row r="109" spans="1:13">
      <c r="A109" s="89" t="s">
        <v>453</v>
      </c>
      <c r="B109" s="97">
        <v>2990.69</v>
      </c>
      <c r="C109" s="89" t="s">
        <v>407</v>
      </c>
      <c r="D109" s="98">
        <f>+B109*'Datos de entrada (Off grid)'!$K$11</f>
        <v>11663691</v>
      </c>
      <c r="E109" s="93" t="s">
        <v>483</v>
      </c>
      <c r="F109" s="89" t="s">
        <v>488</v>
      </c>
      <c r="G109" s="93" t="s">
        <v>496</v>
      </c>
      <c r="H109" s="93">
        <v>480</v>
      </c>
      <c r="I109" s="93" t="s">
        <v>492</v>
      </c>
    </row>
    <row r="110" spans="1:13">
      <c r="A110" s="89" t="s">
        <v>454</v>
      </c>
      <c r="B110" s="97">
        <v>2996.94</v>
      </c>
      <c r="C110" s="89" t="s">
        <v>407</v>
      </c>
      <c r="D110" s="98">
        <f>+B110*'Datos de entrada (Off grid)'!$K$11</f>
        <v>11688066</v>
      </c>
      <c r="E110" s="93" t="s">
        <v>483</v>
      </c>
      <c r="F110" s="89" t="s">
        <v>488</v>
      </c>
      <c r="G110" s="93" t="s">
        <v>497</v>
      </c>
      <c r="H110" s="93">
        <v>480</v>
      </c>
      <c r="I110" s="93" t="s">
        <v>492</v>
      </c>
    </row>
    <row r="111" spans="1:13">
      <c r="A111" s="89" t="s">
        <v>455</v>
      </c>
      <c r="B111" s="97">
        <v>3030.18</v>
      </c>
      <c r="C111" s="89" t="s">
        <v>407</v>
      </c>
      <c r="D111" s="98">
        <f>+B111*'Datos de entrada (Off grid)'!$K$11</f>
        <v>11817702</v>
      </c>
      <c r="E111" s="93" t="s">
        <v>483</v>
      </c>
      <c r="F111" s="89" t="s">
        <v>488</v>
      </c>
      <c r="G111" s="93" t="s">
        <v>491</v>
      </c>
      <c r="H111" s="93">
        <v>480</v>
      </c>
      <c r="I111" s="93" t="s">
        <v>492</v>
      </c>
    </row>
    <row r="112" spans="1:13">
      <c r="A112" s="89" t="s">
        <v>456</v>
      </c>
      <c r="B112" s="97">
        <v>2838.7</v>
      </c>
      <c r="C112" s="89" t="s">
        <v>407</v>
      </c>
      <c r="D112" s="98">
        <f>+B112*'Datos de entrada (Off grid)'!$K$11</f>
        <v>11070930</v>
      </c>
      <c r="E112" s="93" t="s">
        <v>483</v>
      </c>
      <c r="F112" s="89" t="s">
        <v>488</v>
      </c>
      <c r="G112" s="93" t="s">
        <v>489</v>
      </c>
      <c r="H112" s="93">
        <v>208</v>
      </c>
      <c r="I112" s="93" t="s">
        <v>498</v>
      </c>
    </row>
    <row r="113" spans="1:9">
      <c r="A113" s="89" t="s">
        <v>457</v>
      </c>
      <c r="B113" s="97">
        <v>2913.8</v>
      </c>
      <c r="C113" s="89" t="s">
        <v>407</v>
      </c>
      <c r="D113" s="98">
        <f>+B113*'Datos de entrada (Off grid)'!$K$11</f>
        <v>11363820</v>
      </c>
      <c r="E113" s="93" t="s">
        <v>483</v>
      </c>
      <c r="F113" s="89" t="s">
        <v>488</v>
      </c>
      <c r="G113" s="93" t="s">
        <v>491</v>
      </c>
      <c r="H113" s="93">
        <v>480</v>
      </c>
      <c r="I113" s="93" t="s">
        <v>498</v>
      </c>
    </row>
    <row r="114" spans="1:9">
      <c r="A114" s="89" t="s">
        <v>458</v>
      </c>
      <c r="B114" s="97">
        <v>2749.26</v>
      </c>
      <c r="C114" s="89" t="s">
        <v>407</v>
      </c>
      <c r="D114" s="98">
        <f>+B114*'Datos de entrada (Off grid)'!$K$11</f>
        <v>10722114</v>
      </c>
      <c r="E114" s="93" t="s">
        <v>483</v>
      </c>
      <c r="F114" s="89" t="s">
        <v>488</v>
      </c>
      <c r="G114" s="93" t="s">
        <v>493</v>
      </c>
      <c r="H114" s="93" t="s">
        <v>494</v>
      </c>
      <c r="I114" s="93" t="s">
        <v>498</v>
      </c>
    </row>
    <row r="115" spans="1:9">
      <c r="A115" s="89" t="s">
        <v>459</v>
      </c>
      <c r="B115" s="97">
        <v>3084.43</v>
      </c>
      <c r="C115" s="89" t="s">
        <v>407</v>
      </c>
      <c r="D115" s="98">
        <f>+B115*'Datos de entrada (Off grid)'!$K$11</f>
        <v>12029277</v>
      </c>
      <c r="E115" s="93" t="s">
        <v>483</v>
      </c>
      <c r="F115" s="89" t="s">
        <v>488</v>
      </c>
      <c r="G115" s="93" t="s">
        <v>495</v>
      </c>
      <c r="H115" s="93" t="s">
        <v>494</v>
      </c>
      <c r="I115" s="93" t="s">
        <v>498</v>
      </c>
    </row>
    <row r="116" spans="1:9">
      <c r="A116" s="89" t="s">
        <v>460</v>
      </c>
      <c r="B116" s="97">
        <v>2815.07</v>
      </c>
      <c r="C116" s="89" t="s">
        <v>407</v>
      </c>
      <c r="D116" s="98">
        <f>+B116*'Datos de entrada (Off grid)'!$K$11</f>
        <v>10978773</v>
      </c>
      <c r="E116" s="93" t="s">
        <v>483</v>
      </c>
      <c r="F116" s="89" t="s">
        <v>488</v>
      </c>
      <c r="G116" s="93" t="s">
        <v>489</v>
      </c>
      <c r="H116" s="93">
        <v>480</v>
      </c>
      <c r="I116" s="93" t="s">
        <v>498</v>
      </c>
    </row>
    <row r="117" spans="1:9">
      <c r="A117" s="89" t="s">
        <v>461</v>
      </c>
      <c r="B117" s="97">
        <v>2872.23</v>
      </c>
      <c r="C117" s="89" t="s">
        <v>407</v>
      </c>
      <c r="D117" s="98">
        <f>+B117*'Datos de entrada (Off grid)'!$K$11</f>
        <v>11201697</v>
      </c>
      <c r="E117" s="93" t="s">
        <v>483</v>
      </c>
      <c r="F117" s="89" t="s">
        <v>488</v>
      </c>
      <c r="G117" s="93" t="s">
        <v>496</v>
      </c>
      <c r="H117" s="93">
        <v>480</v>
      </c>
      <c r="I117" s="93" t="s">
        <v>498</v>
      </c>
    </row>
    <row r="118" spans="1:9">
      <c r="A118" s="89" t="s">
        <v>462</v>
      </c>
      <c r="B118" s="97">
        <v>2879.5</v>
      </c>
      <c r="C118" s="89" t="s">
        <v>407</v>
      </c>
      <c r="D118" s="98">
        <f>+B118*'Datos de entrada (Off grid)'!$K$11</f>
        <v>11230050</v>
      </c>
      <c r="E118" s="93" t="s">
        <v>483</v>
      </c>
      <c r="F118" s="89" t="s">
        <v>488</v>
      </c>
      <c r="G118" s="93" t="s">
        <v>497</v>
      </c>
      <c r="H118" s="93">
        <v>480</v>
      </c>
      <c r="I118" s="93" t="s">
        <v>498</v>
      </c>
    </row>
    <row r="119" spans="1:9">
      <c r="A119" s="89" t="s">
        <v>463</v>
      </c>
      <c r="B119" s="97">
        <v>2913.8</v>
      </c>
      <c r="C119" s="89" t="s">
        <v>407</v>
      </c>
      <c r="D119" s="98">
        <f>+B119*'Datos de entrada (Off grid)'!$K$11</f>
        <v>11363820</v>
      </c>
      <c r="E119" s="93" t="s">
        <v>483</v>
      </c>
      <c r="F119" s="89" t="s">
        <v>488</v>
      </c>
      <c r="G119" s="93" t="s">
        <v>491</v>
      </c>
      <c r="H119" s="93">
        <v>480</v>
      </c>
      <c r="I119" s="93" t="s">
        <v>498</v>
      </c>
    </row>
    <row r="120" spans="1:9">
      <c r="A120" s="89" t="s">
        <v>464</v>
      </c>
      <c r="B120" s="97">
        <v>1225.3</v>
      </c>
      <c r="C120" s="89" t="s">
        <v>407</v>
      </c>
      <c r="D120" s="98">
        <f>+B120*'Datos de entrada (Off grid)'!$K$11</f>
        <v>4778670</v>
      </c>
      <c r="E120" s="93" t="s">
        <v>483</v>
      </c>
      <c r="F120" s="89" t="s">
        <v>499</v>
      </c>
      <c r="G120" s="93" t="s">
        <v>500</v>
      </c>
      <c r="H120" s="93" t="s">
        <v>494</v>
      </c>
      <c r="I120" s="93" t="s">
        <v>492</v>
      </c>
    </row>
    <row r="121" spans="1:9">
      <c r="A121" s="89" t="s">
        <v>465</v>
      </c>
      <c r="B121" s="97">
        <v>1301.05</v>
      </c>
      <c r="C121" s="89" t="s">
        <v>407</v>
      </c>
      <c r="D121" s="98">
        <f>+B121*'Datos de entrada (Off grid)'!$K$11</f>
        <v>5074095</v>
      </c>
      <c r="E121" s="93" t="s">
        <v>483</v>
      </c>
      <c r="F121" s="89" t="s">
        <v>499</v>
      </c>
      <c r="G121" s="93" t="s">
        <v>501</v>
      </c>
      <c r="H121" s="93" t="s">
        <v>494</v>
      </c>
      <c r="I121" s="93" t="s">
        <v>492</v>
      </c>
    </row>
    <row r="122" spans="1:9">
      <c r="A122" s="89" t="s">
        <v>466</v>
      </c>
      <c r="B122" s="97">
        <v>1395.24</v>
      </c>
      <c r="C122" s="89" t="s">
        <v>407</v>
      </c>
      <c r="D122" s="98">
        <f>+B122*'Datos de entrada (Off grid)'!$K$11</f>
        <v>5441436</v>
      </c>
      <c r="E122" s="93" t="s">
        <v>483</v>
      </c>
      <c r="F122" s="89" t="s">
        <v>499</v>
      </c>
      <c r="G122" s="93" t="s">
        <v>502</v>
      </c>
      <c r="H122" s="93" t="s">
        <v>494</v>
      </c>
      <c r="I122" s="93" t="s">
        <v>492</v>
      </c>
    </row>
    <row r="123" spans="1:9">
      <c r="A123" s="89" t="s">
        <v>467</v>
      </c>
      <c r="B123" s="97">
        <v>1698.23</v>
      </c>
      <c r="C123" s="89" t="s">
        <v>407</v>
      </c>
      <c r="D123" s="98">
        <f>+B123*'Datos de entrada (Off grid)'!$K$11</f>
        <v>6623097</v>
      </c>
      <c r="E123" s="93" t="s">
        <v>483</v>
      </c>
      <c r="F123" s="89" t="s">
        <v>499</v>
      </c>
      <c r="G123" s="93" t="s">
        <v>503</v>
      </c>
      <c r="H123" s="93" t="s">
        <v>494</v>
      </c>
      <c r="I123" s="93" t="s">
        <v>492</v>
      </c>
    </row>
    <row r="124" spans="1:9">
      <c r="A124" s="89" t="s">
        <v>468</v>
      </c>
      <c r="B124" s="97">
        <v>1800.59</v>
      </c>
      <c r="C124" s="89" t="s">
        <v>407</v>
      </c>
      <c r="D124" s="98">
        <f>+B124*'Datos de entrada (Off grid)'!$K$11</f>
        <v>7022301</v>
      </c>
      <c r="E124" s="93" t="s">
        <v>483</v>
      </c>
      <c r="F124" s="89" t="s">
        <v>499</v>
      </c>
      <c r="G124" s="93" t="s">
        <v>504</v>
      </c>
      <c r="H124" s="93" t="s">
        <v>494</v>
      </c>
      <c r="I124" s="93" t="s">
        <v>492</v>
      </c>
    </row>
    <row r="125" spans="1:9">
      <c r="A125" s="89" t="s">
        <v>469</v>
      </c>
      <c r="B125" s="97">
        <v>2283.0300000000002</v>
      </c>
      <c r="C125" s="89" t="s">
        <v>407</v>
      </c>
      <c r="D125" s="98">
        <f>+B125*'Datos de entrada (Off grid)'!$K$11</f>
        <v>8903817</v>
      </c>
      <c r="E125" s="93" t="s">
        <v>483</v>
      </c>
      <c r="F125" s="89" t="s">
        <v>499</v>
      </c>
      <c r="G125" s="93" t="s">
        <v>505</v>
      </c>
      <c r="H125" s="93" t="s">
        <v>494</v>
      </c>
      <c r="I125" s="93" t="s">
        <v>492</v>
      </c>
    </row>
    <row r="126" spans="1:9">
      <c r="A126" s="89" t="s">
        <v>470</v>
      </c>
      <c r="B126" s="97">
        <v>2542.81</v>
      </c>
      <c r="C126" s="89" t="s">
        <v>407</v>
      </c>
      <c r="D126" s="98">
        <f>+B126*'Datos de entrada (Off grid)'!$K$11</f>
        <v>9916959</v>
      </c>
      <c r="E126" s="93" t="s">
        <v>483</v>
      </c>
      <c r="F126" s="89" t="s">
        <v>499</v>
      </c>
      <c r="G126" s="93" t="s">
        <v>506</v>
      </c>
      <c r="H126" s="93" t="s">
        <v>494</v>
      </c>
      <c r="I126" s="93" t="s">
        <v>492</v>
      </c>
    </row>
    <row r="127" spans="1:9">
      <c r="A127" s="89" t="s">
        <v>471</v>
      </c>
      <c r="B127" s="97">
        <v>2684.15</v>
      </c>
      <c r="C127" s="89" t="s">
        <v>407</v>
      </c>
      <c r="D127" s="98">
        <f>+B127*'Datos de entrada (Off grid)'!$K$11</f>
        <v>10468185</v>
      </c>
      <c r="E127" s="93" t="s">
        <v>483</v>
      </c>
      <c r="F127" s="89" t="s">
        <v>499</v>
      </c>
      <c r="G127" s="93" t="s">
        <v>507</v>
      </c>
      <c r="H127" s="93" t="s">
        <v>494</v>
      </c>
      <c r="I127" s="93" t="s">
        <v>492</v>
      </c>
    </row>
    <row r="128" spans="1:9">
      <c r="A128" s="89" t="s">
        <v>472</v>
      </c>
      <c r="B128" s="97">
        <v>3146.57</v>
      </c>
      <c r="C128" s="89" t="s">
        <v>407</v>
      </c>
      <c r="D128" s="98">
        <f>+B128*'Datos de entrada (Off grid)'!$K$11</f>
        <v>12271623</v>
      </c>
      <c r="E128" s="93" t="s">
        <v>483</v>
      </c>
      <c r="F128" s="89" t="s">
        <v>499</v>
      </c>
      <c r="G128" s="93" t="s">
        <v>508</v>
      </c>
      <c r="H128" s="93" t="s">
        <v>494</v>
      </c>
      <c r="I128" s="93" t="s">
        <v>492</v>
      </c>
    </row>
    <row r="129" spans="1:10">
      <c r="A129" s="89" t="s">
        <v>473</v>
      </c>
      <c r="B129" s="97">
        <v>1103.49</v>
      </c>
      <c r="C129" s="89" t="s">
        <v>407</v>
      </c>
      <c r="D129" s="98">
        <f>+B129*'Datos de entrada (Off grid)'!$K$11</f>
        <v>4303611</v>
      </c>
      <c r="E129" s="93" t="s">
        <v>483</v>
      </c>
      <c r="F129" s="89" t="s">
        <v>499</v>
      </c>
      <c r="G129" s="93" t="s">
        <v>500</v>
      </c>
      <c r="H129" s="93" t="s">
        <v>494</v>
      </c>
      <c r="I129" s="93" t="s">
        <v>498</v>
      </c>
    </row>
    <row r="130" spans="1:10">
      <c r="A130" s="89" t="s">
        <v>474</v>
      </c>
      <c r="B130" s="97">
        <v>1187.43</v>
      </c>
      <c r="C130" s="89" t="s">
        <v>407</v>
      </c>
      <c r="D130" s="98">
        <f>+B130*'Datos de entrada (Off grid)'!$K$11</f>
        <v>4630977</v>
      </c>
      <c r="E130" s="93" t="s">
        <v>483</v>
      </c>
      <c r="F130" s="89" t="s">
        <v>499</v>
      </c>
      <c r="G130" s="93" t="s">
        <v>501</v>
      </c>
      <c r="H130" s="93" t="s">
        <v>494</v>
      </c>
      <c r="I130" s="93" t="s">
        <v>498</v>
      </c>
    </row>
    <row r="131" spans="1:10">
      <c r="A131" s="89" t="s">
        <v>475</v>
      </c>
      <c r="B131" s="97">
        <v>1284.68</v>
      </c>
      <c r="C131" s="89" t="s">
        <v>407</v>
      </c>
      <c r="D131" s="98">
        <f>+B131*'Datos de entrada (Off grid)'!$K$11</f>
        <v>5010252</v>
      </c>
      <c r="E131" s="93" t="s">
        <v>483</v>
      </c>
      <c r="F131" s="89" t="s">
        <v>499</v>
      </c>
      <c r="G131" s="93" t="s">
        <v>502</v>
      </c>
      <c r="H131" s="93" t="s">
        <v>494</v>
      </c>
      <c r="I131" s="93" t="s">
        <v>498</v>
      </c>
    </row>
    <row r="132" spans="1:10">
      <c r="A132" s="89" t="s">
        <v>476</v>
      </c>
      <c r="B132" s="97">
        <v>1585.62</v>
      </c>
      <c r="C132" s="89" t="s">
        <v>407</v>
      </c>
      <c r="D132" s="98">
        <f>+B132*'Datos de entrada (Off grid)'!$K$11</f>
        <v>6183918</v>
      </c>
      <c r="E132" s="93" t="s">
        <v>483</v>
      </c>
      <c r="F132" s="89" t="s">
        <v>499</v>
      </c>
      <c r="G132" s="93" t="s">
        <v>503</v>
      </c>
      <c r="H132" s="93" t="s">
        <v>494</v>
      </c>
      <c r="I132" s="93" t="s">
        <v>498</v>
      </c>
    </row>
    <row r="133" spans="1:10">
      <c r="A133" s="89" t="s">
        <v>477</v>
      </c>
      <c r="B133" s="97">
        <v>1686.97</v>
      </c>
      <c r="C133" s="89" t="s">
        <v>407</v>
      </c>
      <c r="D133" s="98">
        <f>+B133*'Datos de entrada (Off grid)'!$K$11</f>
        <v>6579183</v>
      </c>
      <c r="E133" s="93" t="s">
        <v>483</v>
      </c>
      <c r="F133" s="89" t="s">
        <v>499</v>
      </c>
      <c r="G133" s="93" t="s">
        <v>504</v>
      </c>
      <c r="H133" s="93" t="s">
        <v>494</v>
      </c>
      <c r="I133" s="93" t="s">
        <v>498</v>
      </c>
    </row>
    <row r="134" spans="1:10">
      <c r="A134" s="89" t="s">
        <v>478</v>
      </c>
      <c r="B134" s="97">
        <v>2165.61</v>
      </c>
      <c r="C134" s="89" t="s">
        <v>407</v>
      </c>
      <c r="D134" s="98">
        <f>+B134*'Datos de entrada (Off grid)'!$K$11</f>
        <v>8445879</v>
      </c>
      <c r="E134" s="93" t="s">
        <v>483</v>
      </c>
      <c r="F134" s="89" t="s">
        <v>499</v>
      </c>
      <c r="G134" s="93" t="s">
        <v>505</v>
      </c>
      <c r="H134" s="93" t="s">
        <v>494</v>
      </c>
      <c r="I134" s="93" t="s">
        <v>498</v>
      </c>
    </row>
    <row r="135" spans="1:10">
      <c r="A135" s="89" t="s">
        <v>479</v>
      </c>
      <c r="B135" s="97">
        <v>2425.39</v>
      </c>
      <c r="C135" s="89" t="s">
        <v>407</v>
      </c>
      <c r="D135" s="98">
        <f>+B135*'Datos de entrada (Off grid)'!$K$11</f>
        <v>9459021</v>
      </c>
      <c r="E135" s="93" t="s">
        <v>483</v>
      </c>
      <c r="F135" s="89" t="s">
        <v>499</v>
      </c>
      <c r="G135" s="93" t="s">
        <v>506</v>
      </c>
      <c r="H135" s="93" t="s">
        <v>494</v>
      </c>
      <c r="I135" s="93" t="s">
        <v>498</v>
      </c>
    </row>
    <row r="136" spans="1:10">
      <c r="A136" s="89" t="s">
        <v>480</v>
      </c>
      <c r="B136" s="97">
        <v>2569.84</v>
      </c>
      <c r="C136" s="89" t="s">
        <v>407</v>
      </c>
      <c r="D136" s="98">
        <f>+B136*'Datos de entrada (Off grid)'!$K$11</f>
        <v>10022376</v>
      </c>
      <c r="E136" s="93" t="s">
        <v>483</v>
      </c>
      <c r="F136" s="89" t="s">
        <v>499</v>
      </c>
      <c r="G136" s="93" t="s">
        <v>507</v>
      </c>
      <c r="H136" s="93" t="s">
        <v>494</v>
      </c>
      <c r="I136" s="93" t="s">
        <v>498</v>
      </c>
    </row>
    <row r="137" spans="1:10">
      <c r="A137" s="89" t="s">
        <v>481</v>
      </c>
      <c r="B137" s="97">
        <v>3032.26</v>
      </c>
      <c r="C137" s="89" t="s">
        <v>407</v>
      </c>
      <c r="D137" s="98">
        <f>+B137*'Datos de entrada (Off grid)'!$K$11</f>
        <v>11825814</v>
      </c>
      <c r="E137" s="93" t="s">
        <v>483</v>
      </c>
      <c r="F137" s="89" t="s">
        <v>499</v>
      </c>
      <c r="G137" s="93" t="s">
        <v>508</v>
      </c>
      <c r="H137" s="93" t="s">
        <v>494</v>
      </c>
      <c r="I137" s="93" t="s">
        <v>498</v>
      </c>
    </row>
    <row r="139" spans="1:10">
      <c r="A139" s="1198" t="s">
        <v>482</v>
      </c>
      <c r="B139" s="1198"/>
      <c r="C139" s="1198"/>
      <c r="D139" s="1198"/>
      <c r="E139" s="1198"/>
      <c r="F139" s="93"/>
      <c r="G139" s="93" t="s">
        <v>513</v>
      </c>
      <c r="H139" s="93" t="s">
        <v>515</v>
      </c>
      <c r="I139" s="87" t="s">
        <v>1837</v>
      </c>
    </row>
    <row r="140" spans="1:10">
      <c r="A140" s="105" t="s">
        <v>524</v>
      </c>
      <c r="B140" s="95"/>
      <c r="C140" s="95"/>
      <c r="D140" s="95"/>
      <c r="E140" s="95"/>
      <c r="F140" s="93"/>
      <c r="G140" s="93"/>
      <c r="H140" s="93"/>
    </row>
    <row r="141" spans="1:10">
      <c r="A141" s="287" t="s">
        <v>1212</v>
      </c>
      <c r="B141" s="95"/>
      <c r="C141" s="95" t="s">
        <v>1216</v>
      </c>
      <c r="D141" s="95">
        <v>0</v>
      </c>
      <c r="E141" s="291" t="s">
        <v>483</v>
      </c>
      <c r="F141" s="93" t="s">
        <v>1250</v>
      </c>
      <c r="G141" s="93">
        <v>0</v>
      </c>
      <c r="H141" s="93">
        <v>0</v>
      </c>
      <c r="I141" s="503">
        <f>+IF(E141="COP",D141,D141*'Datos de entrada (Off grid)'!$K$11)</f>
        <v>0</v>
      </c>
    </row>
    <row r="142" spans="1:10">
      <c r="A142" s="287" t="s">
        <v>4531</v>
      </c>
      <c r="B142" s="95"/>
      <c r="C142" s="93">
        <v>0.9</v>
      </c>
      <c r="D142" s="1200">
        <v>1011.84</v>
      </c>
      <c r="E142" s="291" t="s">
        <v>407</v>
      </c>
      <c r="F142" s="93" t="s">
        <v>1250</v>
      </c>
      <c r="G142" s="93">
        <v>51.2</v>
      </c>
      <c r="H142" s="93">
        <v>80</v>
      </c>
      <c r="I142" s="503">
        <f>+IF(E142="COP",D142,D142*'Datos de entrada (Off grid)'!$K$11)*0.88</f>
        <v>3472634.88</v>
      </c>
    </row>
    <row r="143" spans="1:10">
      <c r="A143" s="287" t="s">
        <v>4532</v>
      </c>
      <c r="B143" s="95"/>
      <c r="C143" s="93">
        <v>0.9</v>
      </c>
      <c r="D143" s="1200">
        <v>913.92</v>
      </c>
      <c r="E143" s="291" t="s">
        <v>407</v>
      </c>
      <c r="F143" s="93" t="s">
        <v>1250</v>
      </c>
      <c r="G143" s="93">
        <v>48</v>
      </c>
      <c r="H143" s="93">
        <v>50</v>
      </c>
      <c r="I143" s="503">
        <f>+IF(E143="COP",D143,D143*'Datos de entrada (Off grid)'!$K$11)*0.88</f>
        <v>3136573.4399999999</v>
      </c>
      <c r="J143" s="87">
        <f>+I143*1.25</f>
        <v>3920716.8</v>
      </c>
    </row>
    <row r="144" spans="1:10">
      <c r="A144" s="93" t="s">
        <v>4533</v>
      </c>
      <c r="B144" s="93"/>
      <c r="C144" s="93">
        <v>0.9</v>
      </c>
      <c r="D144" s="1201">
        <v>1272.96</v>
      </c>
      <c r="E144" s="93" t="s">
        <v>407</v>
      </c>
      <c r="F144" s="93" t="s">
        <v>1250</v>
      </c>
      <c r="G144" s="93">
        <v>24</v>
      </c>
      <c r="H144" s="93">
        <v>118</v>
      </c>
      <c r="I144" s="503">
        <f>+IF(E144="COP",D144,D144*'Datos de entrada (Off grid)'!$K$11)*0.88</f>
        <v>4368798.72</v>
      </c>
    </row>
    <row r="145" spans="1:9">
      <c r="A145" s="1199" t="s">
        <v>4534</v>
      </c>
      <c r="B145" s="1198"/>
      <c r="C145" s="93">
        <v>0.9</v>
      </c>
      <c r="D145" s="1200">
        <v>1615.68</v>
      </c>
      <c r="E145" s="291" t="s">
        <v>407</v>
      </c>
      <c r="F145" s="93" t="s">
        <v>1250</v>
      </c>
      <c r="G145" s="93">
        <v>48</v>
      </c>
      <c r="H145" s="93">
        <v>74</v>
      </c>
      <c r="I145" s="503">
        <v>4800000</v>
      </c>
    </row>
    <row r="146" spans="1:9">
      <c r="A146" s="287" t="s">
        <v>4535</v>
      </c>
      <c r="B146" s="95"/>
      <c r="C146" s="93">
        <v>0.9</v>
      </c>
      <c r="D146" s="1200">
        <v>1746.24</v>
      </c>
      <c r="E146" s="291" t="s">
        <v>407</v>
      </c>
      <c r="F146" s="93" t="s">
        <v>1250</v>
      </c>
      <c r="G146" s="93">
        <v>48</v>
      </c>
      <c r="H146" s="93">
        <v>100</v>
      </c>
      <c r="I146" s="503">
        <f>6300000*1.19</f>
        <v>7497000</v>
      </c>
    </row>
    <row r="147" spans="1:9">
      <c r="A147" s="287" t="s">
        <v>4536</v>
      </c>
      <c r="B147" s="95"/>
      <c r="C147" s="93">
        <v>0.9</v>
      </c>
      <c r="D147" s="1200">
        <v>342.72</v>
      </c>
      <c r="E147" s="291" t="s">
        <v>407</v>
      </c>
      <c r="F147" s="93" t="s">
        <v>1250</v>
      </c>
      <c r="G147" s="93">
        <v>51.2</v>
      </c>
      <c r="H147" s="93">
        <v>100</v>
      </c>
      <c r="I147" s="503">
        <f>+IF(E147="COP",D147,D147*'Datos de entrada (Off grid)'!$K$11)*0.88</f>
        <v>1176215.04</v>
      </c>
    </row>
    <row r="148" spans="1:9">
      <c r="A148" s="287" t="s">
        <v>4537</v>
      </c>
      <c r="B148" s="95"/>
      <c r="C148" s="93">
        <v>0.9</v>
      </c>
      <c r="D148" s="646">
        <v>5010908</v>
      </c>
      <c r="E148" s="291" t="s">
        <v>483</v>
      </c>
      <c r="F148" s="93" t="s">
        <v>1250</v>
      </c>
      <c r="G148" s="93">
        <v>51.2</v>
      </c>
      <c r="H148" s="93">
        <v>98</v>
      </c>
      <c r="I148" s="503">
        <f>+D148</f>
        <v>5010908</v>
      </c>
    </row>
    <row r="149" spans="1:9">
      <c r="A149" s="287" t="s">
        <v>4538</v>
      </c>
      <c r="B149" s="95"/>
      <c r="C149" s="93">
        <v>0.9</v>
      </c>
      <c r="D149" s="646">
        <v>4600000</v>
      </c>
      <c r="E149" s="291" t="s">
        <v>483</v>
      </c>
      <c r="F149" s="93" t="s">
        <v>1250</v>
      </c>
      <c r="G149" s="93">
        <v>51.2</v>
      </c>
      <c r="H149" s="93">
        <v>50</v>
      </c>
      <c r="I149" s="503">
        <f>+IF(E149="COP",D149,D149*'Datos de entrada (Off grid)'!$K$11)</f>
        <v>4600000</v>
      </c>
    </row>
  </sheetData>
  <mergeCells count="1">
    <mergeCell ref="A1:C1"/>
  </mergeCells>
  <phoneticPr fontId="9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IrMenu">
                <anchor moveWithCells="1" sizeWithCells="1">
                  <from>
                    <xdr:col>5</xdr:col>
                    <xdr:colOff>1257300</xdr:colOff>
                    <xdr:row>0</xdr:row>
                    <xdr:rowOff>38100</xdr:rowOff>
                  </from>
                  <to>
                    <xdr:col>5</xdr:col>
                    <xdr:colOff>3048000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3"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CE684-BB66-4703-9FF9-48325B526E75}">
  <sheetPr codeName="Hoja29"/>
  <dimension ref="A1:AC33"/>
  <sheetViews>
    <sheetView zoomScaleNormal="100" workbookViewId="0">
      <selection activeCell="A29" sqref="A29"/>
    </sheetView>
  </sheetViews>
  <sheetFormatPr baseColWidth="10" defaultRowHeight="15"/>
  <cols>
    <col min="1" max="1" width="28.875" bestFit="1" customWidth="1"/>
    <col min="4" max="4" width="12.875" style="297" bestFit="1" customWidth="1"/>
    <col min="5" max="5" width="11.75" style="16" bestFit="1" customWidth="1"/>
    <col min="6" max="10" width="12.375" style="16" bestFit="1" customWidth="1"/>
    <col min="11" max="11" width="16.875" style="16" bestFit="1" customWidth="1"/>
    <col min="12" max="12" width="12" style="16" customWidth="1"/>
    <col min="13" max="14" width="10.875" style="16" bestFit="1" customWidth="1"/>
    <col min="15" max="15" width="9.875" style="16" bestFit="1" customWidth="1"/>
    <col min="16" max="17" width="11" style="16"/>
    <col min="18" max="18" width="11.875" style="16" bestFit="1" customWidth="1"/>
    <col min="19" max="19" width="15" bestFit="1" customWidth="1"/>
    <col min="20" max="20" width="18.5" bestFit="1" customWidth="1"/>
    <col min="21" max="22" width="11.5" bestFit="1" customWidth="1"/>
    <col min="23" max="23" width="10.5" bestFit="1" customWidth="1"/>
    <col min="24" max="24" width="10.625" bestFit="1" customWidth="1"/>
    <col min="25" max="25" width="10.5" bestFit="1" customWidth="1"/>
    <col min="26" max="26" width="10.625" bestFit="1" customWidth="1"/>
    <col min="27" max="27" width="9.5" bestFit="1" customWidth="1"/>
    <col min="28" max="28" width="11.75" bestFit="1" customWidth="1"/>
    <col min="29" max="29" width="26.375" bestFit="1" customWidth="1"/>
  </cols>
  <sheetData>
    <row r="1" spans="1:29">
      <c r="A1" s="1248" t="s">
        <v>3825</v>
      </c>
      <c r="B1" s="1248"/>
      <c r="C1" s="1248"/>
      <c r="D1" s="1248"/>
      <c r="E1" s="1248"/>
      <c r="F1" s="1248"/>
      <c r="G1" s="1248"/>
      <c r="H1" s="1248"/>
      <c r="I1" s="1248"/>
      <c r="J1" s="1248"/>
      <c r="K1" s="1248"/>
      <c r="L1" s="1248"/>
      <c r="M1" s="1248"/>
      <c r="N1" s="1248"/>
      <c r="O1" s="1248"/>
      <c r="P1" s="1248"/>
      <c r="Q1" s="1248"/>
      <c r="R1" s="1248"/>
      <c r="S1" s="1248"/>
      <c r="T1" s="1248"/>
      <c r="U1" s="1249" t="s">
        <v>1192</v>
      </c>
      <c r="V1" s="1249"/>
      <c r="W1" s="1249"/>
      <c r="X1" s="1249"/>
      <c r="Y1" s="1249"/>
      <c r="Z1" s="1249"/>
      <c r="AA1" s="1249"/>
      <c r="AB1" s="1249"/>
      <c r="AC1" s="1249"/>
    </row>
    <row r="2" spans="1:29" s="297" customFormat="1" ht="75">
      <c r="A2" s="859" t="s">
        <v>25</v>
      </c>
      <c r="B2" s="859" t="s">
        <v>3835</v>
      </c>
      <c r="C2" s="859" t="s">
        <v>522</v>
      </c>
      <c r="D2" s="859" t="s">
        <v>3836</v>
      </c>
      <c r="E2" s="859" t="s">
        <v>269</v>
      </c>
      <c r="F2" s="871" t="s">
        <v>159</v>
      </c>
      <c r="G2" s="871" t="s">
        <v>924</v>
      </c>
      <c r="H2" s="871" t="s">
        <v>200</v>
      </c>
      <c r="I2" s="871" t="s">
        <v>199</v>
      </c>
      <c r="J2" s="871" t="s">
        <v>3827</v>
      </c>
      <c r="K2" s="871" t="s">
        <v>3828</v>
      </c>
      <c r="L2" s="871" t="s">
        <v>3829</v>
      </c>
      <c r="M2" s="871" t="s">
        <v>3830</v>
      </c>
      <c r="N2" s="871" t="s">
        <v>3831</v>
      </c>
      <c r="O2" s="871" t="s">
        <v>3832</v>
      </c>
      <c r="P2" s="871" t="s">
        <v>3833</v>
      </c>
      <c r="Q2" s="871" t="s">
        <v>3834</v>
      </c>
      <c r="R2" s="871" t="s">
        <v>277</v>
      </c>
      <c r="S2" s="871" t="s">
        <v>3837</v>
      </c>
      <c r="T2" s="871" t="s">
        <v>3839</v>
      </c>
      <c r="U2" s="872" t="s">
        <v>159</v>
      </c>
      <c r="V2" s="872" t="s">
        <v>924</v>
      </c>
      <c r="W2" s="872" t="s">
        <v>200</v>
      </c>
      <c r="X2" s="872" t="s">
        <v>199</v>
      </c>
      <c r="Y2" s="872" t="s">
        <v>3827</v>
      </c>
      <c r="Z2" s="872" t="s">
        <v>3828</v>
      </c>
      <c r="AA2" s="872" t="s">
        <v>3829</v>
      </c>
      <c r="AB2" s="873" t="s">
        <v>3843</v>
      </c>
      <c r="AC2" s="873" t="s">
        <v>3854</v>
      </c>
    </row>
    <row r="3" spans="1:29" s="16" customFormat="1">
      <c r="A3" s="18" t="s">
        <v>3857</v>
      </c>
      <c r="B3" s="18">
        <v>220</v>
      </c>
      <c r="C3" s="18">
        <v>550</v>
      </c>
      <c r="D3" s="859">
        <f t="shared" ref="D3:D24" si="0">+B3*C3</f>
        <v>121000</v>
      </c>
      <c r="E3" s="19" t="s">
        <v>269</v>
      </c>
      <c r="F3" s="860">
        <v>0</v>
      </c>
      <c r="G3" s="860">
        <v>0</v>
      </c>
      <c r="H3" s="860">
        <v>34299613</v>
      </c>
      <c r="I3" s="860">
        <v>58025993</v>
      </c>
      <c r="J3" s="860">
        <v>5046875</v>
      </c>
      <c r="K3" s="856">
        <v>38485792</v>
      </c>
      <c r="L3" s="856">
        <v>11362497</v>
      </c>
      <c r="M3" s="855">
        <v>4358200</v>
      </c>
      <c r="N3" s="855">
        <v>1743280</v>
      </c>
      <c r="O3" s="856">
        <v>0</v>
      </c>
      <c r="P3" s="856">
        <v>2000000</v>
      </c>
      <c r="Q3" s="856"/>
      <c r="R3" s="857">
        <v>155322250</v>
      </c>
      <c r="S3" s="861">
        <f t="shared" ref="S3:S24" si="1">+R3/0.75/1000000</f>
        <v>207.09633333333335</v>
      </c>
      <c r="T3" s="861">
        <v>217.91</v>
      </c>
      <c r="U3" s="857">
        <f t="shared" ref="U3:U24" si="2">+IFERROR(+F3/($D3/1000),0)</f>
        <v>0</v>
      </c>
      <c r="V3" s="857">
        <f t="shared" ref="V3:V24" si="3">+IFERROR(+G3/($D3/1000),0)</f>
        <v>0</v>
      </c>
      <c r="W3" s="857">
        <f t="shared" ref="W3:W24" si="4">+IFERROR(+H3/($D3/1000),0)</f>
        <v>283467.87603305787</v>
      </c>
      <c r="X3" s="857">
        <f t="shared" ref="X3:X24" si="5">+IFERROR(+I3/($D3/1000),0)</f>
        <v>479553.66115702479</v>
      </c>
      <c r="Y3" s="857">
        <f t="shared" ref="Y3:Y24" si="6">+IFERROR(+J3/($D3/1000),0)</f>
        <v>41709.710743801654</v>
      </c>
      <c r="Z3" s="857">
        <f t="shared" ref="Z3:Z24" si="7">+IFERROR(+K3/($D3/1000),0)</f>
        <v>318064.3966942149</v>
      </c>
      <c r="AA3" s="857">
        <f t="shared" ref="AA3:AA24" si="8">+IFERROR(+L3/($D3/1000),0)</f>
        <v>93904.933884297527</v>
      </c>
      <c r="AB3" s="863">
        <f t="shared" ref="AB3:AB24" si="9">IFERROR((T3-(+R3/1000000))/T3,0)</f>
        <v>0.28721834702400073</v>
      </c>
      <c r="AC3" s="18"/>
    </row>
    <row r="4" spans="1:29" s="16" customFormat="1">
      <c r="A4" s="18" t="s">
        <v>3849</v>
      </c>
      <c r="B4" s="18">
        <v>112</v>
      </c>
      <c r="C4" s="18">
        <v>570</v>
      </c>
      <c r="D4" s="859">
        <f t="shared" si="0"/>
        <v>63840</v>
      </c>
      <c r="E4" s="19" t="s">
        <v>269</v>
      </c>
      <c r="F4" s="860">
        <v>82079200</v>
      </c>
      <c r="G4" s="860">
        <v>19511693</v>
      </c>
      <c r="H4" s="860">
        <v>12481624.4</v>
      </c>
      <c r="I4" s="860">
        <v>49901924</v>
      </c>
      <c r="J4" s="860">
        <v>3153500</v>
      </c>
      <c r="K4" s="856">
        <v>6829140</v>
      </c>
      <c r="L4" s="856">
        <v>6254786</v>
      </c>
      <c r="M4" s="855">
        <v>5014865</v>
      </c>
      <c r="N4" s="855">
        <v>2005946</v>
      </c>
      <c r="O4" s="856">
        <v>50000</v>
      </c>
      <c r="P4" s="856">
        <v>700000</v>
      </c>
      <c r="Q4" s="856"/>
      <c r="R4" s="857">
        <v>187982679</v>
      </c>
      <c r="S4" s="861">
        <f t="shared" si="1"/>
        <v>250.64357200000001</v>
      </c>
      <c r="T4" s="861">
        <v>250.74</v>
      </c>
      <c r="U4" s="857">
        <f t="shared" si="2"/>
        <v>1285701.7543859649</v>
      </c>
      <c r="V4" s="857">
        <f t="shared" si="3"/>
        <v>305634.2888471178</v>
      </c>
      <c r="W4" s="857">
        <f t="shared" si="4"/>
        <v>195514.16666666666</v>
      </c>
      <c r="X4" s="857">
        <f t="shared" si="5"/>
        <v>781671.74185463658</v>
      </c>
      <c r="Y4" s="857">
        <f t="shared" si="6"/>
        <v>49396.929824561397</v>
      </c>
      <c r="Z4" s="857">
        <f t="shared" si="7"/>
        <v>106972.74436090224</v>
      </c>
      <c r="AA4" s="857">
        <f t="shared" si="8"/>
        <v>97975.971177944855</v>
      </c>
      <c r="AB4" s="863">
        <f t="shared" si="9"/>
        <v>0.25028843024647052</v>
      </c>
      <c r="AC4" s="877" t="s">
        <v>3853</v>
      </c>
    </row>
    <row r="5" spans="1:29" s="16" customFormat="1">
      <c r="A5" s="18" t="s">
        <v>3851</v>
      </c>
      <c r="B5" s="18">
        <v>33</v>
      </c>
      <c r="C5" s="18">
        <v>570</v>
      </c>
      <c r="D5" s="859">
        <f t="shared" si="0"/>
        <v>18810</v>
      </c>
      <c r="E5" s="19" t="s">
        <v>269</v>
      </c>
      <c r="F5" s="860">
        <v>26893680</v>
      </c>
      <c r="G5" s="860">
        <v>9159828</v>
      </c>
      <c r="H5" s="860">
        <v>5070328.2</v>
      </c>
      <c r="I5" s="860">
        <v>4120349</v>
      </c>
      <c r="J5" s="860">
        <v>2029692</v>
      </c>
      <c r="K5" s="856">
        <v>2536540</v>
      </c>
      <c r="L5" s="856">
        <v>242973</v>
      </c>
      <c r="M5" s="876">
        <v>1440000</v>
      </c>
      <c r="N5" s="855">
        <v>576</v>
      </c>
      <c r="O5" s="856" t="s">
        <v>3848</v>
      </c>
      <c r="P5" s="856">
        <v>150000</v>
      </c>
      <c r="Q5" s="856"/>
      <c r="R5" s="857">
        <v>52219390</v>
      </c>
      <c r="S5" s="861">
        <f t="shared" si="1"/>
        <v>69.625853333333325</v>
      </c>
      <c r="T5" s="861">
        <v>72</v>
      </c>
      <c r="U5" s="857">
        <f t="shared" si="2"/>
        <v>1429754.3859649124</v>
      </c>
      <c r="V5" s="857">
        <f t="shared" si="3"/>
        <v>486965.86921850085</v>
      </c>
      <c r="W5" s="857">
        <f t="shared" si="4"/>
        <v>269554.92822966509</v>
      </c>
      <c r="X5" s="857">
        <f t="shared" si="5"/>
        <v>219050.98351940457</v>
      </c>
      <c r="Y5" s="857">
        <f t="shared" si="6"/>
        <v>107904.9441786284</v>
      </c>
      <c r="Z5" s="857">
        <f t="shared" si="7"/>
        <v>134850.61137692718</v>
      </c>
      <c r="AA5" s="857">
        <f t="shared" si="8"/>
        <v>12917.224880382775</v>
      </c>
      <c r="AB5" s="863">
        <f t="shared" si="9"/>
        <v>0.27473069444444448</v>
      </c>
      <c r="AC5" s="18"/>
    </row>
    <row r="6" spans="1:29" s="16" customFormat="1">
      <c r="A6" s="18" t="s">
        <v>3844</v>
      </c>
      <c r="B6" s="18">
        <v>14</v>
      </c>
      <c r="C6" s="18">
        <v>540</v>
      </c>
      <c r="D6" s="859">
        <f t="shared" si="0"/>
        <v>7560</v>
      </c>
      <c r="E6" s="19" t="s">
        <v>269</v>
      </c>
      <c r="F6" s="860">
        <v>10133818</v>
      </c>
      <c r="G6" s="860">
        <v>3376000</v>
      </c>
      <c r="H6" s="860">
        <v>1720145</v>
      </c>
      <c r="I6" s="860">
        <v>2741002</v>
      </c>
      <c r="J6" s="860">
        <v>1486996</v>
      </c>
      <c r="K6" s="856">
        <v>1955710</v>
      </c>
      <c r="L6" s="856">
        <v>34248</v>
      </c>
      <c r="M6" s="855">
        <v>724808</v>
      </c>
      <c r="N6" s="855">
        <v>289923</v>
      </c>
      <c r="O6" s="856">
        <v>50000</v>
      </c>
      <c r="P6" s="856">
        <v>200000</v>
      </c>
      <c r="Q6" s="856"/>
      <c r="R6" s="857">
        <v>22712650</v>
      </c>
      <c r="S6" s="861">
        <f t="shared" si="1"/>
        <v>30.283533333333331</v>
      </c>
      <c r="T6" s="861">
        <v>36.590000000000003</v>
      </c>
      <c r="U6" s="857">
        <f t="shared" si="2"/>
        <v>1340452.1164021164</v>
      </c>
      <c r="V6" s="857">
        <f t="shared" si="3"/>
        <v>446560.84656084661</v>
      </c>
      <c r="W6" s="857">
        <f t="shared" si="4"/>
        <v>227532.40740740742</v>
      </c>
      <c r="X6" s="857">
        <f t="shared" si="5"/>
        <v>362566.40211640211</v>
      </c>
      <c r="Y6" s="857">
        <f t="shared" si="6"/>
        <v>196692.59259259261</v>
      </c>
      <c r="Z6" s="857">
        <f t="shared" si="7"/>
        <v>258691.79894179894</v>
      </c>
      <c r="AA6" s="857">
        <f t="shared" si="8"/>
        <v>4530.1587301587306</v>
      </c>
      <c r="AB6" s="863">
        <f t="shared" si="9"/>
        <v>0.37926619294889319</v>
      </c>
      <c r="AC6" s="877" t="s">
        <v>3858</v>
      </c>
    </row>
    <row r="7" spans="1:29" s="16" customFormat="1">
      <c r="A7" s="18" t="s">
        <v>3850</v>
      </c>
      <c r="B7" s="18">
        <v>12</v>
      </c>
      <c r="C7" s="18">
        <v>540</v>
      </c>
      <c r="D7" s="859">
        <f t="shared" si="0"/>
        <v>6480</v>
      </c>
      <c r="E7" s="19" t="s">
        <v>269</v>
      </c>
      <c r="F7" s="860">
        <v>8754554</v>
      </c>
      <c r="G7" s="860">
        <v>3376000</v>
      </c>
      <c r="H7" s="860">
        <v>2376203.9</v>
      </c>
      <c r="I7" s="860">
        <v>1332880.5</v>
      </c>
      <c r="J7" s="860">
        <v>1982980</v>
      </c>
      <c r="K7" s="856">
        <v>1446267</v>
      </c>
      <c r="L7" s="856">
        <v>16648</v>
      </c>
      <c r="M7" s="855">
        <v>679507</v>
      </c>
      <c r="N7" s="855">
        <v>271803</v>
      </c>
      <c r="O7" s="856">
        <v>50000</v>
      </c>
      <c r="P7" s="856">
        <v>300000</v>
      </c>
      <c r="Q7" s="856"/>
      <c r="R7" s="857">
        <v>20586843</v>
      </c>
      <c r="S7" s="861">
        <f t="shared" si="1"/>
        <v>27.449124000000001</v>
      </c>
      <c r="T7" s="861">
        <v>35.36</v>
      </c>
      <c r="U7" s="857">
        <f t="shared" si="2"/>
        <v>1351011.4197530863</v>
      </c>
      <c r="V7" s="857">
        <f t="shared" si="3"/>
        <v>520987.65432098764</v>
      </c>
      <c r="W7" s="857">
        <f t="shared" si="4"/>
        <v>366698.13271604932</v>
      </c>
      <c r="X7" s="857">
        <f t="shared" si="5"/>
        <v>205691.43518518517</v>
      </c>
      <c r="Y7" s="857">
        <f t="shared" si="6"/>
        <v>306015.43209876539</v>
      </c>
      <c r="Z7" s="857">
        <f t="shared" si="7"/>
        <v>223189.35185185182</v>
      </c>
      <c r="AA7" s="857">
        <f t="shared" si="8"/>
        <v>2569.1358024691358</v>
      </c>
      <c r="AB7" s="863">
        <f t="shared" si="9"/>
        <v>0.41779290158371046</v>
      </c>
      <c r="AC7" s="18"/>
    </row>
    <row r="8" spans="1:29" s="16" customFormat="1">
      <c r="A8" s="18" t="s">
        <v>3852</v>
      </c>
      <c r="B8" s="18">
        <v>9</v>
      </c>
      <c r="C8" s="18">
        <v>540</v>
      </c>
      <c r="D8" s="859">
        <f t="shared" si="0"/>
        <v>4860</v>
      </c>
      <c r="E8" s="19" t="s">
        <v>3855</v>
      </c>
      <c r="F8" s="860">
        <v>7147673</v>
      </c>
      <c r="G8" s="860">
        <v>18597090</v>
      </c>
      <c r="H8" s="860">
        <v>1718419.5</v>
      </c>
      <c r="I8" s="860">
        <v>1780727.5</v>
      </c>
      <c r="J8" s="860">
        <v>1186137</v>
      </c>
      <c r="K8" s="856">
        <v>1818406</v>
      </c>
      <c r="L8" s="856">
        <v>132469</v>
      </c>
      <c r="M8" s="855">
        <v>947353</v>
      </c>
      <c r="N8" s="855">
        <v>378941</v>
      </c>
      <c r="O8" s="856">
        <v>50000</v>
      </c>
      <c r="P8" s="856">
        <v>150000</v>
      </c>
      <c r="Q8" s="856"/>
      <c r="R8" s="857">
        <v>33907216</v>
      </c>
      <c r="S8" s="861">
        <f t="shared" si="1"/>
        <v>45.209621333333338</v>
      </c>
      <c r="T8" s="861">
        <v>49.22</v>
      </c>
      <c r="U8" s="857">
        <f t="shared" si="2"/>
        <v>1470714.6090534979</v>
      </c>
      <c r="V8" s="857">
        <f t="shared" si="3"/>
        <v>3826561.7283950616</v>
      </c>
      <c r="W8" s="857">
        <f t="shared" si="4"/>
        <v>353584.25925925921</v>
      </c>
      <c r="X8" s="857">
        <f t="shared" si="5"/>
        <v>366404.83539094648</v>
      </c>
      <c r="Y8" s="857">
        <f t="shared" si="6"/>
        <v>244061.11111111109</v>
      </c>
      <c r="Z8" s="857">
        <f t="shared" si="7"/>
        <v>374157.61316872423</v>
      </c>
      <c r="AA8" s="857">
        <f t="shared" si="8"/>
        <v>27256.99588477366</v>
      </c>
      <c r="AB8" s="863">
        <f t="shared" si="9"/>
        <v>0.31110898008939458</v>
      </c>
      <c r="AC8" s="18"/>
    </row>
    <row r="9" spans="1:29" s="16" customFormat="1">
      <c r="A9" s="18" t="s">
        <v>3840</v>
      </c>
      <c r="B9" s="18">
        <v>8</v>
      </c>
      <c r="C9" s="18">
        <v>575</v>
      </c>
      <c r="D9" s="859">
        <f t="shared" si="0"/>
        <v>4600</v>
      </c>
      <c r="E9" s="19" t="s">
        <v>270</v>
      </c>
      <c r="F9" s="860">
        <v>5796000</v>
      </c>
      <c r="G9" s="860">
        <v>3338180</v>
      </c>
      <c r="H9" s="860">
        <v>1812191.5</v>
      </c>
      <c r="I9" s="860">
        <v>1182958.06</v>
      </c>
      <c r="J9" s="860">
        <v>1193570</v>
      </c>
      <c r="K9" s="856">
        <v>1200160</v>
      </c>
      <c r="L9" s="856">
        <v>0</v>
      </c>
      <c r="M9" s="855">
        <v>482051</v>
      </c>
      <c r="N9" s="855">
        <v>192820.4</v>
      </c>
      <c r="O9" s="856">
        <v>50000</v>
      </c>
      <c r="P9" s="856">
        <v>200000</v>
      </c>
      <c r="Q9" s="856"/>
      <c r="R9" s="857">
        <v>15447931</v>
      </c>
      <c r="S9" s="861">
        <f t="shared" si="1"/>
        <v>20.597241333333333</v>
      </c>
      <c r="T9" s="861">
        <v>24.102</v>
      </c>
      <c r="U9" s="857">
        <f t="shared" si="2"/>
        <v>1260000</v>
      </c>
      <c r="V9" s="857">
        <f t="shared" si="3"/>
        <v>725691.30434782617</v>
      </c>
      <c r="W9" s="857">
        <f t="shared" si="4"/>
        <v>393954.67391304352</v>
      </c>
      <c r="X9" s="857">
        <f t="shared" si="5"/>
        <v>257164.79565217395</v>
      </c>
      <c r="Y9" s="857">
        <f t="shared" si="6"/>
        <v>259471.73913043481</v>
      </c>
      <c r="Z9" s="857">
        <f t="shared" si="7"/>
        <v>260904.34782608697</v>
      </c>
      <c r="AA9" s="857">
        <f t="shared" si="8"/>
        <v>0</v>
      </c>
      <c r="AB9" s="863">
        <f t="shared" si="9"/>
        <v>0.35906020247282383</v>
      </c>
      <c r="AC9" s="18"/>
    </row>
    <row r="10" spans="1:29" s="16" customFormat="1">
      <c r="A10" s="18" t="s">
        <v>3842</v>
      </c>
      <c r="B10" s="18">
        <v>7</v>
      </c>
      <c r="C10" s="18">
        <v>550</v>
      </c>
      <c r="D10" s="859">
        <f t="shared" si="0"/>
        <v>3850</v>
      </c>
      <c r="E10" s="19" t="s">
        <v>270</v>
      </c>
      <c r="F10" s="860">
        <v>5043500</v>
      </c>
      <c r="G10" s="860">
        <v>2552587</v>
      </c>
      <c r="H10" s="860">
        <v>15598758</v>
      </c>
      <c r="I10" s="860">
        <v>1617784</v>
      </c>
      <c r="J10" s="860">
        <v>1190000</v>
      </c>
      <c r="K10" s="856">
        <v>1261141</v>
      </c>
      <c r="L10" s="856">
        <v>3950</v>
      </c>
      <c r="M10" s="855">
        <v>447315</v>
      </c>
      <c r="N10" s="855">
        <v>178926</v>
      </c>
      <c r="O10" s="856">
        <v>50000</v>
      </c>
      <c r="P10" s="856">
        <v>150000</v>
      </c>
      <c r="Q10" s="856"/>
      <c r="R10" s="857">
        <v>14055079</v>
      </c>
      <c r="S10" s="861">
        <f t="shared" si="1"/>
        <v>18.740105333333332</v>
      </c>
      <c r="T10" s="861">
        <v>23.428999999999998</v>
      </c>
      <c r="U10" s="857">
        <f t="shared" si="2"/>
        <v>1310000</v>
      </c>
      <c r="V10" s="857">
        <f t="shared" si="3"/>
        <v>663009.6103896104</v>
      </c>
      <c r="W10" s="857">
        <f t="shared" si="4"/>
        <v>4051625.4545454546</v>
      </c>
      <c r="X10" s="857">
        <f t="shared" si="5"/>
        <v>420203.63636363635</v>
      </c>
      <c r="Y10" s="857">
        <f t="shared" si="6"/>
        <v>309090.90909090906</v>
      </c>
      <c r="Z10" s="857">
        <f t="shared" si="7"/>
        <v>327569.09090909088</v>
      </c>
      <c r="AA10" s="857">
        <f t="shared" si="8"/>
        <v>1025.9740259740261</v>
      </c>
      <c r="AB10" s="863">
        <f t="shared" si="9"/>
        <v>0.40009906526100131</v>
      </c>
      <c r="AC10" s="18"/>
    </row>
    <row r="11" spans="1:29" s="16" customFormat="1">
      <c r="A11" s="18" t="s">
        <v>3859</v>
      </c>
      <c r="B11" s="18">
        <v>5</v>
      </c>
      <c r="C11" s="18">
        <v>540</v>
      </c>
      <c r="D11" s="859">
        <f t="shared" si="0"/>
        <v>2700</v>
      </c>
      <c r="E11" s="19" t="s">
        <v>269</v>
      </c>
      <c r="F11" s="860">
        <v>3952910</v>
      </c>
      <c r="G11" s="860">
        <v>2331455</v>
      </c>
      <c r="H11" s="860">
        <v>1107283</v>
      </c>
      <c r="I11" s="860">
        <v>1421830</v>
      </c>
      <c r="J11" s="860">
        <v>1243960</v>
      </c>
      <c r="K11" s="856">
        <v>711130</v>
      </c>
      <c r="L11" s="856">
        <v>95400</v>
      </c>
      <c r="M11" s="855">
        <v>290839</v>
      </c>
      <c r="N11" s="855">
        <v>116336</v>
      </c>
      <c r="O11" s="856"/>
      <c r="P11" s="856">
        <v>150000</v>
      </c>
      <c r="Q11" s="856"/>
      <c r="R11" s="857">
        <v>11421143</v>
      </c>
      <c r="S11" s="861">
        <f t="shared" si="1"/>
        <v>15.228190666666666</v>
      </c>
      <c r="T11" s="861">
        <v>15.25</v>
      </c>
      <c r="U11" s="857">
        <f t="shared" si="2"/>
        <v>1464040.7407407407</v>
      </c>
      <c r="V11" s="857">
        <f t="shared" si="3"/>
        <v>863501.8518518518</v>
      </c>
      <c r="W11" s="857">
        <f t="shared" si="4"/>
        <v>410104.81481481477</v>
      </c>
      <c r="X11" s="857">
        <f t="shared" si="5"/>
        <v>526603.70370370371</v>
      </c>
      <c r="Y11" s="857">
        <f t="shared" si="6"/>
        <v>460725.9259259259</v>
      </c>
      <c r="Z11" s="857">
        <f t="shared" si="7"/>
        <v>263381.48148148146</v>
      </c>
      <c r="AA11" s="857">
        <f t="shared" si="8"/>
        <v>35333.333333333328</v>
      </c>
      <c r="AB11" s="863">
        <f t="shared" si="9"/>
        <v>0.25107259016393441</v>
      </c>
      <c r="AC11" s="18"/>
    </row>
    <row r="12" spans="1:29" s="16" customFormat="1">
      <c r="A12" s="18" t="s">
        <v>3826</v>
      </c>
      <c r="B12" s="18">
        <v>4</v>
      </c>
      <c r="C12" s="18">
        <v>550</v>
      </c>
      <c r="D12" s="859">
        <f t="shared" si="0"/>
        <v>2200</v>
      </c>
      <c r="E12" s="19" t="s">
        <v>270</v>
      </c>
      <c r="F12" s="860">
        <v>2860000</v>
      </c>
      <c r="G12" s="860">
        <v>1979680</v>
      </c>
      <c r="H12" s="860">
        <v>503155.8</v>
      </c>
      <c r="I12" s="860">
        <v>887403.54</v>
      </c>
      <c r="J12" s="860">
        <v>1041250</v>
      </c>
      <c r="K12" s="856">
        <v>466750</v>
      </c>
      <c r="L12" s="856">
        <v>53928</v>
      </c>
      <c r="M12" s="855"/>
      <c r="N12" s="855"/>
      <c r="O12" s="856">
        <v>50000</v>
      </c>
      <c r="P12" s="856">
        <v>150000</v>
      </c>
      <c r="Q12" s="856"/>
      <c r="R12" s="857">
        <v>8400051</v>
      </c>
      <c r="S12" s="861">
        <f t="shared" si="1"/>
        <v>11.200068</v>
      </c>
      <c r="T12" s="861">
        <v>14.113</v>
      </c>
      <c r="U12" s="857">
        <f t="shared" si="2"/>
        <v>1300000</v>
      </c>
      <c r="V12" s="857">
        <f t="shared" si="3"/>
        <v>899854.54545454541</v>
      </c>
      <c r="W12" s="857">
        <f t="shared" si="4"/>
        <v>228707.18181818179</v>
      </c>
      <c r="X12" s="857">
        <f t="shared" si="5"/>
        <v>403365.24545454542</v>
      </c>
      <c r="Y12" s="857">
        <f t="shared" si="6"/>
        <v>473295.45454545453</v>
      </c>
      <c r="Z12" s="857">
        <f t="shared" si="7"/>
        <v>212159.09090909088</v>
      </c>
      <c r="AA12" s="857">
        <f t="shared" si="8"/>
        <v>24512.727272727272</v>
      </c>
      <c r="AB12" s="863">
        <f t="shared" si="9"/>
        <v>0.40480046765393612</v>
      </c>
      <c r="AC12" s="18"/>
    </row>
    <row r="13" spans="1:29" s="16" customFormat="1">
      <c r="A13" s="18" t="s">
        <v>3841</v>
      </c>
      <c r="B13" s="18">
        <v>4</v>
      </c>
      <c r="C13" s="18">
        <v>550</v>
      </c>
      <c r="D13" s="859">
        <f t="shared" si="0"/>
        <v>2200</v>
      </c>
      <c r="E13" s="19" t="s">
        <v>270</v>
      </c>
      <c r="F13" s="860">
        <v>2860000</v>
      </c>
      <c r="G13" s="860">
        <v>1979680</v>
      </c>
      <c r="H13" s="860">
        <v>859679.8</v>
      </c>
      <c r="I13" s="860">
        <v>758229</v>
      </c>
      <c r="J13" s="860">
        <v>1041250</v>
      </c>
      <c r="K13" s="856">
        <v>1377142</v>
      </c>
      <c r="L13" s="856">
        <v>63950</v>
      </c>
      <c r="M13" s="855">
        <v>26454</v>
      </c>
      <c r="N13" s="855">
        <v>105816</v>
      </c>
      <c r="O13" s="856">
        <v>50000</v>
      </c>
      <c r="P13" s="856">
        <v>150000</v>
      </c>
      <c r="Q13" s="856"/>
      <c r="R13" s="857">
        <v>9510286</v>
      </c>
      <c r="S13" s="861">
        <f t="shared" si="1"/>
        <v>12.680381333333335</v>
      </c>
      <c r="T13" s="861">
        <v>14</v>
      </c>
      <c r="U13" s="857">
        <f t="shared" si="2"/>
        <v>1300000</v>
      </c>
      <c r="V13" s="857">
        <f t="shared" si="3"/>
        <v>899854.54545454541</v>
      </c>
      <c r="W13" s="857">
        <f t="shared" si="4"/>
        <v>390763.54545454547</v>
      </c>
      <c r="X13" s="857">
        <f t="shared" si="5"/>
        <v>344649.54545454541</v>
      </c>
      <c r="Y13" s="857">
        <f t="shared" si="6"/>
        <v>473295.45454545453</v>
      </c>
      <c r="Z13" s="857">
        <f t="shared" si="7"/>
        <v>625973.63636363635</v>
      </c>
      <c r="AA13" s="857">
        <f t="shared" si="8"/>
        <v>29068.181818181816</v>
      </c>
      <c r="AB13" s="863">
        <f t="shared" si="9"/>
        <v>0.32069385714285709</v>
      </c>
      <c r="AC13" s="18"/>
    </row>
    <row r="14" spans="1:29" s="16" customFormat="1">
      <c r="A14" s="18" t="s">
        <v>3845</v>
      </c>
      <c r="B14" s="18">
        <v>4</v>
      </c>
      <c r="C14" s="18">
        <v>540</v>
      </c>
      <c r="D14" s="859">
        <f t="shared" si="0"/>
        <v>2160</v>
      </c>
      <c r="E14" s="19" t="s">
        <v>270</v>
      </c>
      <c r="F14" s="860">
        <v>3154375</v>
      </c>
      <c r="G14" s="860">
        <v>2110127</v>
      </c>
      <c r="H14" s="860">
        <v>802595.5</v>
      </c>
      <c r="I14" s="860">
        <v>727784</v>
      </c>
      <c r="J14" s="860">
        <v>1166200</v>
      </c>
      <c r="K14" s="856">
        <v>610000</v>
      </c>
      <c r="L14" s="856">
        <v>55450</v>
      </c>
      <c r="M14" s="855">
        <v>256574</v>
      </c>
      <c r="N14" s="855">
        <v>10263</v>
      </c>
      <c r="O14" s="856">
        <v>25000</v>
      </c>
      <c r="P14" s="856">
        <v>50000</v>
      </c>
      <c r="Q14" s="856"/>
      <c r="R14" s="857">
        <v>9060735</v>
      </c>
      <c r="S14" s="861">
        <f t="shared" si="1"/>
        <v>12.08098</v>
      </c>
      <c r="T14" s="861">
        <v>13</v>
      </c>
      <c r="U14" s="857">
        <f t="shared" si="2"/>
        <v>1460358.7962962962</v>
      </c>
      <c r="V14" s="857">
        <f t="shared" si="3"/>
        <v>976910.64814814809</v>
      </c>
      <c r="W14" s="857">
        <f t="shared" si="4"/>
        <v>371571.99074074073</v>
      </c>
      <c r="X14" s="857">
        <f t="shared" si="5"/>
        <v>336937.03703703702</v>
      </c>
      <c r="Y14" s="857">
        <f t="shared" si="6"/>
        <v>539907.40740740742</v>
      </c>
      <c r="Z14" s="857">
        <f t="shared" si="7"/>
        <v>282407.40740740742</v>
      </c>
      <c r="AA14" s="857">
        <f t="shared" si="8"/>
        <v>25671.296296296296</v>
      </c>
      <c r="AB14" s="863">
        <f t="shared" si="9"/>
        <v>0.30302038461538466</v>
      </c>
      <c r="AC14" s="18"/>
    </row>
    <row r="15" spans="1:29" s="16" customFormat="1">
      <c r="A15" s="18"/>
      <c r="B15" s="18"/>
      <c r="C15" s="18"/>
      <c r="D15" s="859">
        <f t="shared" si="0"/>
        <v>0</v>
      </c>
      <c r="E15" s="19"/>
      <c r="F15" s="860"/>
      <c r="G15" s="860"/>
      <c r="H15" s="860"/>
      <c r="I15" s="860"/>
      <c r="J15" s="860"/>
      <c r="K15" s="856"/>
      <c r="L15" s="856"/>
      <c r="M15" s="855"/>
      <c r="N15" s="855"/>
      <c r="O15" s="856"/>
      <c r="P15" s="856"/>
      <c r="Q15" s="856"/>
      <c r="R15" s="857"/>
      <c r="S15" s="861">
        <f t="shared" si="1"/>
        <v>0</v>
      </c>
      <c r="T15" s="861"/>
      <c r="U15" s="857">
        <f t="shared" si="2"/>
        <v>0</v>
      </c>
      <c r="V15" s="857">
        <f t="shared" si="3"/>
        <v>0</v>
      </c>
      <c r="W15" s="857">
        <f t="shared" si="4"/>
        <v>0</v>
      </c>
      <c r="X15" s="857">
        <f t="shared" si="5"/>
        <v>0</v>
      </c>
      <c r="Y15" s="857">
        <f t="shared" si="6"/>
        <v>0</v>
      </c>
      <c r="Z15" s="857">
        <f t="shared" si="7"/>
        <v>0</v>
      </c>
      <c r="AA15" s="857">
        <f t="shared" si="8"/>
        <v>0</v>
      </c>
      <c r="AB15" s="863">
        <f t="shared" si="9"/>
        <v>0</v>
      </c>
      <c r="AC15" s="18"/>
    </row>
    <row r="16" spans="1:29" s="16" customFormat="1">
      <c r="A16" s="18"/>
      <c r="B16" s="18"/>
      <c r="C16" s="18"/>
      <c r="D16" s="859">
        <f t="shared" si="0"/>
        <v>0</v>
      </c>
      <c r="E16" s="19"/>
      <c r="F16" s="860"/>
      <c r="G16" s="860"/>
      <c r="H16" s="860"/>
      <c r="I16" s="860"/>
      <c r="J16" s="860"/>
      <c r="K16" s="856"/>
      <c r="L16" s="856"/>
      <c r="M16" s="855"/>
      <c r="N16" s="855"/>
      <c r="O16" s="856"/>
      <c r="P16" s="856"/>
      <c r="Q16" s="856"/>
      <c r="R16" s="857"/>
      <c r="S16" s="861">
        <f t="shared" si="1"/>
        <v>0</v>
      </c>
      <c r="T16" s="861"/>
      <c r="U16" s="857">
        <f t="shared" si="2"/>
        <v>0</v>
      </c>
      <c r="V16" s="857">
        <f t="shared" si="3"/>
        <v>0</v>
      </c>
      <c r="W16" s="857">
        <f t="shared" si="4"/>
        <v>0</v>
      </c>
      <c r="X16" s="857">
        <f t="shared" si="5"/>
        <v>0</v>
      </c>
      <c r="Y16" s="857">
        <f t="shared" si="6"/>
        <v>0</v>
      </c>
      <c r="Z16" s="857">
        <f t="shared" si="7"/>
        <v>0</v>
      </c>
      <c r="AA16" s="857">
        <f t="shared" si="8"/>
        <v>0</v>
      </c>
      <c r="AB16" s="863">
        <f t="shared" si="9"/>
        <v>0</v>
      </c>
      <c r="AC16" s="18"/>
    </row>
    <row r="17" spans="1:29" s="16" customFormat="1">
      <c r="A17" s="18"/>
      <c r="B17" s="18"/>
      <c r="C17" s="18"/>
      <c r="D17" s="859">
        <f t="shared" si="0"/>
        <v>0</v>
      </c>
      <c r="E17" s="19"/>
      <c r="F17" s="860"/>
      <c r="G17" s="860"/>
      <c r="H17" s="860"/>
      <c r="I17" s="860"/>
      <c r="J17" s="860"/>
      <c r="K17" s="856"/>
      <c r="L17" s="856"/>
      <c r="M17" s="855"/>
      <c r="N17" s="855"/>
      <c r="O17" s="856"/>
      <c r="P17" s="856"/>
      <c r="Q17" s="856"/>
      <c r="R17" s="857"/>
      <c r="S17" s="861">
        <f t="shared" si="1"/>
        <v>0</v>
      </c>
      <c r="T17" s="861"/>
      <c r="U17" s="857">
        <f t="shared" si="2"/>
        <v>0</v>
      </c>
      <c r="V17" s="857">
        <f t="shared" si="3"/>
        <v>0</v>
      </c>
      <c r="W17" s="857">
        <f t="shared" si="4"/>
        <v>0</v>
      </c>
      <c r="X17" s="857">
        <f t="shared" si="5"/>
        <v>0</v>
      </c>
      <c r="Y17" s="857">
        <f t="shared" si="6"/>
        <v>0</v>
      </c>
      <c r="Z17" s="857">
        <f t="shared" si="7"/>
        <v>0</v>
      </c>
      <c r="AA17" s="857">
        <f t="shared" si="8"/>
        <v>0</v>
      </c>
      <c r="AB17" s="863">
        <f t="shared" si="9"/>
        <v>0</v>
      </c>
      <c r="AC17" s="18"/>
    </row>
    <row r="18" spans="1:29" s="16" customFormat="1">
      <c r="A18" s="18"/>
      <c r="B18" s="18"/>
      <c r="C18" s="18"/>
      <c r="D18" s="859">
        <f t="shared" si="0"/>
        <v>0</v>
      </c>
      <c r="E18" s="19"/>
      <c r="F18" s="860"/>
      <c r="G18" s="860"/>
      <c r="H18" s="860"/>
      <c r="I18" s="860"/>
      <c r="J18" s="860"/>
      <c r="K18" s="856"/>
      <c r="L18" s="856"/>
      <c r="M18" s="855"/>
      <c r="N18" s="855"/>
      <c r="O18" s="856"/>
      <c r="P18" s="856"/>
      <c r="Q18" s="856"/>
      <c r="R18" s="857"/>
      <c r="S18" s="861">
        <f t="shared" si="1"/>
        <v>0</v>
      </c>
      <c r="T18" s="861"/>
      <c r="U18" s="857">
        <f t="shared" si="2"/>
        <v>0</v>
      </c>
      <c r="V18" s="857">
        <f t="shared" si="3"/>
        <v>0</v>
      </c>
      <c r="W18" s="857">
        <f t="shared" si="4"/>
        <v>0</v>
      </c>
      <c r="X18" s="857">
        <f t="shared" si="5"/>
        <v>0</v>
      </c>
      <c r="Y18" s="857">
        <f t="shared" si="6"/>
        <v>0</v>
      </c>
      <c r="Z18" s="857">
        <f t="shared" si="7"/>
        <v>0</v>
      </c>
      <c r="AA18" s="857">
        <f t="shared" si="8"/>
        <v>0</v>
      </c>
      <c r="AB18" s="863">
        <f t="shared" si="9"/>
        <v>0</v>
      </c>
      <c r="AC18" s="18"/>
    </row>
    <row r="19" spans="1:29" s="16" customFormat="1">
      <c r="A19" s="18"/>
      <c r="B19" s="18"/>
      <c r="C19" s="18"/>
      <c r="D19" s="859">
        <f t="shared" si="0"/>
        <v>0</v>
      </c>
      <c r="E19" s="19"/>
      <c r="F19" s="860"/>
      <c r="G19" s="860"/>
      <c r="H19" s="860"/>
      <c r="I19" s="860"/>
      <c r="J19" s="860"/>
      <c r="K19" s="856"/>
      <c r="L19" s="856"/>
      <c r="M19" s="855"/>
      <c r="N19" s="855"/>
      <c r="O19" s="856"/>
      <c r="P19" s="856"/>
      <c r="Q19" s="856"/>
      <c r="R19" s="857"/>
      <c r="S19" s="861">
        <f t="shared" si="1"/>
        <v>0</v>
      </c>
      <c r="T19" s="861"/>
      <c r="U19" s="857">
        <f t="shared" si="2"/>
        <v>0</v>
      </c>
      <c r="V19" s="857">
        <f t="shared" si="3"/>
        <v>0</v>
      </c>
      <c r="W19" s="857">
        <f t="shared" si="4"/>
        <v>0</v>
      </c>
      <c r="X19" s="857">
        <f t="shared" si="5"/>
        <v>0</v>
      </c>
      <c r="Y19" s="857">
        <f t="shared" si="6"/>
        <v>0</v>
      </c>
      <c r="Z19" s="857">
        <f t="shared" si="7"/>
        <v>0</v>
      </c>
      <c r="AA19" s="857">
        <f t="shared" si="8"/>
        <v>0</v>
      </c>
      <c r="AB19" s="863">
        <f t="shared" si="9"/>
        <v>0</v>
      </c>
      <c r="AC19" s="18"/>
    </row>
    <row r="20" spans="1:29" s="16" customFormat="1">
      <c r="A20" s="18"/>
      <c r="B20" s="18"/>
      <c r="C20" s="18"/>
      <c r="D20" s="859">
        <f t="shared" si="0"/>
        <v>0</v>
      </c>
      <c r="E20" s="19"/>
      <c r="F20" s="860"/>
      <c r="G20" s="860"/>
      <c r="H20" s="860"/>
      <c r="I20" s="860"/>
      <c r="J20" s="860"/>
      <c r="K20" s="856"/>
      <c r="L20" s="856"/>
      <c r="M20" s="855"/>
      <c r="N20" s="855"/>
      <c r="O20" s="856"/>
      <c r="P20" s="856"/>
      <c r="Q20" s="856"/>
      <c r="R20" s="857"/>
      <c r="S20" s="861">
        <f t="shared" si="1"/>
        <v>0</v>
      </c>
      <c r="T20" s="861"/>
      <c r="U20" s="857">
        <f t="shared" si="2"/>
        <v>0</v>
      </c>
      <c r="V20" s="857">
        <f t="shared" si="3"/>
        <v>0</v>
      </c>
      <c r="W20" s="857">
        <f t="shared" si="4"/>
        <v>0</v>
      </c>
      <c r="X20" s="857">
        <f t="shared" si="5"/>
        <v>0</v>
      </c>
      <c r="Y20" s="857">
        <f t="shared" si="6"/>
        <v>0</v>
      </c>
      <c r="Z20" s="857">
        <f t="shared" si="7"/>
        <v>0</v>
      </c>
      <c r="AA20" s="857">
        <f t="shared" si="8"/>
        <v>0</v>
      </c>
      <c r="AB20" s="863">
        <f t="shared" si="9"/>
        <v>0</v>
      </c>
      <c r="AC20" s="18"/>
    </row>
    <row r="21" spans="1:29" s="16" customFormat="1">
      <c r="A21" s="18"/>
      <c r="B21" s="18"/>
      <c r="C21" s="18"/>
      <c r="D21" s="859">
        <f t="shared" si="0"/>
        <v>0</v>
      </c>
      <c r="E21" s="19"/>
      <c r="F21" s="860"/>
      <c r="G21" s="860"/>
      <c r="H21" s="860"/>
      <c r="I21" s="860"/>
      <c r="J21" s="860"/>
      <c r="K21" s="856"/>
      <c r="L21" s="856"/>
      <c r="M21" s="855"/>
      <c r="N21" s="855"/>
      <c r="O21" s="856"/>
      <c r="P21" s="856"/>
      <c r="Q21" s="856"/>
      <c r="R21" s="857"/>
      <c r="S21" s="861">
        <f t="shared" si="1"/>
        <v>0</v>
      </c>
      <c r="T21" s="861"/>
      <c r="U21" s="857">
        <f t="shared" si="2"/>
        <v>0</v>
      </c>
      <c r="V21" s="857">
        <f t="shared" si="3"/>
        <v>0</v>
      </c>
      <c r="W21" s="857">
        <f t="shared" si="4"/>
        <v>0</v>
      </c>
      <c r="X21" s="857">
        <f t="shared" si="5"/>
        <v>0</v>
      </c>
      <c r="Y21" s="857">
        <f t="shared" si="6"/>
        <v>0</v>
      </c>
      <c r="Z21" s="857">
        <f t="shared" si="7"/>
        <v>0</v>
      </c>
      <c r="AA21" s="857">
        <f t="shared" si="8"/>
        <v>0</v>
      </c>
      <c r="AB21" s="863">
        <f t="shared" si="9"/>
        <v>0</v>
      </c>
      <c r="AC21" s="18"/>
    </row>
    <row r="22" spans="1:29" s="16" customFormat="1">
      <c r="A22" s="18"/>
      <c r="B22" s="18"/>
      <c r="C22" s="18"/>
      <c r="D22" s="859">
        <f t="shared" si="0"/>
        <v>0</v>
      </c>
      <c r="E22" s="19"/>
      <c r="F22" s="860"/>
      <c r="G22" s="860"/>
      <c r="H22" s="860"/>
      <c r="I22" s="860"/>
      <c r="J22" s="860"/>
      <c r="K22" s="856"/>
      <c r="L22" s="856"/>
      <c r="M22" s="855"/>
      <c r="N22" s="855"/>
      <c r="O22" s="856"/>
      <c r="P22" s="856"/>
      <c r="Q22" s="856"/>
      <c r="R22" s="857"/>
      <c r="S22" s="861">
        <f t="shared" si="1"/>
        <v>0</v>
      </c>
      <c r="T22" s="861"/>
      <c r="U22" s="857">
        <f t="shared" si="2"/>
        <v>0</v>
      </c>
      <c r="V22" s="857">
        <f t="shared" si="3"/>
        <v>0</v>
      </c>
      <c r="W22" s="857">
        <f t="shared" si="4"/>
        <v>0</v>
      </c>
      <c r="X22" s="857">
        <f t="shared" si="5"/>
        <v>0</v>
      </c>
      <c r="Y22" s="857">
        <f t="shared" si="6"/>
        <v>0</v>
      </c>
      <c r="Z22" s="857">
        <f t="shared" si="7"/>
        <v>0</v>
      </c>
      <c r="AA22" s="857">
        <f t="shared" si="8"/>
        <v>0</v>
      </c>
      <c r="AB22" s="863">
        <f t="shared" si="9"/>
        <v>0</v>
      </c>
      <c r="AC22" s="18"/>
    </row>
    <row r="23" spans="1:29" s="16" customFormat="1">
      <c r="A23" s="18"/>
      <c r="B23" s="18"/>
      <c r="C23" s="18"/>
      <c r="D23" s="859">
        <f t="shared" si="0"/>
        <v>0</v>
      </c>
      <c r="E23" s="19"/>
      <c r="F23" s="860"/>
      <c r="G23" s="860"/>
      <c r="H23" s="860"/>
      <c r="I23" s="860"/>
      <c r="J23" s="860"/>
      <c r="K23" s="856"/>
      <c r="L23" s="856"/>
      <c r="M23" s="855"/>
      <c r="N23" s="855"/>
      <c r="O23" s="856"/>
      <c r="P23" s="856"/>
      <c r="Q23" s="856"/>
      <c r="R23" s="857"/>
      <c r="S23" s="861">
        <f t="shared" si="1"/>
        <v>0</v>
      </c>
      <c r="T23" s="861"/>
      <c r="U23" s="857">
        <f t="shared" si="2"/>
        <v>0</v>
      </c>
      <c r="V23" s="857">
        <f t="shared" si="3"/>
        <v>0</v>
      </c>
      <c r="W23" s="857">
        <f t="shared" si="4"/>
        <v>0</v>
      </c>
      <c r="X23" s="857">
        <f t="shared" si="5"/>
        <v>0</v>
      </c>
      <c r="Y23" s="857">
        <f t="shared" si="6"/>
        <v>0</v>
      </c>
      <c r="Z23" s="857">
        <f t="shared" si="7"/>
        <v>0</v>
      </c>
      <c r="AA23" s="857">
        <f t="shared" si="8"/>
        <v>0</v>
      </c>
      <c r="AB23" s="863">
        <f t="shared" si="9"/>
        <v>0</v>
      </c>
      <c r="AC23" s="18"/>
    </row>
    <row r="24" spans="1:29" s="16" customFormat="1">
      <c r="A24" s="18"/>
      <c r="B24" s="18"/>
      <c r="C24" s="18"/>
      <c r="D24" s="859">
        <f t="shared" si="0"/>
        <v>0</v>
      </c>
      <c r="E24" s="19"/>
      <c r="F24" s="860"/>
      <c r="G24" s="860"/>
      <c r="H24" s="860"/>
      <c r="I24" s="860"/>
      <c r="J24" s="860"/>
      <c r="K24" s="856"/>
      <c r="L24" s="856"/>
      <c r="M24" s="855"/>
      <c r="N24" s="855"/>
      <c r="O24" s="856"/>
      <c r="P24" s="856"/>
      <c r="Q24" s="856"/>
      <c r="R24" s="857"/>
      <c r="S24" s="861">
        <f t="shared" si="1"/>
        <v>0</v>
      </c>
      <c r="T24" s="861"/>
      <c r="U24" s="857">
        <f t="shared" si="2"/>
        <v>0</v>
      </c>
      <c r="V24" s="857">
        <f t="shared" si="3"/>
        <v>0</v>
      </c>
      <c r="W24" s="857">
        <f t="shared" si="4"/>
        <v>0</v>
      </c>
      <c r="X24" s="857">
        <f t="shared" si="5"/>
        <v>0</v>
      </c>
      <c r="Y24" s="857">
        <f t="shared" si="6"/>
        <v>0</v>
      </c>
      <c r="Z24" s="857">
        <f t="shared" si="7"/>
        <v>0</v>
      </c>
      <c r="AA24" s="857">
        <f t="shared" si="8"/>
        <v>0</v>
      </c>
      <c r="AB24" s="863">
        <f t="shared" si="9"/>
        <v>0</v>
      </c>
      <c r="AC24" s="18"/>
    </row>
    <row r="25" spans="1:29" s="16" customFormat="1">
      <c r="D25" s="870"/>
      <c r="E25" s="26"/>
      <c r="F25" s="864"/>
      <c r="G25" s="864"/>
      <c r="H25" s="864"/>
      <c r="I25" s="864"/>
      <c r="J25" s="864"/>
      <c r="K25" s="865"/>
      <c r="L25" s="865"/>
      <c r="M25" s="866"/>
      <c r="N25" s="866"/>
      <c r="O25" s="865"/>
      <c r="P25" s="865"/>
      <c r="Q25" s="865"/>
      <c r="R25" s="867"/>
      <c r="S25" s="868"/>
      <c r="T25" s="874" t="s">
        <v>3846</v>
      </c>
      <c r="U25" s="857">
        <f t="shared" ref="U25:AB25" si="10">+AVERAGEIF($E$3:$E$24,"Microinversor",U3:U24)</f>
        <v>1326071.7592592593</v>
      </c>
      <c r="V25" s="857">
        <f t="shared" si="10"/>
        <v>833064.130758935</v>
      </c>
      <c r="W25" s="857">
        <f t="shared" si="10"/>
        <v>1087324.5692943933</v>
      </c>
      <c r="X25" s="874">
        <f t="shared" si="10"/>
        <v>352464.05199238763</v>
      </c>
      <c r="Y25" s="857">
        <f t="shared" si="10"/>
        <v>411012.19294393208</v>
      </c>
      <c r="Z25" s="857">
        <f t="shared" si="10"/>
        <v>341802.71468306251</v>
      </c>
      <c r="AA25" s="874">
        <f t="shared" si="10"/>
        <v>16055.635882635881</v>
      </c>
      <c r="AB25" s="875">
        <f t="shared" si="10"/>
        <v>0.35753479542920064</v>
      </c>
    </row>
    <row r="26" spans="1:29" s="16" customFormat="1">
      <c r="D26" s="870"/>
      <c r="E26" s="26"/>
      <c r="F26" s="864"/>
      <c r="G26" s="864"/>
      <c r="H26" s="864"/>
      <c r="I26" s="864"/>
      <c r="J26" s="864"/>
      <c r="K26" s="865"/>
      <c r="L26" s="865"/>
      <c r="M26" s="866"/>
      <c r="N26" s="866"/>
      <c r="O26" s="865"/>
      <c r="P26" s="865"/>
      <c r="Q26" s="865"/>
      <c r="R26" s="867"/>
      <c r="S26" s="868"/>
      <c r="T26" s="874" t="s">
        <v>3847</v>
      </c>
      <c r="U26" s="857">
        <f t="shared" ref="U26:AB26" si="11">+AVERAGEIF($E$3:$E$24,"Inversor",U3:U24)</f>
        <v>1145160.0695411367</v>
      </c>
      <c r="V26" s="857">
        <f t="shared" si="11"/>
        <v>437275.08513321745</v>
      </c>
      <c r="W26" s="857">
        <f t="shared" si="11"/>
        <v>292145.38764461019</v>
      </c>
      <c r="X26" s="874">
        <f t="shared" si="11"/>
        <v>429189.65458939289</v>
      </c>
      <c r="Y26" s="857">
        <f t="shared" si="11"/>
        <v>193740.92256071256</v>
      </c>
      <c r="Z26" s="857">
        <f t="shared" si="11"/>
        <v>217525.06411786276</v>
      </c>
      <c r="AA26" s="874">
        <f t="shared" si="11"/>
        <v>41205.126301431061</v>
      </c>
      <c r="AB26" s="875">
        <f t="shared" si="11"/>
        <v>0.31006152606857562</v>
      </c>
    </row>
    <row r="27" spans="1:29" s="16" customFormat="1">
      <c r="D27" s="870"/>
      <c r="E27" s="26"/>
      <c r="F27" s="864"/>
      <c r="G27" s="864"/>
      <c r="H27" s="864"/>
      <c r="I27" s="864"/>
      <c r="J27" s="864"/>
      <c r="K27" s="865"/>
      <c r="L27" s="865"/>
      <c r="M27" s="866"/>
      <c r="N27" s="866"/>
      <c r="O27" s="865"/>
      <c r="P27" s="865"/>
      <c r="Q27" s="865"/>
      <c r="R27" s="867"/>
      <c r="S27" s="868"/>
      <c r="T27" s="874" t="s">
        <v>3856</v>
      </c>
      <c r="U27" s="857">
        <f t="shared" ref="U27:AB27" si="12">+AVERAGEIF($E$3:$E$24,"Hibrido",U3:U24)</f>
        <v>1470714.6090534979</v>
      </c>
      <c r="V27" s="857">
        <f t="shared" si="12"/>
        <v>3826561.7283950616</v>
      </c>
      <c r="W27" s="857">
        <f t="shared" si="12"/>
        <v>353584.25925925921</v>
      </c>
      <c r="X27" s="874">
        <f t="shared" si="12"/>
        <v>366404.83539094648</v>
      </c>
      <c r="Y27" s="857">
        <f t="shared" si="12"/>
        <v>244061.11111111109</v>
      </c>
      <c r="Z27" s="857">
        <f t="shared" si="12"/>
        <v>374157.61316872423</v>
      </c>
      <c r="AA27" s="874">
        <f t="shared" si="12"/>
        <v>27256.99588477366</v>
      </c>
      <c r="AB27" s="875">
        <f t="shared" si="12"/>
        <v>0.31110898008939458</v>
      </c>
    </row>
    <row r="28" spans="1:29" s="16" customFormat="1">
      <c r="D28" s="870"/>
      <c r="E28" s="26"/>
      <c r="F28" s="864"/>
      <c r="G28" s="864"/>
      <c r="H28" s="864"/>
      <c r="I28" s="864"/>
      <c r="J28" s="864"/>
      <c r="K28" s="865"/>
      <c r="L28" s="865"/>
      <c r="M28" s="866"/>
      <c r="N28" s="866"/>
      <c r="O28" s="865"/>
      <c r="P28" s="865"/>
      <c r="Q28" s="865"/>
      <c r="R28" s="867"/>
      <c r="S28" s="868"/>
      <c r="T28" s="868"/>
      <c r="U28" s="867"/>
      <c r="V28" s="867"/>
      <c r="W28" s="867"/>
      <c r="X28" s="867"/>
      <c r="Y28" s="867"/>
      <c r="Z28" s="867"/>
      <c r="AA28" s="867"/>
      <c r="AB28" s="869"/>
    </row>
    <row r="29" spans="1:29" s="16" customFormat="1">
      <c r="D29" s="870"/>
      <c r="E29" s="26"/>
      <c r="F29" s="864"/>
      <c r="G29" s="864"/>
      <c r="H29" s="864"/>
      <c r="I29" s="864"/>
      <c r="J29" s="864"/>
      <c r="K29" s="865"/>
      <c r="L29" s="865"/>
      <c r="M29" s="866"/>
      <c r="N29" s="866"/>
      <c r="O29" s="865"/>
      <c r="P29" s="865"/>
      <c r="Q29" s="865"/>
      <c r="R29" s="867"/>
      <c r="S29" s="868"/>
      <c r="T29" s="868"/>
      <c r="U29" s="867"/>
      <c r="V29" s="867"/>
      <c r="W29" s="867"/>
      <c r="X29" s="867"/>
      <c r="Y29" s="867"/>
      <c r="Z29" s="867"/>
      <c r="AA29" s="867"/>
      <c r="AB29" s="869"/>
    </row>
    <row r="31" spans="1:29">
      <c r="X31">
        <v>3</v>
      </c>
      <c r="Y31">
        <v>300</v>
      </c>
    </row>
    <row r="32" spans="1:29">
      <c r="X32">
        <v>10</v>
      </c>
      <c r="Y32">
        <v>400</v>
      </c>
    </row>
    <row r="33" spans="25:25">
      <c r="Y33">
        <v>700</v>
      </c>
    </row>
  </sheetData>
  <autoFilter ref="A2:AC2" xr:uid="{B5ECE684-BB66-4703-9FF9-48325B526E75}">
    <sortState xmlns:xlrd2="http://schemas.microsoft.com/office/spreadsheetml/2017/richdata2" ref="A3:AC27">
      <sortCondition descending="1" ref="D2"/>
    </sortState>
  </autoFilter>
  <mergeCells count="2">
    <mergeCell ref="A1:T1"/>
    <mergeCell ref="U1:AC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C36DB-F0A3-41B3-A63C-8DA44F275FED}">
  <sheetPr codeName="Hoja28"/>
  <dimension ref="A1:N8"/>
  <sheetViews>
    <sheetView workbookViewId="0">
      <selection activeCell="J12" sqref="J12"/>
    </sheetView>
  </sheetViews>
  <sheetFormatPr baseColWidth="10" defaultRowHeight="14.25"/>
  <cols>
    <col min="1" max="1" width="15.875" customWidth="1"/>
    <col min="2" max="2" width="17.625" bestFit="1" customWidth="1"/>
    <col min="5" max="5" width="17.625" bestFit="1" customWidth="1"/>
    <col min="7" max="7" width="18.125" customWidth="1"/>
    <col min="8" max="8" width="17.625" bestFit="1" customWidth="1"/>
    <col min="10" max="10" width="16.875" customWidth="1"/>
    <col min="11" max="11" width="16.625" bestFit="1" customWidth="1"/>
    <col min="13" max="13" width="20.5" customWidth="1"/>
    <col min="14" max="14" width="16.625" bestFit="1" customWidth="1"/>
  </cols>
  <sheetData>
    <row r="1" spans="1:14">
      <c r="A1" t="s">
        <v>161</v>
      </c>
      <c r="D1" t="s">
        <v>161</v>
      </c>
      <c r="G1" t="s">
        <v>161</v>
      </c>
      <c r="J1" t="s">
        <v>161</v>
      </c>
      <c r="M1" t="s">
        <v>161</v>
      </c>
    </row>
    <row r="2" spans="1:14">
      <c r="A2" t="s">
        <v>162</v>
      </c>
      <c r="B2">
        <v>4</v>
      </c>
      <c r="D2" t="s">
        <v>162</v>
      </c>
      <c r="E2">
        <v>8</v>
      </c>
      <c r="G2" t="s">
        <v>162</v>
      </c>
      <c r="H2">
        <v>17</v>
      </c>
      <c r="J2" t="s">
        <v>162</v>
      </c>
      <c r="K2">
        <v>34</v>
      </c>
      <c r="M2" t="s">
        <v>162</v>
      </c>
      <c r="N2">
        <v>67</v>
      </c>
    </row>
    <row r="3" spans="1:14">
      <c r="A3" t="s">
        <v>81</v>
      </c>
      <c r="B3">
        <v>2.34</v>
      </c>
      <c r="D3" t="s">
        <v>81</v>
      </c>
      <c r="E3">
        <v>4.68</v>
      </c>
      <c r="G3" t="s">
        <v>81</v>
      </c>
      <c r="H3">
        <v>9.9450000000000003</v>
      </c>
      <c r="J3" t="s">
        <v>81</v>
      </c>
      <c r="K3">
        <v>19.89</v>
      </c>
      <c r="M3" t="s">
        <v>81</v>
      </c>
      <c r="N3">
        <v>39.195</v>
      </c>
    </row>
    <row r="4" spans="1:14">
      <c r="A4" t="s">
        <v>163</v>
      </c>
      <c r="B4">
        <v>1</v>
      </c>
      <c r="D4" t="s">
        <v>163</v>
      </c>
      <c r="E4">
        <v>1</v>
      </c>
      <c r="G4" t="s">
        <v>163</v>
      </c>
      <c r="H4">
        <v>1</v>
      </c>
      <c r="J4" t="s">
        <v>163</v>
      </c>
      <c r="K4">
        <v>1</v>
      </c>
      <c r="M4" t="s">
        <v>163</v>
      </c>
      <c r="N4">
        <v>1</v>
      </c>
    </row>
    <row r="5" spans="1:14">
      <c r="A5" t="s">
        <v>1494</v>
      </c>
      <c r="B5">
        <v>0</v>
      </c>
      <c r="D5" t="s">
        <v>1494</v>
      </c>
      <c r="E5">
        <v>0</v>
      </c>
      <c r="G5" t="s">
        <v>1494</v>
      </c>
      <c r="H5">
        <v>0</v>
      </c>
      <c r="J5" t="s">
        <v>1494</v>
      </c>
      <c r="K5">
        <v>0</v>
      </c>
      <c r="M5" t="s">
        <v>1494</v>
      </c>
      <c r="N5">
        <v>0</v>
      </c>
    </row>
    <row r="6" spans="1:14">
      <c r="A6" t="s">
        <v>556</v>
      </c>
      <c r="B6" s="847">
        <v>13322626.954889461</v>
      </c>
      <c r="D6" t="s">
        <v>556</v>
      </c>
      <c r="E6" s="847">
        <v>21216599.727524932</v>
      </c>
      <c r="G6" t="s">
        <v>556</v>
      </c>
      <c r="H6" s="847">
        <v>45311874.773517504</v>
      </c>
      <c r="J6" t="s">
        <v>556</v>
      </c>
      <c r="K6">
        <v>78123461.158276141</v>
      </c>
      <c r="M6" t="s">
        <v>556</v>
      </c>
      <c r="N6">
        <v>129422717.01237728</v>
      </c>
    </row>
    <row r="7" spans="1:14">
      <c r="B7" s="847">
        <v>14274243.165952994</v>
      </c>
      <c r="E7" s="847">
        <v>22732071.136633858</v>
      </c>
      <c r="H7" s="847">
        <v>48548437.257340193</v>
      </c>
      <c r="K7">
        <v>83703708.383867294</v>
      </c>
      <c r="N7">
        <v>138667196.79897565</v>
      </c>
    </row>
    <row r="8" spans="1:14" s="847" customFormat="1">
      <c r="B8" s="847">
        <f>+B7/B3</f>
        <v>6100103.9170739297</v>
      </c>
      <c r="E8" s="847">
        <f>+E7/E3</f>
        <v>4857280.1574003976</v>
      </c>
      <c r="H8" s="847">
        <f>+H7/H3</f>
        <v>4881693.0374399386</v>
      </c>
      <c r="K8" s="847">
        <f>+K7/K3</f>
        <v>4208331.2410189686</v>
      </c>
      <c r="N8" s="847">
        <f>+N7/N3</f>
        <v>3537879.7499419735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AF57F-0506-4430-B85C-512054E33DED}">
  <sheetPr codeName="Hoja17"/>
  <dimension ref="A1:Q58"/>
  <sheetViews>
    <sheetView topLeftCell="A16" workbookViewId="0">
      <selection activeCell="G7" sqref="G7"/>
    </sheetView>
  </sheetViews>
  <sheetFormatPr baseColWidth="10" defaultRowHeight="14.25"/>
  <cols>
    <col min="4" max="5" width="11" style="57"/>
    <col min="12" max="12" width="12.375" bestFit="1" customWidth="1"/>
    <col min="13" max="13" width="36.5" bestFit="1" customWidth="1"/>
    <col min="14" max="14" width="12" bestFit="1" customWidth="1"/>
    <col min="17" max="17" width="37" bestFit="1" customWidth="1"/>
  </cols>
  <sheetData>
    <row r="1" spans="1:17">
      <c r="A1" s="1251" t="s">
        <v>114</v>
      </c>
      <c r="B1" s="1250"/>
      <c r="C1" s="1250"/>
      <c r="D1" s="1250"/>
      <c r="E1" s="1250"/>
      <c r="F1" s="1250"/>
      <c r="L1" s="17" t="s">
        <v>1458</v>
      </c>
      <c r="M1" t="str">
        <f>+'Datos de Entrada (On Grid)'!D12</f>
        <v>La Ceja</v>
      </c>
      <c r="P1" s="17" t="s">
        <v>1458</v>
      </c>
      <c r="Q1" t="str">
        <f>+'Datos de entrada (Off grid)'!D12</f>
        <v>Cimitarra</v>
      </c>
    </row>
    <row r="2" spans="1:17">
      <c r="B2" s="17" t="s">
        <v>159</v>
      </c>
      <c r="C2" s="17" t="s">
        <v>522</v>
      </c>
      <c r="F2" s="17" t="s">
        <v>1033</v>
      </c>
      <c r="L2" s="17" t="s">
        <v>1457</v>
      </c>
      <c r="M2" s="304">
        <f ca="1">+TODAY()</f>
        <v>45973</v>
      </c>
      <c r="P2" s="17" t="s">
        <v>1457</v>
      </c>
      <c r="Q2" s="304">
        <f ca="1">+TODAY()</f>
        <v>45973</v>
      </c>
    </row>
    <row r="3" spans="1:17">
      <c r="A3" s="17" t="s">
        <v>1029</v>
      </c>
      <c r="B3">
        <v>32</v>
      </c>
      <c r="C3">
        <f>+B3*0.4</f>
        <v>12.8</v>
      </c>
      <c r="D3" s="57">
        <v>1495000</v>
      </c>
      <c r="F3" s="57">
        <f>+D3/C3</f>
        <v>116796.875</v>
      </c>
      <c r="L3" s="17" t="s">
        <v>1459</v>
      </c>
      <c r="M3" t="str">
        <f>+CONCATENATE('Datos de Entrada (On Grid)'!D7," ",'Datos de Entrada (On Grid)'!D8)</f>
        <v xml:space="preserve">Henry Ocampo </v>
      </c>
      <c r="P3" s="17" t="s">
        <v>1459</v>
      </c>
      <c r="Q3">
        <f>+'Datos de entrada (Off grid)'!D7</f>
        <v>0</v>
      </c>
    </row>
    <row r="4" spans="1:17">
      <c r="A4" s="17" t="s">
        <v>789</v>
      </c>
      <c r="B4">
        <v>8</v>
      </c>
      <c r="C4">
        <f>+B4*0.4</f>
        <v>3.2</v>
      </c>
      <c r="E4" s="57">
        <v>1606500</v>
      </c>
      <c r="L4" s="17" t="s">
        <v>1460</v>
      </c>
      <c r="M4" s="305">
        <f>+'Datos de Entrada (On Grid)'!D25</f>
        <v>850</v>
      </c>
      <c r="P4" s="17" t="s">
        <v>1921</v>
      </c>
      <c r="Q4">
        <f>+'Datos de entrada (Off grid)'!D8</f>
        <v>0</v>
      </c>
    </row>
    <row r="5" spans="1:17">
      <c r="A5" s="17" t="s">
        <v>1030</v>
      </c>
      <c r="B5">
        <v>6</v>
      </c>
      <c r="C5">
        <f>+B5*0.4</f>
        <v>2.4000000000000004</v>
      </c>
      <c r="E5" s="57">
        <v>690000</v>
      </c>
      <c r="L5" s="17" t="s">
        <v>1461</v>
      </c>
      <c r="M5" s="827">
        <f>+'Datos de Entrada (On Grid)'!D22</f>
        <v>1132.4880000000001</v>
      </c>
      <c r="P5" s="17" t="s">
        <v>1460</v>
      </c>
      <c r="Q5" s="305">
        <f>+'Datos de entrada (Off grid)'!R23*30</f>
        <v>1333.11</v>
      </c>
    </row>
    <row r="6" spans="1:17">
      <c r="L6" s="17" t="s">
        <v>1462</v>
      </c>
      <c r="M6" s="306">
        <f>+'Datos de Entrada (On Grid)'!D47</f>
        <v>4.4184833333333327</v>
      </c>
      <c r="P6" s="17" t="s">
        <v>1461</v>
      </c>
      <c r="Q6">
        <f>+'Datos de entrada (Off grid)'!O6</f>
        <v>1000</v>
      </c>
    </row>
    <row r="7" spans="1:17">
      <c r="A7" s="1251" t="s">
        <v>1034</v>
      </c>
      <c r="B7" s="1251"/>
      <c r="C7" s="1251" t="s">
        <v>1834</v>
      </c>
      <c r="D7" s="1250"/>
      <c r="E7"/>
      <c r="L7" s="17" t="s">
        <v>1463</v>
      </c>
      <c r="M7" s="306">
        <f>+'Datos de Entrada (On Grid)'!D41</f>
        <v>8.19</v>
      </c>
      <c r="P7" s="17" t="s">
        <v>1462</v>
      </c>
      <c r="Q7" s="306">
        <f>+'Calculos (Off Grid)'!B39</f>
        <v>5.5677635368663596</v>
      </c>
    </row>
    <row r="8" spans="1:17">
      <c r="A8" s="17" t="s">
        <v>1035</v>
      </c>
      <c r="C8" s="17" t="s">
        <v>1835</v>
      </c>
      <c r="L8" s="17" t="s">
        <v>1464</v>
      </c>
      <c r="M8" s="305">
        <f>+'Datos de Entrada (On Grid)'!D49</f>
        <v>849.23143634112864</v>
      </c>
      <c r="P8" s="17" t="s">
        <v>1463</v>
      </c>
      <c r="Q8" s="306">
        <f>+'Datos de entrada (Off grid)'!R24</f>
        <v>10.53</v>
      </c>
    </row>
    <row r="9" spans="1:17">
      <c r="A9" s="17" t="s">
        <v>1036</v>
      </c>
      <c r="C9" s="17" t="s">
        <v>537</v>
      </c>
      <c r="L9" s="17" t="s">
        <v>1465</v>
      </c>
      <c r="M9">
        <f>+'Datos de Salida (On grid)'!H20</f>
        <v>42</v>
      </c>
      <c r="P9" s="17" t="s">
        <v>1464</v>
      </c>
      <c r="Q9" s="305">
        <f>+Q5</f>
        <v>1333.11</v>
      </c>
    </row>
    <row r="10" spans="1:17">
      <c r="A10" s="17"/>
      <c r="C10" s="17" t="s">
        <v>8</v>
      </c>
      <c r="L10" s="17" t="s">
        <v>1466</v>
      </c>
      <c r="M10">
        <f>+'Datos de Salida (On grid)'!H18</f>
        <v>14</v>
      </c>
      <c r="P10" s="17" t="s">
        <v>1465</v>
      </c>
      <c r="Q10">
        <f>+'Datos de entrada (Off grid)'!R31*2.8</f>
        <v>50.4</v>
      </c>
    </row>
    <row r="11" spans="1:17">
      <c r="L11" s="17" t="s">
        <v>1467</v>
      </c>
      <c r="M11" s="307">
        <f>+'Datos de Salida (On grid)'!D8</f>
        <v>0.99909580746015125</v>
      </c>
      <c r="P11" s="17" t="s">
        <v>1466</v>
      </c>
      <c r="Q11">
        <f>+'Datos de entrada (Off grid)'!R31</f>
        <v>18</v>
      </c>
    </row>
    <row r="12" spans="1:17">
      <c r="A12" s="1251" t="s">
        <v>1037</v>
      </c>
      <c r="B12" s="1250"/>
      <c r="C12" s="1250"/>
      <c r="D12" s="1250"/>
      <c r="E12" s="1250"/>
      <c r="F12" s="1250"/>
      <c r="L12" s="17" t="s">
        <v>1468</v>
      </c>
      <c r="M12" s="827">
        <f>+'Datos de Salida (On grid)'!H21</f>
        <v>5.1361517269911454</v>
      </c>
      <c r="P12" s="17" t="s">
        <v>1467</v>
      </c>
      <c r="Q12" s="307">
        <v>1</v>
      </c>
    </row>
    <row r="13" spans="1:17">
      <c r="A13" s="1251" t="s">
        <v>522</v>
      </c>
      <c r="B13" s="1251"/>
      <c r="C13" s="17" t="s">
        <v>1038</v>
      </c>
      <c r="L13" s="17" t="s">
        <v>2839</v>
      </c>
      <c r="M13" s="305">
        <f>+M8*'Datos de Entrada (On Grid)'!D16</f>
        <v>509.53886180467714</v>
      </c>
      <c r="P13" s="17" t="s">
        <v>1468</v>
      </c>
      <c r="Q13" s="305">
        <f>IF(0.199*Q9*12/1000&lt;1,1,0.199*Q9*12/1000)</f>
        <v>3.1834666799999995</v>
      </c>
    </row>
    <row r="14" spans="1:17">
      <c r="A14">
        <v>0</v>
      </c>
      <c r="B14">
        <v>10000</v>
      </c>
      <c r="C14">
        <v>100000</v>
      </c>
      <c r="L14" s="17" t="s">
        <v>2840</v>
      </c>
      <c r="M14" s="305">
        <f>+M8*(1-'Datos de Entrada (On Grid)'!D16)</f>
        <v>339.6925745364515</v>
      </c>
      <c r="N14" s="305"/>
      <c r="P14" s="17" t="s">
        <v>1471</v>
      </c>
      <c r="Q14" t="str">
        <f>+'Historico de Cotizaciones'!O1</f>
        <v>2721SC</v>
      </c>
    </row>
    <row r="15" spans="1:17">
      <c r="A15">
        <v>10000</v>
      </c>
      <c r="B15">
        <v>50000</v>
      </c>
      <c r="C15">
        <v>72000</v>
      </c>
      <c r="L15" s="17" t="s">
        <v>2841</v>
      </c>
      <c r="M15" s="305">
        <f>+M4-M13</f>
        <v>340.46113819532286</v>
      </c>
      <c r="P15" s="17" t="s">
        <v>1584</v>
      </c>
      <c r="Q15" t="str">
        <f>+'Datos de salida (Off Grid)'!$D6</f>
        <v>Panel solar Monocristalino  HalfCell (585W)</v>
      </c>
    </row>
    <row r="16" spans="1:17">
      <c r="A16">
        <v>50000</v>
      </c>
      <c r="B16">
        <v>250000</v>
      </c>
      <c r="C16">
        <v>50000</v>
      </c>
      <c r="L16" s="17" t="s">
        <v>2842</v>
      </c>
      <c r="M16" s="827">
        <f>+'Datos de Entrada (On Grid)'!D22*0.9</f>
        <v>1019.2392000000001</v>
      </c>
      <c r="P16" s="17" t="s">
        <v>1907</v>
      </c>
      <c r="Q16" t="str">
        <f>+'Datos de salida (Off Grid)'!$D7</f>
        <v>BlueSolar MPPT 150/70-MC4 Victron Energy</v>
      </c>
    </row>
    <row r="17" spans="1:17">
      <c r="L17" s="17" t="s">
        <v>2843</v>
      </c>
      <c r="M17" s="319">
        <f>-M13*M5</f>
        <v>-577046.64652745519</v>
      </c>
      <c r="P17" s="17" t="s">
        <v>1585</v>
      </c>
      <c r="Q17" t="str">
        <f>+'Datos de salida (Off Grid)'!$D8</f>
        <v>MultiPlus 12/2000/80-50 120V VE.Bus Victron Energy</v>
      </c>
    </row>
    <row r="18" spans="1:17">
      <c r="A18" s="1251" t="s">
        <v>1039</v>
      </c>
      <c r="B18" s="1250"/>
      <c r="C18" s="1250"/>
      <c r="D18" s="1250"/>
      <c r="E18" s="1250"/>
      <c r="F18" s="1250"/>
      <c r="L18" s="17" t="s">
        <v>2844</v>
      </c>
      <c r="M18" s="714">
        <f>-M14*M16</f>
        <v>-346227.98791647324</v>
      </c>
      <c r="P18" s="17" t="s">
        <v>1908</v>
      </c>
      <c r="Q18" t="str">
        <f>+'Datos de salida (Off Grid)'!$D9</f>
        <v>Batería Litio US5000 48V Pylontech</v>
      </c>
    </row>
    <row r="19" spans="1:17">
      <c r="A19" s="1251" t="s">
        <v>522</v>
      </c>
      <c r="B19" s="1251"/>
      <c r="C19" s="17" t="s">
        <v>1038</v>
      </c>
      <c r="L19" s="17" t="s">
        <v>2845</v>
      </c>
      <c r="M19" s="714">
        <f>+M5*M15</f>
        <v>385568.1534725448</v>
      </c>
      <c r="P19" s="17" t="s">
        <v>1586</v>
      </c>
      <c r="Q19">
        <f>+'Datos de salida (Off Grid)'!$E$8</f>
        <v>3</v>
      </c>
    </row>
    <row r="20" spans="1:17">
      <c r="A20">
        <v>1000</v>
      </c>
      <c r="B20">
        <v>10000</v>
      </c>
      <c r="C20">
        <v>200000</v>
      </c>
      <c r="L20" s="17" t="s">
        <v>2846</v>
      </c>
      <c r="M20" s="714">
        <f>+M4*M5</f>
        <v>962614.8</v>
      </c>
      <c r="P20" s="17" t="s">
        <v>1909</v>
      </c>
      <c r="Q20">
        <f>+'Datos de salida (Off Grid)'!$E$7</f>
        <v>2</v>
      </c>
    </row>
    <row r="21" spans="1:17">
      <c r="A21">
        <v>10000</v>
      </c>
      <c r="B21">
        <v>50000</v>
      </c>
      <c r="C21">
        <v>120000</v>
      </c>
      <c r="L21" s="17" t="s">
        <v>2847</v>
      </c>
      <c r="M21" s="714">
        <f>+M18+M19</f>
        <v>39340.165556071559</v>
      </c>
      <c r="P21" s="17" t="s">
        <v>1910</v>
      </c>
      <c r="Q21" t="e">
        <f>+'Datos de salida (Off Grid)'!$E$9</f>
        <v>#N/A</v>
      </c>
    </row>
    <row r="22" spans="1:17">
      <c r="A22">
        <v>50000</v>
      </c>
      <c r="B22">
        <v>100000</v>
      </c>
      <c r="C22">
        <v>80000</v>
      </c>
      <c r="L22" s="17" t="s">
        <v>2848</v>
      </c>
      <c r="M22" s="714">
        <f>+M20-M21</f>
        <v>923274.63444392849</v>
      </c>
      <c r="P22" s="17" t="s">
        <v>1587</v>
      </c>
      <c r="Q22" s="319" t="e">
        <f>+'Datos de salida (Off Grid)'!$E13</f>
        <v>#N/A</v>
      </c>
    </row>
    <row r="23" spans="1:17">
      <c r="A23">
        <v>100000</v>
      </c>
      <c r="B23">
        <v>250000</v>
      </c>
      <c r="C23">
        <v>60000</v>
      </c>
      <c r="L23" s="17" t="s">
        <v>2849</v>
      </c>
      <c r="M23" s="828">
        <f>+M22/M20</f>
        <v>0.95913197516174531</v>
      </c>
      <c r="P23" s="17" t="s">
        <v>1588</v>
      </c>
      <c r="Q23" s="319" t="e">
        <f>+'Datos de salida (Off Grid)'!$E14</f>
        <v>#N/A</v>
      </c>
    </row>
    <row r="24" spans="1:17">
      <c r="L24" s="17" t="s">
        <v>1471</v>
      </c>
      <c r="M24" t="str">
        <f>+'Historico de Cotizaciones'!O1</f>
        <v>2721SC</v>
      </c>
      <c r="P24" s="17" t="s">
        <v>1589</v>
      </c>
      <c r="Q24" s="319" t="e">
        <f>+'Datos de salida (Off Grid)'!$E15</f>
        <v>#N/A</v>
      </c>
    </row>
    <row r="25" spans="1:17">
      <c r="A25" s="1250" t="s">
        <v>1163</v>
      </c>
      <c r="B25" s="1250"/>
      <c r="C25" s="1250"/>
      <c r="D25" s="1250"/>
      <c r="L25" s="17" t="s">
        <v>1584</v>
      </c>
      <c r="M25" t="str">
        <f>+'Datos de Salida (On grid)'!G6</f>
        <v>Panel solar Monocristalino  HalfCell (585W)</v>
      </c>
      <c r="P25" s="17" t="s">
        <v>1590</v>
      </c>
      <c r="Q25" s="319">
        <f>+Q6*Q5*12</f>
        <v>15997320</v>
      </c>
    </row>
    <row r="26" spans="1:17">
      <c r="A26" t="s">
        <v>1164</v>
      </c>
      <c r="B26" t="s">
        <v>1165</v>
      </c>
      <c r="L26" s="17" t="s">
        <v>1585</v>
      </c>
      <c r="M26" t="str">
        <f>+'Datos de Salida (On grid)'!G7</f>
        <v>Inversor Híbrido 8 kW Split phase</v>
      </c>
      <c r="P26" s="17" t="s">
        <v>1591</v>
      </c>
      <c r="Q26" s="319">
        <f>+Q25/12</f>
        <v>1333110</v>
      </c>
    </row>
    <row r="27" spans="1:17">
      <c r="A27">
        <v>1000</v>
      </c>
      <c r="B27">
        <v>700</v>
      </c>
      <c r="L27" s="17" t="s">
        <v>1586</v>
      </c>
      <c r="M27">
        <f>+'Datos de Salida (On grid)'!I7</f>
        <v>1</v>
      </c>
      <c r="P27" s="17" t="s">
        <v>1911</v>
      </c>
      <c r="Q27" s="307" t="str">
        <f>+IF('Datos de entrada (Off grid)'!O8="Litio","10","3-4")</f>
        <v>10</v>
      </c>
    </row>
    <row r="28" spans="1:17">
      <c r="A28">
        <v>2000</v>
      </c>
      <c r="B28">
        <v>300</v>
      </c>
      <c r="L28" s="17" t="s">
        <v>1587</v>
      </c>
      <c r="M28" s="319" t="e">
        <f>+'Datos de Salida (On grid)'!I12</f>
        <v>#N/A</v>
      </c>
      <c r="P28" s="17" t="s">
        <v>1912</v>
      </c>
      <c r="Q28" s="645" t="str">
        <f>+IF('Datos de entrada (Off grid)'!R9="Kit Solar","10","25")</f>
        <v>25</v>
      </c>
    </row>
    <row r="29" spans="1:17">
      <c r="A29">
        <v>3000</v>
      </c>
      <c r="B29">
        <v>178</v>
      </c>
      <c r="L29" s="17" t="s">
        <v>1588</v>
      </c>
      <c r="M29" s="319" t="e">
        <f>+'Datos de Salida (On grid)'!I13</f>
        <v>#N/A</v>
      </c>
      <c r="P29" s="17"/>
      <c r="Q29" s="320"/>
    </row>
    <row r="30" spans="1:17">
      <c r="A30">
        <v>4000</v>
      </c>
      <c r="B30">
        <v>170</v>
      </c>
      <c r="L30" s="17" t="s">
        <v>1589</v>
      </c>
      <c r="M30" s="319" t="e">
        <f>+'Datos de Salida (On grid)'!I14</f>
        <v>#N/A</v>
      </c>
      <c r="P30" s="17"/>
    </row>
    <row r="31" spans="1:17">
      <c r="A31">
        <v>5000</v>
      </c>
      <c r="B31">
        <v>150</v>
      </c>
      <c r="L31" s="17" t="s">
        <v>1590</v>
      </c>
      <c r="M31" s="319">
        <f>+'Datos de Salida (On grid)'!H19</f>
        <v>10386839.637494193</v>
      </c>
      <c r="P31" s="17"/>
    </row>
    <row r="32" spans="1:17">
      <c r="A32">
        <v>6000</v>
      </c>
      <c r="B32">
        <v>137</v>
      </c>
      <c r="L32" s="17" t="s">
        <v>1591</v>
      </c>
      <c r="M32" s="319">
        <f>+M31/12</f>
        <v>865569.96979118278</v>
      </c>
      <c r="P32" s="17"/>
      <c r="Q32" s="548"/>
    </row>
    <row r="33" spans="1:17">
      <c r="A33">
        <v>7000</v>
      </c>
      <c r="B33">
        <v>129</v>
      </c>
      <c r="L33" s="17" t="s">
        <v>1592</v>
      </c>
      <c r="M33" s="307">
        <f>+'Flujo de caja'!C83</f>
        <v>0.12</v>
      </c>
      <c r="P33" s="17"/>
      <c r="Q33" s="548"/>
    </row>
    <row r="34" spans="1:17">
      <c r="A34">
        <v>8000</v>
      </c>
      <c r="B34">
        <v>120</v>
      </c>
      <c r="L34" s="17" t="s">
        <v>1593</v>
      </c>
      <c r="M34" s="319" t="e">
        <f>+'Flujo de caja'!C85</f>
        <v>#N/A</v>
      </c>
      <c r="P34" s="17"/>
      <c r="Q34" s="548"/>
    </row>
    <row r="35" spans="1:17">
      <c r="A35">
        <v>9000</v>
      </c>
      <c r="B35">
        <v>112</v>
      </c>
      <c r="L35" s="17" t="s">
        <v>1594</v>
      </c>
      <c r="M35" s="320" t="e">
        <f>+'Flujo de caja'!C86</f>
        <v>#VALUE!</v>
      </c>
      <c r="P35" s="17"/>
      <c r="Q35" s="548"/>
    </row>
    <row r="36" spans="1:17">
      <c r="A36">
        <v>10000</v>
      </c>
      <c r="B36">
        <v>104</v>
      </c>
      <c r="L36" s="17" t="s">
        <v>1595</v>
      </c>
      <c r="M36" s="320" t="e">
        <f>+'Flujo de caja'!C87</f>
        <v>#VALUE!</v>
      </c>
      <c r="P36" s="17"/>
      <c r="Q36" s="548"/>
    </row>
    <row r="37" spans="1:17">
      <c r="A37">
        <v>11000</v>
      </c>
      <c r="B37">
        <v>98</v>
      </c>
      <c r="L37" s="17" t="s">
        <v>1596</v>
      </c>
      <c r="M37">
        <f>+'Flujo de caja'!C88</f>
        <v>1</v>
      </c>
      <c r="P37" s="17"/>
      <c r="Q37" s="548"/>
    </row>
    <row r="38" spans="1:17">
      <c r="A38">
        <v>12000</v>
      </c>
      <c r="B38">
        <v>94</v>
      </c>
      <c r="L38" s="17" t="s">
        <v>1828</v>
      </c>
      <c r="M38">
        <f>25-M37</f>
        <v>24</v>
      </c>
    </row>
    <row r="39" spans="1:17">
      <c r="A39">
        <v>13000</v>
      </c>
      <c r="B39">
        <v>90</v>
      </c>
      <c r="L39" s="17" t="s">
        <v>1849</v>
      </c>
      <c r="M39" s="548">
        <f>+'PPA Datos Salida'!D12</f>
        <v>747.70786301420617</v>
      </c>
    </row>
    <row r="40" spans="1:17">
      <c r="A40">
        <v>14000</v>
      </c>
      <c r="B40">
        <v>86</v>
      </c>
      <c r="L40" s="17" t="s">
        <v>1850</v>
      </c>
      <c r="M40" s="548">
        <f>+'PPA Datos Salida'!E12</f>
        <v>700.97778657832112</v>
      </c>
    </row>
    <row r="41" spans="1:17">
      <c r="A41">
        <v>15000</v>
      </c>
      <c r="B41">
        <v>82</v>
      </c>
      <c r="L41" s="17" t="s">
        <v>1851</v>
      </c>
      <c r="M41" s="548">
        <f>+'PPA Datos Salida'!F12</f>
        <v>384.19785245115725</v>
      </c>
    </row>
    <row r="42" spans="1:17">
      <c r="A42">
        <v>16000</v>
      </c>
      <c r="B42">
        <v>80</v>
      </c>
      <c r="L42" s="17" t="s">
        <v>1852</v>
      </c>
      <c r="M42" s="548">
        <f>+'PPA Datos Salida'!D17</f>
        <v>2767115.3678408731</v>
      </c>
    </row>
    <row r="43" spans="1:17">
      <c r="A43">
        <v>17000</v>
      </c>
      <c r="B43">
        <v>79</v>
      </c>
      <c r="L43" s="17" t="s">
        <v>1853</v>
      </c>
      <c r="M43" s="548">
        <f>+'PPA Datos Salida'!E17</f>
        <v>3243331.1670246017</v>
      </c>
    </row>
    <row r="44" spans="1:17">
      <c r="A44">
        <v>18000</v>
      </c>
      <c r="B44">
        <v>78</v>
      </c>
      <c r="L44" s="17" t="s">
        <v>1854</v>
      </c>
      <c r="M44" s="548">
        <f>+'PPA Datos Salida'!F17</f>
        <v>6471564.9085789155</v>
      </c>
    </row>
    <row r="45" spans="1:17">
      <c r="A45">
        <v>19000</v>
      </c>
      <c r="B45">
        <v>77</v>
      </c>
      <c r="L45" s="17" t="s">
        <v>2068</v>
      </c>
      <c r="M45" t="str">
        <f>+'Flujo de caja'!C91</f>
        <v>Somos EPM</v>
      </c>
    </row>
    <row r="46" spans="1:17">
      <c r="A46">
        <v>20000</v>
      </c>
      <c r="B46">
        <v>76</v>
      </c>
      <c r="L46" s="17" t="s">
        <v>2069</v>
      </c>
      <c r="M46">
        <f>+IF('Flujo de caja'!C92&lt;120,10,'Flujo de caja'!C92/12)</f>
        <v>10</v>
      </c>
    </row>
    <row r="47" spans="1:17">
      <c r="A47">
        <v>21000</v>
      </c>
      <c r="B47">
        <v>75</v>
      </c>
      <c r="L47" s="17" t="s">
        <v>2070</v>
      </c>
      <c r="M47" s="67">
        <f>+'Flujo de caja'!C94</f>
        <v>0.16765177626913008</v>
      </c>
    </row>
    <row r="48" spans="1:17">
      <c r="A48">
        <v>50000</v>
      </c>
      <c r="B48">
        <f>3000000/A48</f>
        <v>60</v>
      </c>
      <c r="L48" s="17" t="s">
        <v>2071</v>
      </c>
      <c r="M48" s="548" t="e">
        <f>+'Flujo de caja'!C97</f>
        <v>#N/A</v>
      </c>
    </row>
    <row r="49" spans="1:2">
      <c r="A49">
        <v>100000</v>
      </c>
      <c r="B49">
        <f>4000000/A49</f>
        <v>40</v>
      </c>
    </row>
    <row r="50" spans="1:2">
      <c r="A50">
        <v>150000</v>
      </c>
      <c r="B50">
        <f>5000000/A50</f>
        <v>33.333333333333336</v>
      </c>
    </row>
    <row r="52" spans="1:2">
      <c r="A52" t="s">
        <v>1612</v>
      </c>
    </row>
    <row r="53" spans="1:2">
      <c r="A53" t="s">
        <v>1250</v>
      </c>
    </row>
    <row r="54" spans="1:2">
      <c r="A54" t="s">
        <v>1613</v>
      </c>
    </row>
    <row r="56" spans="1:2">
      <c r="A56" s="17" t="s">
        <v>1917</v>
      </c>
    </row>
    <row r="57" spans="1:2">
      <c r="A57" s="17" t="s">
        <v>1918</v>
      </c>
    </row>
    <row r="58" spans="1:2">
      <c r="A58" s="17" t="s">
        <v>1919</v>
      </c>
    </row>
  </sheetData>
  <mergeCells count="8">
    <mergeCell ref="A25:D25"/>
    <mergeCell ref="A19:B19"/>
    <mergeCell ref="A1:F1"/>
    <mergeCell ref="A12:F12"/>
    <mergeCell ref="A13:B13"/>
    <mergeCell ref="A18:F18"/>
    <mergeCell ref="A7:B7"/>
    <mergeCell ref="C7:D7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/>
  <dimension ref="A1:AE1149"/>
  <sheetViews>
    <sheetView topLeftCell="A23" zoomScale="90" zoomScaleNormal="90" workbookViewId="0">
      <selection activeCell="C64" sqref="C64"/>
    </sheetView>
  </sheetViews>
  <sheetFormatPr baseColWidth="10" defaultColWidth="12.5" defaultRowHeight="15" customHeight="1"/>
  <cols>
    <col min="1" max="1" width="9.375" style="944" customWidth="1"/>
    <col min="2" max="2" width="42.875" style="944" customWidth="1"/>
    <col min="3" max="3" width="48.625" style="944" bestFit="1" customWidth="1"/>
    <col min="4" max="4" width="21.125" style="944" bestFit="1" customWidth="1"/>
    <col min="5" max="5" width="13.125" style="944" bestFit="1" customWidth="1"/>
    <col min="6" max="6" width="40.625" style="944" bestFit="1" customWidth="1"/>
    <col min="7" max="7" width="25.125" style="944" customWidth="1"/>
    <col min="8" max="8" width="18.125" style="944" bestFit="1" customWidth="1"/>
    <col min="9" max="9" width="21.5" style="944" customWidth="1"/>
    <col min="10" max="10" width="26.375" style="944" customWidth="1"/>
    <col min="11" max="11" width="14.125" style="944" bestFit="1" customWidth="1"/>
    <col min="12" max="12" width="18.125" style="944" bestFit="1" customWidth="1"/>
    <col min="13" max="13" width="13.875" style="944" bestFit="1" customWidth="1"/>
    <col min="14" max="14" width="18" style="944" bestFit="1" customWidth="1"/>
    <col min="15" max="15" width="13.125" style="944" bestFit="1" customWidth="1"/>
    <col min="16" max="16" width="15.375" style="944" bestFit="1" customWidth="1"/>
    <col min="17" max="17" width="15.625" style="944" customWidth="1"/>
    <col min="18" max="18" width="13.875" style="944" bestFit="1" customWidth="1"/>
    <col min="19" max="19" width="13.125" style="944" bestFit="1" customWidth="1"/>
    <col min="20" max="20" width="15.625" style="944" customWidth="1"/>
    <col min="21" max="27" width="9.375" style="944" customWidth="1"/>
    <col min="28" max="16384" width="12.5" style="944"/>
  </cols>
  <sheetData>
    <row r="1" spans="1:31">
      <c r="A1" s="943"/>
      <c r="B1" s="943"/>
      <c r="C1" s="943"/>
      <c r="D1" s="943"/>
      <c r="E1" s="943"/>
      <c r="F1" s="943"/>
      <c r="G1" s="943"/>
      <c r="H1" s="943"/>
      <c r="I1" s="943"/>
      <c r="J1" s="943"/>
      <c r="K1" s="943"/>
      <c r="L1" s="943"/>
      <c r="M1" s="943"/>
      <c r="N1" s="943"/>
      <c r="O1" s="943"/>
      <c r="P1" s="943"/>
      <c r="Q1" s="943"/>
      <c r="R1" s="943"/>
      <c r="S1" s="943"/>
      <c r="T1" s="943"/>
      <c r="U1" s="943"/>
      <c r="V1" s="943"/>
      <c r="W1" s="943"/>
      <c r="X1" s="943"/>
      <c r="Y1" s="943"/>
      <c r="Z1" s="943"/>
      <c r="AA1" s="943"/>
      <c r="AB1" s="943"/>
      <c r="AC1" s="943"/>
      <c r="AD1" s="943"/>
      <c r="AE1" s="943"/>
    </row>
    <row r="2" spans="1:31" ht="15" customHeight="1">
      <c r="A2" s="943"/>
      <c r="B2" s="945" t="s">
        <v>0</v>
      </c>
      <c r="C2" s="946" t="s">
        <v>531</v>
      </c>
      <c r="D2" s="947" t="s">
        <v>4</v>
      </c>
      <c r="E2" s="943"/>
      <c r="F2" s="945" t="s">
        <v>1</v>
      </c>
      <c r="G2" s="943"/>
      <c r="H2" s="948" t="s">
        <v>2</v>
      </c>
      <c r="I2" s="943"/>
      <c r="J2" s="949" t="str">
        <f>Graficas!K20</f>
        <v>Consumo unicamente en el dia</v>
      </c>
      <c r="K2" s="943"/>
      <c r="L2" s="943"/>
      <c r="M2" s="943"/>
      <c r="N2" s="943"/>
      <c r="O2" s="943"/>
      <c r="P2" s="943"/>
      <c r="Q2" s="943"/>
      <c r="R2" s="943"/>
      <c r="S2" s="943"/>
      <c r="T2" s="943"/>
      <c r="U2" s="943"/>
      <c r="V2" s="943"/>
      <c r="W2" s="943"/>
      <c r="X2" s="943"/>
      <c r="Y2" s="943"/>
      <c r="Z2" s="943"/>
      <c r="AA2" s="943"/>
      <c r="AB2" s="943"/>
      <c r="AC2" s="943"/>
      <c r="AD2" s="943"/>
      <c r="AE2" s="943"/>
    </row>
    <row r="3" spans="1:31">
      <c r="A3" s="943"/>
      <c r="B3" s="945" t="s">
        <v>3</v>
      </c>
      <c r="C3" s="950" t="s">
        <v>4</v>
      </c>
      <c r="D3" s="951" t="s">
        <v>8</v>
      </c>
      <c r="E3" s="943"/>
      <c r="F3" s="945" t="s">
        <v>5</v>
      </c>
      <c r="G3" s="943"/>
      <c r="H3" s="948" t="s">
        <v>6</v>
      </c>
      <c r="I3" s="943"/>
      <c r="J3" s="952" t="str">
        <f>Graficas!M20</f>
        <v>Consumo las 24 h</v>
      </c>
      <c r="K3" s="943"/>
      <c r="L3" s="943"/>
      <c r="M3" s="943"/>
      <c r="N3" s="943"/>
      <c r="O3" s="943"/>
      <c r="P3" s="943"/>
      <c r="Q3" s="943"/>
      <c r="R3" s="943"/>
      <c r="S3" s="943"/>
      <c r="T3" s="943"/>
      <c r="U3" s="943"/>
      <c r="V3" s="943"/>
      <c r="W3" s="943"/>
      <c r="X3" s="943"/>
      <c r="Y3" s="943"/>
      <c r="Z3" s="943"/>
      <c r="AA3" s="943"/>
      <c r="AB3" s="943"/>
      <c r="AC3" s="943"/>
      <c r="AD3" s="943"/>
      <c r="AE3" s="943"/>
    </row>
    <row r="4" spans="1:31" ht="15" customHeight="1">
      <c r="A4" s="943"/>
      <c r="B4" s="945" t="s">
        <v>7</v>
      </c>
      <c r="C4" s="950" t="s">
        <v>8</v>
      </c>
      <c r="D4" s="951"/>
      <c r="E4" s="943"/>
      <c r="F4" s="945" t="s">
        <v>9</v>
      </c>
      <c r="G4" s="943"/>
      <c r="H4" s="948" t="s">
        <v>7</v>
      </c>
      <c r="I4" s="943"/>
      <c r="J4" s="953" t="str">
        <f>Graficas!O20</f>
        <v>Consumo en las mañanas y en las noches</v>
      </c>
      <c r="K4" s="943"/>
      <c r="L4" s="943"/>
      <c r="M4" s="943"/>
      <c r="N4" s="943"/>
      <c r="O4" s="943"/>
      <c r="P4" s="943"/>
      <c r="Q4" s="943"/>
      <c r="R4" s="943"/>
      <c r="S4" s="943"/>
      <c r="T4" s="943"/>
      <c r="U4" s="943"/>
      <c r="V4" s="943"/>
      <c r="W4" s="943"/>
      <c r="X4" s="943"/>
      <c r="Y4" s="943"/>
      <c r="Z4" s="943"/>
      <c r="AA4" s="943"/>
      <c r="AB4" s="943"/>
      <c r="AC4" s="943"/>
      <c r="AD4" s="943"/>
      <c r="AE4" s="943"/>
    </row>
    <row r="5" spans="1:31">
      <c r="A5" s="943"/>
      <c r="B5" s="945" t="s">
        <v>10</v>
      </c>
      <c r="C5" s="954" t="s">
        <v>530</v>
      </c>
      <c r="D5" s="955"/>
      <c r="E5" s="943"/>
      <c r="F5" s="943"/>
      <c r="G5" s="943"/>
      <c r="H5" s="943"/>
      <c r="I5" s="943"/>
      <c r="J5" s="956"/>
      <c r="K5" s="943"/>
      <c r="L5" s="943"/>
      <c r="M5" s="943"/>
      <c r="N5" s="943"/>
      <c r="O5" s="943"/>
      <c r="P5" s="943"/>
      <c r="Q5" s="943"/>
      <c r="R5" s="943"/>
      <c r="S5" s="943"/>
      <c r="T5" s="943"/>
      <c r="U5" s="943"/>
      <c r="V5" s="943"/>
      <c r="W5" s="943"/>
      <c r="X5" s="943"/>
      <c r="Y5" s="943"/>
      <c r="Z5" s="943"/>
      <c r="AA5" s="943"/>
      <c r="AB5" s="943"/>
      <c r="AC5" s="943"/>
      <c r="AD5" s="943"/>
      <c r="AE5" s="943"/>
    </row>
    <row r="6" spans="1:31" ht="15" customHeight="1">
      <c r="A6" s="943"/>
      <c r="B6" s="943"/>
      <c r="C6" s="943"/>
      <c r="D6" s="943"/>
      <c r="E6" s="943"/>
      <c r="F6" s="943"/>
      <c r="G6" s="943"/>
      <c r="H6" s="943"/>
      <c r="I6" s="943"/>
      <c r="J6" s="943"/>
      <c r="K6" s="943"/>
      <c r="L6" s="943"/>
      <c r="M6" s="943"/>
      <c r="N6" s="943"/>
      <c r="O6" s="943"/>
      <c r="P6" s="943"/>
      <c r="Q6" s="943"/>
      <c r="R6" s="943"/>
      <c r="S6" s="943"/>
      <c r="T6" s="943"/>
      <c r="U6" s="943"/>
      <c r="V6" s="943"/>
      <c r="W6" s="943"/>
      <c r="X6" s="943"/>
      <c r="Y6" s="943"/>
      <c r="Z6" s="943"/>
      <c r="AA6" s="943"/>
      <c r="AB6" s="943"/>
      <c r="AC6" s="943"/>
      <c r="AD6" s="943"/>
      <c r="AE6" s="943"/>
    </row>
    <row r="7" spans="1:31">
      <c r="A7" s="943"/>
      <c r="B7" s="957" t="s">
        <v>11</v>
      </c>
      <c r="C7" s="958"/>
      <c r="D7" s="958"/>
      <c r="E7" s="958"/>
      <c r="F7" s="958"/>
      <c r="G7" s="958"/>
      <c r="H7" s="958"/>
      <c r="I7" s="958"/>
      <c r="J7" s="959"/>
      <c r="K7" s="958"/>
      <c r="L7" s="943"/>
      <c r="M7" s="943"/>
      <c r="N7" s="943"/>
      <c r="O7" s="943"/>
      <c r="P7" s="943"/>
      <c r="Q7" s="943"/>
      <c r="R7" s="943"/>
      <c r="S7" s="943"/>
      <c r="T7" s="943"/>
      <c r="U7" s="943"/>
      <c r="V7" s="943"/>
      <c r="W7" s="943"/>
      <c r="X7" s="943"/>
      <c r="Y7" s="943"/>
      <c r="Z7" s="943"/>
      <c r="AA7" s="943"/>
      <c r="AB7" s="943"/>
      <c r="AC7" s="943"/>
      <c r="AD7" s="943"/>
      <c r="AE7" s="943"/>
    </row>
    <row r="8" spans="1:31" ht="30">
      <c r="A8" s="943"/>
      <c r="B8" s="960" t="s">
        <v>12</v>
      </c>
      <c r="C8" s="961" t="s">
        <v>140</v>
      </c>
      <c r="D8" s="961" t="s">
        <v>14</v>
      </c>
      <c r="E8" s="961" t="s">
        <v>15</v>
      </c>
      <c r="F8" s="961" t="s">
        <v>16</v>
      </c>
      <c r="G8" s="961" t="s">
        <v>17</v>
      </c>
      <c r="H8" s="961" t="s">
        <v>18</v>
      </c>
      <c r="I8" s="961" t="s">
        <v>19</v>
      </c>
      <c r="J8" s="961" t="s">
        <v>48</v>
      </c>
      <c r="K8" s="962" t="s">
        <v>1251</v>
      </c>
      <c r="L8" s="962" t="s">
        <v>1126</v>
      </c>
      <c r="M8" s="962" t="s">
        <v>3872</v>
      </c>
      <c r="N8" s="963" t="s">
        <v>194</v>
      </c>
      <c r="O8" s="943"/>
      <c r="P8" s="943"/>
      <c r="Q8" s="943"/>
      <c r="R8" s="943"/>
      <c r="S8" s="943"/>
      <c r="T8" s="943"/>
      <c r="U8" s="943"/>
      <c r="V8" s="943"/>
      <c r="W8" s="943"/>
      <c r="X8" s="943"/>
      <c r="Y8" s="943"/>
      <c r="Z8" s="943"/>
      <c r="AA8" s="943"/>
      <c r="AB8" s="943"/>
      <c r="AC8" s="943"/>
      <c r="AD8" s="943"/>
      <c r="AE8" s="943"/>
    </row>
    <row r="9" spans="1:31">
      <c r="A9" s="943"/>
      <c r="B9" s="964" t="s">
        <v>1839</v>
      </c>
      <c r="C9" s="964" t="s">
        <v>4555</v>
      </c>
      <c r="D9" s="965">
        <v>0.48</v>
      </c>
      <c r="E9" s="965">
        <v>0.67</v>
      </c>
      <c r="F9" s="965">
        <v>17.5</v>
      </c>
      <c r="G9" s="965">
        <v>40</v>
      </c>
      <c r="H9" s="965">
        <v>21.6</v>
      </c>
      <c r="I9" s="965">
        <v>2.59</v>
      </c>
      <c r="J9" s="966">
        <v>0.12429999999999999</v>
      </c>
      <c r="K9" s="967">
        <v>2.29</v>
      </c>
      <c r="L9" s="968">
        <v>1300</v>
      </c>
      <c r="M9" s="969">
        <f>+Tabla91626[[#This Row],[Ancho (m)]]*Tabla91626[[#This Row],[Largo (m)]]</f>
        <v>0.3216</v>
      </c>
      <c r="N9" s="970">
        <f>+Tabla91626[[#This Row],[Costo Wp]]*Tabla91626[[#This Row],[Potencia Pico (W)]]</f>
        <v>52000</v>
      </c>
      <c r="O9" s="943"/>
      <c r="P9" s="943"/>
      <c r="Q9" s="943"/>
      <c r="R9" s="943"/>
      <c r="S9" s="943"/>
      <c r="T9" s="943"/>
      <c r="U9" s="943"/>
      <c r="V9" s="943"/>
      <c r="W9" s="943"/>
      <c r="X9" s="943"/>
      <c r="Y9" s="943"/>
      <c r="Z9" s="943"/>
      <c r="AA9" s="943"/>
      <c r="AB9" s="943"/>
      <c r="AC9" s="943"/>
      <c r="AD9" s="943"/>
      <c r="AE9" s="943"/>
    </row>
    <row r="10" spans="1:31">
      <c r="A10" s="943"/>
      <c r="B10" s="964" t="s">
        <v>1840</v>
      </c>
      <c r="C10" s="964" t="s">
        <v>4556</v>
      </c>
      <c r="D10" s="965">
        <v>0.67</v>
      </c>
      <c r="E10" s="965">
        <v>0.67500000000000004</v>
      </c>
      <c r="F10" s="965">
        <v>17.5</v>
      </c>
      <c r="G10" s="965">
        <v>60</v>
      </c>
      <c r="H10" s="965">
        <v>21.6</v>
      </c>
      <c r="I10" s="965">
        <v>3.87</v>
      </c>
      <c r="J10" s="966">
        <v>0.1326</v>
      </c>
      <c r="K10" s="967">
        <v>3.43</v>
      </c>
      <c r="L10" s="968">
        <v>1300</v>
      </c>
      <c r="M10" s="969">
        <f>+Tabla91626[[#This Row],[Ancho (m)]]*Tabla91626[[#This Row],[Largo (m)]]</f>
        <v>0.45225000000000004</v>
      </c>
      <c r="N10" s="970">
        <f>+Tabla91626[[#This Row],[Costo Wp]]*Tabla91626[[#This Row],[Potencia Pico (W)]]</f>
        <v>78000</v>
      </c>
      <c r="O10" s="943"/>
      <c r="P10" s="943"/>
      <c r="Q10" s="943"/>
      <c r="R10" s="943"/>
      <c r="S10" s="943"/>
      <c r="T10" s="943"/>
      <c r="U10" s="943"/>
      <c r="V10" s="943"/>
      <c r="W10" s="943"/>
      <c r="X10" s="943"/>
      <c r="Y10" s="943"/>
      <c r="Z10" s="943"/>
      <c r="AA10" s="943"/>
      <c r="AB10" s="943"/>
      <c r="AC10" s="943"/>
      <c r="AD10" s="943"/>
      <c r="AE10" s="943"/>
    </row>
    <row r="11" spans="1:31">
      <c r="A11" s="943"/>
      <c r="B11" s="964" t="s">
        <v>1841</v>
      </c>
      <c r="C11" s="964" t="s">
        <v>4557</v>
      </c>
      <c r="D11" s="965">
        <v>0.67</v>
      </c>
      <c r="E11" s="965">
        <v>0.875</v>
      </c>
      <c r="F11" s="965">
        <v>17.5</v>
      </c>
      <c r="G11" s="965">
        <v>80</v>
      </c>
      <c r="H11" s="965">
        <v>21.6</v>
      </c>
      <c r="I11" s="965">
        <v>5.17</v>
      </c>
      <c r="J11" s="966">
        <v>0.13639999999999999</v>
      </c>
      <c r="K11" s="967">
        <v>4.58</v>
      </c>
      <c r="L11" s="968">
        <v>1300</v>
      </c>
      <c r="M11" s="969">
        <f>+Tabla91626[[#This Row],[Ancho (m)]]*Tabla91626[[#This Row],[Largo (m)]]</f>
        <v>0.58625000000000005</v>
      </c>
      <c r="N11" s="970">
        <f>+Tabla91626[[#This Row],[Costo Wp]]*Tabla91626[[#This Row],[Potencia Pico (W)]]</f>
        <v>104000</v>
      </c>
      <c r="O11" s="943"/>
      <c r="P11" s="943"/>
      <c r="Q11" s="943"/>
      <c r="R11" s="943"/>
      <c r="S11" s="943"/>
      <c r="T11" s="943"/>
      <c r="U11" s="943"/>
      <c r="V11" s="943"/>
      <c r="W11" s="943"/>
      <c r="X11" s="943"/>
      <c r="Y11" s="943"/>
      <c r="Z11" s="943"/>
      <c r="AA11" s="943"/>
      <c r="AB11" s="943"/>
      <c r="AC11" s="943"/>
      <c r="AD11" s="943"/>
      <c r="AE11" s="943"/>
    </row>
    <row r="12" spans="1:31">
      <c r="A12" s="943"/>
      <c r="B12" s="964" t="s">
        <v>1842</v>
      </c>
      <c r="C12" s="964" t="s">
        <v>4558</v>
      </c>
      <c r="D12" s="965">
        <v>0.66800000000000004</v>
      </c>
      <c r="E12" s="965">
        <v>1.0049999999999999</v>
      </c>
      <c r="F12" s="965">
        <v>19.12</v>
      </c>
      <c r="G12" s="965">
        <v>100</v>
      </c>
      <c r="H12" s="965">
        <v>22.69</v>
      </c>
      <c r="I12" s="965">
        <v>5.6</v>
      </c>
      <c r="J12" s="966">
        <v>0.14899999999999999</v>
      </c>
      <c r="K12" s="967">
        <v>5.24</v>
      </c>
      <c r="L12" s="968">
        <v>1300</v>
      </c>
      <c r="M12" s="969">
        <f>+Tabla91626[[#This Row],[Ancho (m)]]*Tabla91626[[#This Row],[Largo (m)]]</f>
        <v>0.67133999999999994</v>
      </c>
      <c r="N12" s="970">
        <f>+Tabla91626[[#This Row],[Costo Wp]]*Tabla91626[[#This Row],[Potencia Pico (W)]]</f>
        <v>130000</v>
      </c>
      <c r="O12" s="943"/>
      <c r="P12" s="943"/>
      <c r="Q12" s="943"/>
      <c r="R12" s="943"/>
      <c r="S12" s="943"/>
      <c r="T12" s="943"/>
      <c r="U12" s="943"/>
      <c r="V12" s="943"/>
      <c r="W12" s="943"/>
      <c r="X12" s="943"/>
      <c r="Y12" s="943"/>
      <c r="Z12" s="943"/>
      <c r="AA12" s="943"/>
      <c r="AB12" s="943"/>
      <c r="AC12" s="943"/>
      <c r="AD12" s="943"/>
      <c r="AE12" s="943"/>
    </row>
    <row r="13" spans="1:31">
      <c r="A13" s="943"/>
      <c r="B13" s="964" t="s">
        <v>1843</v>
      </c>
      <c r="C13" s="964" t="s">
        <v>4559</v>
      </c>
      <c r="D13" s="965">
        <v>0.68</v>
      </c>
      <c r="E13" s="965">
        <v>1.482</v>
      </c>
      <c r="F13" s="965">
        <v>18</v>
      </c>
      <c r="G13" s="965">
        <v>140</v>
      </c>
      <c r="H13" s="965">
        <v>22</v>
      </c>
      <c r="I13" s="965">
        <v>8.7899999999999991</v>
      </c>
      <c r="J13" s="966">
        <v>0.1389</v>
      </c>
      <c r="K13" s="967">
        <v>7.78</v>
      </c>
      <c r="L13" s="968">
        <v>1300</v>
      </c>
      <c r="M13" s="969">
        <f>+Tabla91626[[#This Row],[Ancho (m)]]*Tabla91626[[#This Row],[Largo (m)]]</f>
        <v>1.00776</v>
      </c>
      <c r="N13" s="970">
        <f>+Tabla91626[[#This Row],[Costo Wp]]*Tabla91626[[#This Row],[Potencia Pico (W)]]</f>
        <v>182000</v>
      </c>
      <c r="O13" s="943"/>
      <c r="P13" s="943"/>
      <c r="Q13" s="943"/>
      <c r="R13" s="943"/>
      <c r="S13" s="943"/>
      <c r="T13" s="943"/>
      <c r="U13" s="943"/>
      <c r="V13" s="943"/>
      <c r="W13" s="943"/>
      <c r="X13" s="943"/>
      <c r="Y13" s="943"/>
      <c r="Z13" s="943"/>
      <c r="AA13" s="943"/>
      <c r="AB13" s="943"/>
      <c r="AC13" s="943"/>
      <c r="AD13" s="943"/>
      <c r="AE13" s="943"/>
    </row>
    <row r="14" spans="1:31">
      <c r="A14" s="943"/>
      <c r="B14" s="971" t="s">
        <v>1844</v>
      </c>
      <c r="C14" s="971" t="s">
        <v>4560</v>
      </c>
      <c r="D14" s="972">
        <v>0.99199999999999999</v>
      </c>
      <c r="E14" s="972">
        <v>1.3320000000000001</v>
      </c>
      <c r="F14" s="972">
        <v>18.2</v>
      </c>
      <c r="G14" s="972">
        <v>200</v>
      </c>
      <c r="H14" s="972">
        <v>22.7</v>
      </c>
      <c r="I14" s="972">
        <v>11.86</v>
      </c>
      <c r="J14" s="973">
        <v>0.151</v>
      </c>
      <c r="K14" s="967">
        <v>11</v>
      </c>
      <c r="L14" s="968">
        <v>1300</v>
      </c>
      <c r="M14" s="969">
        <f>+Tabla91626[[#This Row],[Ancho (m)]]*Tabla91626[[#This Row],[Largo (m)]]</f>
        <v>1.3213440000000001</v>
      </c>
      <c r="N14" s="970">
        <f>+Tabla91626[[#This Row],[Costo Wp]]*Tabla91626[[#This Row],[Potencia Pico (W)]]</f>
        <v>260000</v>
      </c>
      <c r="O14" s="943"/>
      <c r="P14" s="943"/>
      <c r="Q14" s="943"/>
      <c r="R14" s="943"/>
      <c r="S14" s="943"/>
      <c r="T14" s="943"/>
      <c r="U14" s="943"/>
      <c r="V14" s="943"/>
      <c r="W14" s="943"/>
      <c r="X14" s="943"/>
      <c r="Y14" s="943"/>
      <c r="Z14" s="943"/>
      <c r="AA14" s="943"/>
      <c r="AB14" s="943"/>
      <c r="AC14" s="943"/>
      <c r="AD14" s="943"/>
      <c r="AE14" s="943"/>
    </row>
    <row r="15" spans="1:31">
      <c r="A15" s="943"/>
      <c r="B15" s="971" t="s">
        <v>1845</v>
      </c>
      <c r="C15" s="971" t="s">
        <v>4561</v>
      </c>
      <c r="D15" s="972">
        <v>0.99</v>
      </c>
      <c r="E15" s="972">
        <v>1.96</v>
      </c>
      <c r="F15" s="972">
        <v>36.6</v>
      </c>
      <c r="G15" s="972">
        <v>310</v>
      </c>
      <c r="H15" s="972">
        <v>45.6</v>
      </c>
      <c r="I15" s="972">
        <v>8.99</v>
      </c>
      <c r="J15" s="973">
        <v>0.16</v>
      </c>
      <c r="K15" s="967">
        <v>8.5299999999999994</v>
      </c>
      <c r="L15" s="968">
        <v>1300</v>
      </c>
      <c r="M15" s="969">
        <f>+Tabla91626[[#This Row],[Ancho (m)]]*Tabla91626[[#This Row],[Largo (m)]]</f>
        <v>1.9403999999999999</v>
      </c>
      <c r="N15" s="970">
        <f>+Tabla91626[[#This Row],[Costo Wp]]*Tabla91626[[#This Row],[Potencia Pico (W)]]</f>
        <v>403000</v>
      </c>
      <c r="O15" s="943"/>
      <c r="P15" s="943"/>
      <c r="Q15" s="943"/>
      <c r="R15" s="943"/>
      <c r="S15" s="943"/>
      <c r="T15" s="943"/>
      <c r="U15" s="943"/>
      <c r="V15" s="943"/>
      <c r="W15" s="943"/>
      <c r="X15" s="943"/>
      <c r="Y15" s="943"/>
      <c r="Z15" s="943"/>
      <c r="AA15" s="943"/>
      <c r="AB15" s="943"/>
      <c r="AC15" s="943"/>
      <c r="AD15" s="943"/>
      <c r="AE15" s="943"/>
    </row>
    <row r="16" spans="1:31">
      <c r="A16" s="943"/>
      <c r="B16" s="974" t="s">
        <v>1191</v>
      </c>
      <c r="C16" s="974" t="s">
        <v>1191</v>
      </c>
      <c r="D16" s="965"/>
      <c r="E16" s="965"/>
      <c r="F16" s="965"/>
      <c r="G16" s="965">
        <v>360</v>
      </c>
      <c r="H16" s="965"/>
      <c r="I16" s="965"/>
      <c r="J16" s="966"/>
      <c r="K16" s="975"/>
      <c r="L16" s="968">
        <v>1300</v>
      </c>
      <c r="M16" s="969">
        <f>+Tabla91626[[#This Row],[Ancho (m)]]*Tabla91626[[#This Row],[Largo (m)]]</f>
        <v>0</v>
      </c>
      <c r="N16" s="970">
        <f>+Tabla91626[[#This Row],[Costo Wp]]*Tabla91626[[#This Row],[Potencia Pico (W)]]</f>
        <v>468000</v>
      </c>
      <c r="O16" s="943"/>
      <c r="P16" s="943"/>
      <c r="Q16" s="943"/>
      <c r="R16" s="943"/>
      <c r="S16" s="943"/>
      <c r="T16" s="943"/>
      <c r="U16" s="943"/>
      <c r="V16" s="943"/>
      <c r="W16" s="943"/>
      <c r="X16" s="943"/>
      <c r="Y16" s="943"/>
      <c r="Z16" s="943"/>
      <c r="AA16" s="943"/>
      <c r="AB16" s="943"/>
      <c r="AC16" s="943"/>
      <c r="AD16" s="943"/>
      <c r="AE16" s="943"/>
    </row>
    <row r="17" spans="1:31">
      <c r="A17" s="943"/>
      <c r="B17" s="976" t="s">
        <v>1297</v>
      </c>
      <c r="C17" s="976" t="s">
        <v>1297</v>
      </c>
      <c r="D17" s="972">
        <v>1.0209999999999999</v>
      </c>
      <c r="E17" s="972">
        <v>2.1680000000000001</v>
      </c>
      <c r="F17" s="972">
        <v>43.73</v>
      </c>
      <c r="G17" s="972">
        <v>445</v>
      </c>
      <c r="H17" s="972">
        <v>52.48</v>
      </c>
      <c r="I17" s="972">
        <v>10.82</v>
      </c>
      <c r="J17" s="973">
        <v>0.20200000000000001</v>
      </c>
      <c r="K17" s="977">
        <v>10.18</v>
      </c>
      <c r="L17" s="968">
        <v>1300</v>
      </c>
      <c r="M17" s="969">
        <f>+Tabla91626[[#This Row],[Ancho (m)]]*Tabla91626[[#This Row],[Largo (m)]]</f>
        <v>2.2135280000000002</v>
      </c>
      <c r="N17" s="970">
        <f>+Tabla91626[[#This Row],[Costo Wp]]*Tabla91626[[#This Row],[Potencia Pico (W)]]</f>
        <v>578500</v>
      </c>
      <c r="O17" s="943"/>
      <c r="P17" s="943"/>
      <c r="Q17" s="943"/>
      <c r="R17" s="943"/>
      <c r="S17" s="943"/>
      <c r="T17" s="943"/>
      <c r="U17" s="943"/>
      <c r="V17" s="943"/>
      <c r="W17" s="943"/>
      <c r="X17" s="943"/>
      <c r="Y17" s="943"/>
      <c r="Z17" s="943"/>
      <c r="AA17" s="943"/>
      <c r="AB17" s="943"/>
      <c r="AC17" s="943"/>
      <c r="AD17" s="943"/>
      <c r="AE17" s="943"/>
    </row>
    <row r="18" spans="1:31">
      <c r="A18" s="943"/>
      <c r="B18" s="978" t="s">
        <v>1432</v>
      </c>
      <c r="C18" s="978" t="s">
        <v>1432</v>
      </c>
      <c r="D18" s="965">
        <v>1.1339999999999999</v>
      </c>
      <c r="E18" s="965">
        <v>2.274</v>
      </c>
      <c r="F18" s="965">
        <v>40.630000000000003</v>
      </c>
      <c r="G18" s="965">
        <v>540</v>
      </c>
      <c r="H18" s="965">
        <v>49.34</v>
      </c>
      <c r="I18" s="965">
        <v>13.81</v>
      </c>
      <c r="J18" s="966">
        <v>0.20749999999999999</v>
      </c>
      <c r="K18" s="977">
        <v>13.2</v>
      </c>
      <c r="L18" s="968">
        <v>1300</v>
      </c>
      <c r="M18" s="969">
        <f>+Tabla91626[[#This Row],[Ancho (m)]]*Tabla91626[[#This Row],[Largo (m)]]</f>
        <v>2.578716</v>
      </c>
      <c r="N18" s="970">
        <f>+Tabla91626[[#This Row],[Costo Wp]]*Tabla91626[[#This Row],[Potencia Pico (W)]]</f>
        <v>702000</v>
      </c>
      <c r="O18" s="943"/>
      <c r="P18" s="943"/>
      <c r="Q18" s="943"/>
      <c r="R18" s="943"/>
      <c r="S18" s="943"/>
      <c r="T18" s="943"/>
      <c r="U18" s="943"/>
      <c r="V18" s="943"/>
      <c r="W18" s="943"/>
      <c r="X18" s="943"/>
      <c r="Y18" s="943"/>
      <c r="Z18" s="943"/>
      <c r="AA18" s="943"/>
      <c r="AB18" s="943"/>
      <c r="AC18" s="943"/>
      <c r="AD18" s="943"/>
      <c r="AE18" s="943"/>
    </row>
    <row r="19" spans="1:31">
      <c r="A19" s="943"/>
      <c r="B19" s="978" t="s">
        <v>2700</v>
      </c>
      <c r="C19" s="978" t="s">
        <v>2700</v>
      </c>
      <c r="D19" s="965">
        <v>1.1339999999999999</v>
      </c>
      <c r="E19" s="965">
        <v>2.274</v>
      </c>
      <c r="F19" s="965">
        <v>40.630000000000003</v>
      </c>
      <c r="G19" s="965">
        <v>545</v>
      </c>
      <c r="H19" s="965">
        <v>49.34</v>
      </c>
      <c r="I19" s="965">
        <v>13.7</v>
      </c>
      <c r="J19" s="966">
        <v>0.20749999999999999</v>
      </c>
      <c r="K19" s="977">
        <v>13.2</v>
      </c>
      <c r="L19" s="979">
        <v>610</v>
      </c>
      <c r="M19" s="969">
        <f>+Tabla91626[[#This Row],[Ancho (m)]]*Tabla91626[[#This Row],[Largo (m)]]</f>
        <v>2.578716</v>
      </c>
      <c r="N19" s="970">
        <f>+Tabla91626[[#This Row],[Costo Wp]]*Tabla91626[[#This Row],[Potencia Pico (W)]]</f>
        <v>332450</v>
      </c>
      <c r="O19" s="943"/>
      <c r="P19" s="943"/>
      <c r="Q19" s="943"/>
      <c r="R19" s="943"/>
      <c r="S19" s="943"/>
      <c r="T19" s="943"/>
      <c r="U19" s="943"/>
      <c r="V19" s="943"/>
      <c r="W19" s="943"/>
      <c r="X19" s="943"/>
      <c r="Y19" s="943"/>
      <c r="Z19" s="943"/>
      <c r="AA19" s="943"/>
      <c r="AB19" s="943"/>
      <c r="AC19" s="943"/>
      <c r="AD19" s="943"/>
      <c r="AE19" s="943"/>
    </row>
    <row r="20" spans="1:31">
      <c r="A20" s="943"/>
      <c r="B20" s="978" t="s">
        <v>2221</v>
      </c>
      <c r="C20" s="978" t="s">
        <v>2221</v>
      </c>
      <c r="D20" s="965">
        <v>1.1339999999999999</v>
      </c>
      <c r="E20" s="965">
        <v>2.274</v>
      </c>
      <c r="F20" s="965">
        <v>40.630000000000003</v>
      </c>
      <c r="G20" s="965">
        <v>550</v>
      </c>
      <c r="H20" s="965">
        <v>49.34</v>
      </c>
      <c r="I20" s="965">
        <v>13.81</v>
      </c>
      <c r="J20" s="966">
        <v>0.215</v>
      </c>
      <c r="K20" s="977">
        <v>13.2</v>
      </c>
      <c r="L20" s="968">
        <v>1150</v>
      </c>
      <c r="M20" s="969">
        <f>+Tabla91626[[#This Row],[Ancho (m)]]*Tabla91626[[#This Row],[Largo (m)]]</f>
        <v>2.578716</v>
      </c>
      <c r="N20" s="970">
        <f>+Tabla91626[[#This Row],[Costo Wp]]*Tabla91626[[#This Row],[Potencia Pico (W)]]</f>
        <v>632500</v>
      </c>
      <c r="O20" s="943"/>
      <c r="P20" s="943"/>
      <c r="Q20" s="943"/>
      <c r="R20" s="943"/>
      <c r="S20" s="943"/>
      <c r="T20" s="943"/>
      <c r="U20" s="943"/>
      <c r="V20" s="943"/>
      <c r="W20" s="943"/>
      <c r="X20" s="943"/>
      <c r="Y20" s="943"/>
      <c r="Z20" s="943"/>
      <c r="AA20" s="943"/>
      <c r="AB20" s="943"/>
      <c r="AC20" s="943"/>
      <c r="AD20" s="943"/>
      <c r="AE20" s="943"/>
    </row>
    <row r="21" spans="1:31">
      <c r="A21" s="943"/>
      <c r="B21" s="978" t="s">
        <v>2867</v>
      </c>
      <c r="C21" s="978" t="s">
        <v>2867</v>
      </c>
      <c r="D21" s="965">
        <v>1.1339999999999999</v>
      </c>
      <c r="E21" s="965">
        <v>2.274</v>
      </c>
      <c r="F21" s="965">
        <v>40.630000000000003</v>
      </c>
      <c r="G21" s="965">
        <v>570</v>
      </c>
      <c r="H21" s="965">
        <v>49.34</v>
      </c>
      <c r="I21" s="965">
        <v>13.81</v>
      </c>
      <c r="J21" s="966">
        <v>0.215</v>
      </c>
      <c r="K21" s="977">
        <v>13.2</v>
      </c>
      <c r="L21" s="968">
        <v>1150</v>
      </c>
      <c r="M21" s="969">
        <f>+Tabla91626[[#This Row],[Ancho (m)]]*Tabla91626[[#This Row],[Largo (m)]]</f>
        <v>2.578716</v>
      </c>
      <c r="N21" s="970">
        <f>+Tabla91626[[#This Row],[Costo Wp]]*Tabla91626[[#This Row],[Potencia Pico (W)]]</f>
        <v>655500</v>
      </c>
      <c r="O21" s="943"/>
      <c r="P21" s="943"/>
      <c r="Q21" s="943"/>
      <c r="R21" s="943"/>
      <c r="S21" s="943"/>
      <c r="T21" s="943"/>
      <c r="U21" s="943"/>
      <c r="V21" s="943"/>
      <c r="W21" s="943"/>
      <c r="X21" s="943"/>
      <c r="Y21" s="943"/>
      <c r="Z21" s="943"/>
      <c r="AA21" s="943"/>
      <c r="AB21" s="943"/>
      <c r="AC21" s="943"/>
      <c r="AD21" s="943"/>
      <c r="AE21" s="943"/>
    </row>
    <row r="22" spans="1:31">
      <c r="A22" s="943"/>
      <c r="B22" s="978" t="s">
        <v>3767</v>
      </c>
      <c r="C22" s="978" t="str">
        <f>Tabla91626[[#This Row],[Tipo de Panel]]</f>
        <v>Panel solar Monocristalino  HalfCell (575W)</v>
      </c>
      <c r="D22" s="965">
        <v>1.1339999999999999</v>
      </c>
      <c r="E22" s="965">
        <v>2.274</v>
      </c>
      <c r="F22" s="965">
        <v>40.630000000000003</v>
      </c>
      <c r="G22" s="965">
        <v>570</v>
      </c>
      <c r="H22" s="965">
        <v>49.34</v>
      </c>
      <c r="I22" s="965">
        <v>13.81</v>
      </c>
      <c r="J22" s="966">
        <v>0.215</v>
      </c>
      <c r="K22" s="977">
        <v>13.2</v>
      </c>
      <c r="L22" s="979">
        <v>700</v>
      </c>
      <c r="M22" s="969">
        <f>+Tabla91626[[#This Row],[Ancho (m)]]*Tabla91626[[#This Row],[Largo (m)]]</f>
        <v>2.578716</v>
      </c>
      <c r="N22" s="970">
        <f>+Tabla91626[[#This Row],[Costo Wp]]*Tabla91626[[#This Row],[Potencia Pico (W)]]</f>
        <v>399000</v>
      </c>
      <c r="O22" s="943"/>
      <c r="P22" s="943"/>
      <c r="Q22" s="943"/>
      <c r="R22" s="943"/>
      <c r="S22" s="943"/>
      <c r="T22" s="943"/>
      <c r="U22" s="943"/>
      <c r="V22" s="943"/>
      <c r="W22" s="943"/>
      <c r="X22" s="943"/>
      <c r="Y22" s="943"/>
      <c r="Z22" s="943"/>
      <c r="AA22" s="943"/>
      <c r="AB22" s="943"/>
      <c r="AC22" s="943"/>
      <c r="AD22" s="943"/>
      <c r="AE22" s="943"/>
    </row>
    <row r="23" spans="1:31">
      <c r="A23" s="943"/>
      <c r="B23" s="978" t="s">
        <v>3768</v>
      </c>
      <c r="C23" s="978" t="str">
        <f>Tabla91626[[#This Row],[Tipo de Panel]]</f>
        <v>Panel solar Monocristalino  HalfCell (580W)</v>
      </c>
      <c r="D23" s="965">
        <v>1.1339999999999999</v>
      </c>
      <c r="E23" s="965">
        <v>2.274</v>
      </c>
      <c r="F23" s="965">
        <v>40.630000000000003</v>
      </c>
      <c r="G23" s="965">
        <v>570</v>
      </c>
      <c r="H23" s="965">
        <v>49.34</v>
      </c>
      <c r="I23" s="965">
        <v>13.81</v>
      </c>
      <c r="J23" s="966">
        <v>0.215</v>
      </c>
      <c r="K23" s="977">
        <v>13.2</v>
      </c>
      <c r="L23" s="968">
        <v>700</v>
      </c>
      <c r="M23" s="969">
        <f>+Tabla91626[[#This Row],[Ancho (m)]]*Tabla91626[[#This Row],[Largo (m)]]</f>
        <v>2.578716</v>
      </c>
      <c r="N23" s="970">
        <f>+Tabla91626[[#This Row],[Costo Wp]]*Tabla91626[[#This Row],[Potencia Pico (W)]]</f>
        <v>399000</v>
      </c>
      <c r="O23" s="943"/>
      <c r="P23" s="943"/>
      <c r="Q23" s="943"/>
      <c r="R23" s="943"/>
      <c r="S23" s="943"/>
      <c r="T23" s="943"/>
      <c r="U23" s="943"/>
      <c r="V23" s="943"/>
      <c r="W23" s="943"/>
      <c r="X23" s="943"/>
      <c r="Y23" s="943"/>
      <c r="Z23" s="943"/>
      <c r="AA23" s="943"/>
      <c r="AB23" s="943"/>
      <c r="AC23" s="943"/>
      <c r="AD23" s="943"/>
      <c r="AE23" s="943"/>
    </row>
    <row r="24" spans="1:31">
      <c r="A24" s="943"/>
      <c r="B24" s="978" t="s">
        <v>3321</v>
      </c>
      <c r="C24" s="978" t="s">
        <v>3321</v>
      </c>
      <c r="D24" s="965">
        <v>1.1339999999999999</v>
      </c>
      <c r="E24" s="965">
        <v>2.278</v>
      </c>
      <c r="F24" s="965">
        <v>44.21</v>
      </c>
      <c r="G24" s="965">
        <v>585</v>
      </c>
      <c r="H24" s="965">
        <v>52.36</v>
      </c>
      <c r="I24" s="965">
        <v>14.27</v>
      </c>
      <c r="J24" s="966">
        <v>0.22600000000000001</v>
      </c>
      <c r="K24" s="977">
        <v>13.24</v>
      </c>
      <c r="L24" s="979">
        <v>650</v>
      </c>
      <c r="M24" s="969">
        <f>+Tabla91626[[#This Row],[Ancho (m)]]*Tabla91626[[#This Row],[Largo (m)]]</f>
        <v>2.5832519999999999</v>
      </c>
      <c r="N24" s="970">
        <f>+Tabla91626[[#This Row],[Costo Wp]]*Tabla91626[[#This Row],[Potencia Pico (W)]]</f>
        <v>380250</v>
      </c>
      <c r="O24" s="943"/>
      <c r="P24" s="943"/>
      <c r="Q24" s="943"/>
      <c r="R24" s="943"/>
      <c r="S24" s="943"/>
      <c r="T24" s="943"/>
      <c r="U24" s="943"/>
      <c r="V24" s="943"/>
      <c r="W24" s="943"/>
      <c r="X24" s="943"/>
      <c r="Y24" s="943"/>
      <c r="Z24" s="943"/>
      <c r="AA24" s="943"/>
      <c r="AB24" s="943"/>
      <c r="AC24" s="943"/>
      <c r="AD24" s="943"/>
      <c r="AE24" s="943"/>
    </row>
    <row r="25" spans="1:31" ht="15.75" customHeight="1">
      <c r="A25" s="943"/>
      <c r="B25" s="943"/>
      <c r="C25" s="980" t="s">
        <v>269</v>
      </c>
      <c r="D25" s="943"/>
      <c r="E25" s="943"/>
      <c r="F25" s="943"/>
      <c r="G25" s="943"/>
      <c r="H25" s="943"/>
      <c r="I25" s="943"/>
      <c r="J25" s="943"/>
      <c r="K25" s="943"/>
      <c r="L25" s="943"/>
      <c r="M25" s="943"/>
      <c r="N25" s="943"/>
      <c r="O25" s="943"/>
      <c r="P25" s="943"/>
      <c r="Q25" s="943"/>
      <c r="R25" s="943"/>
      <c r="S25" s="943"/>
      <c r="T25" s="943"/>
      <c r="U25" s="943"/>
      <c r="V25" s="943"/>
      <c r="W25" s="943"/>
      <c r="X25" s="943"/>
      <c r="Y25" s="943"/>
      <c r="Z25" s="943"/>
      <c r="AA25" s="943"/>
      <c r="AB25" s="943"/>
      <c r="AC25" s="943"/>
      <c r="AD25" s="943"/>
      <c r="AE25" s="943"/>
    </row>
    <row r="26" spans="1:31" ht="15.75" customHeight="1">
      <c r="A26" s="943"/>
      <c r="B26" s="981" t="s">
        <v>34</v>
      </c>
      <c r="C26" s="982" t="s">
        <v>270</v>
      </c>
      <c r="D26" s="958"/>
      <c r="E26" s="958"/>
      <c r="F26" s="958"/>
      <c r="G26" s="958"/>
      <c r="H26" s="958"/>
      <c r="I26" s="958"/>
      <c r="J26" s="958"/>
      <c r="K26" s="958"/>
      <c r="L26" s="943"/>
      <c r="M26" s="943"/>
      <c r="N26" s="943"/>
      <c r="O26" s="943"/>
      <c r="P26" s="943"/>
      <c r="Q26" s="943"/>
      <c r="R26" s="943"/>
      <c r="S26" s="943"/>
      <c r="T26" s="943"/>
      <c r="U26" s="943"/>
      <c r="V26" s="943"/>
      <c r="W26" s="943"/>
      <c r="X26" s="943"/>
      <c r="Y26" s="943"/>
      <c r="Z26" s="943"/>
      <c r="AA26" s="943"/>
      <c r="AB26" s="943"/>
      <c r="AC26" s="943"/>
      <c r="AD26" s="943"/>
      <c r="AE26" s="943"/>
    </row>
    <row r="27" spans="1:31" ht="30">
      <c r="A27" s="943"/>
      <c r="B27" s="961" t="s">
        <v>39</v>
      </c>
      <c r="C27" s="961" t="s">
        <v>140</v>
      </c>
      <c r="D27" s="961" t="s">
        <v>3873</v>
      </c>
      <c r="E27" s="961" t="s">
        <v>3874</v>
      </c>
      <c r="F27" s="983" t="s">
        <v>3875</v>
      </c>
      <c r="G27" s="983" t="s">
        <v>3876</v>
      </c>
      <c r="H27" s="983" t="s">
        <v>46</v>
      </c>
      <c r="I27" s="983" t="s">
        <v>47</v>
      </c>
      <c r="J27" s="983" t="s">
        <v>48</v>
      </c>
      <c r="K27" s="983" t="s">
        <v>20</v>
      </c>
      <c r="L27" s="984" t="s">
        <v>1810</v>
      </c>
      <c r="M27" s="985" t="s">
        <v>195</v>
      </c>
      <c r="N27" s="985" t="s">
        <v>196</v>
      </c>
      <c r="O27" s="985" t="s">
        <v>1799</v>
      </c>
      <c r="P27" s="986" t="s">
        <v>2405</v>
      </c>
      <c r="Q27" s="986" t="s">
        <v>2407</v>
      </c>
      <c r="R27" s="986" t="s">
        <v>510</v>
      </c>
      <c r="S27" s="986" t="s">
        <v>524</v>
      </c>
      <c r="T27" s="986" t="s">
        <v>3361</v>
      </c>
      <c r="U27" s="986" t="s">
        <v>3778</v>
      </c>
      <c r="V27" s="943"/>
      <c r="W27" s="943"/>
      <c r="X27" s="943"/>
      <c r="Y27" s="943"/>
      <c r="Z27" s="943"/>
      <c r="AA27" s="943"/>
      <c r="AB27" s="943"/>
      <c r="AC27" s="943"/>
      <c r="AD27" s="943"/>
      <c r="AE27" s="943"/>
    </row>
    <row r="28" spans="1:31" s="997" customFormat="1">
      <c r="A28" s="943"/>
      <c r="B28" s="1021" t="s">
        <v>3893</v>
      </c>
      <c r="C28" s="1021" t="s">
        <v>4562</v>
      </c>
      <c r="D28" s="1010">
        <v>800</v>
      </c>
      <c r="E28" s="1022">
        <v>2</v>
      </c>
      <c r="F28" s="1013">
        <v>65</v>
      </c>
      <c r="G28" s="1023" t="s">
        <v>3894</v>
      </c>
      <c r="H28" s="1013">
        <v>25</v>
      </c>
      <c r="I28" s="1013"/>
      <c r="J28" s="1014">
        <v>0.95</v>
      </c>
      <c r="K28" s="1015">
        <f>750000+700000</f>
        <v>1450000</v>
      </c>
      <c r="L28" s="948" t="s">
        <v>483</v>
      </c>
      <c r="M28" s="1015">
        <f>+IF(Tabla102227[[#This Row],[Mondeda]]="USD",Tabla102227[[#This Row],[Precio]]*'Datos de Entrada (On Grid)'!$D$15,Tabla102227[[#This Row],[Precio]])</f>
        <v>1450000</v>
      </c>
      <c r="N28" s="1015">
        <f>+M28*1.05</f>
        <v>1522500</v>
      </c>
      <c r="O28" s="948" t="s">
        <v>2416</v>
      </c>
      <c r="P28" s="1011">
        <v>30</v>
      </c>
      <c r="Q28" s="1011">
        <v>60</v>
      </c>
      <c r="R28" s="948" t="s">
        <v>270</v>
      </c>
      <c r="S28" s="1015">
        <f>+Tabla102227[[#This Row],[costo]]/0.8</f>
        <v>1812500</v>
      </c>
      <c r="T28" s="1015">
        <f>+Tabla102227[[#This Row],[Precio]]/Tabla102227[[#This Row],[Potencia (VA)]]</f>
        <v>1812.5</v>
      </c>
      <c r="U28" s="1024"/>
      <c r="V28" s="996"/>
      <c r="W28" s="996"/>
      <c r="X28" s="996"/>
      <c r="Y28" s="996"/>
      <c r="Z28" s="996"/>
      <c r="AA28" s="996"/>
      <c r="AB28" s="996"/>
      <c r="AC28" s="996"/>
      <c r="AD28" s="996"/>
      <c r="AE28" s="996"/>
    </row>
    <row r="29" spans="1:31" s="997" customFormat="1">
      <c r="A29" s="943"/>
      <c r="B29" s="1021" t="s">
        <v>3895</v>
      </c>
      <c r="C29" s="1021" t="s">
        <v>4563</v>
      </c>
      <c r="D29" s="1010">
        <v>1600</v>
      </c>
      <c r="E29" s="965">
        <v>4</v>
      </c>
      <c r="F29" s="1011">
        <v>60</v>
      </c>
      <c r="G29" s="1012">
        <v>220</v>
      </c>
      <c r="H29" s="1011">
        <v>15</v>
      </c>
      <c r="I29" s="1011">
        <v>11.5</v>
      </c>
      <c r="J29" s="1014">
        <v>0.97499999999999998</v>
      </c>
      <c r="K29" s="1015">
        <f>980000+700000</f>
        <v>1680000</v>
      </c>
      <c r="L29" s="948" t="s">
        <v>483</v>
      </c>
      <c r="M29" s="1015">
        <f>+IF(Tabla102227[[#This Row],[Mondeda]]="USD",Tabla102227[[#This Row],[Precio]]*'Datos de Entrada (On Grid)'!$D$15,Tabla102227[[#This Row],[Precio]])</f>
        <v>1680000</v>
      </c>
      <c r="N29" s="1015">
        <f>+M29*1.05</f>
        <v>1764000</v>
      </c>
      <c r="O29" s="948" t="s">
        <v>2416</v>
      </c>
      <c r="P29" s="1011">
        <v>30</v>
      </c>
      <c r="Q29" s="1011">
        <v>60</v>
      </c>
      <c r="R29" s="948" t="s">
        <v>270</v>
      </c>
      <c r="S29" s="1015">
        <f>+Tabla102227[[#This Row],[costo]]/0.8</f>
        <v>2100000</v>
      </c>
      <c r="T29" s="1015">
        <f>+Tabla102227[[#This Row],[total]]/Tabla102227[[#This Row],[Potencia (VA)]]</f>
        <v>1102.5</v>
      </c>
      <c r="U29" s="948"/>
      <c r="V29" s="996"/>
      <c r="W29" s="996"/>
      <c r="X29" s="996"/>
      <c r="Y29" s="996"/>
      <c r="Z29" s="996"/>
      <c r="AA29" s="996"/>
      <c r="AB29" s="996"/>
      <c r="AC29" s="996"/>
      <c r="AD29" s="996"/>
      <c r="AE29" s="996"/>
    </row>
    <row r="30" spans="1:31" s="1007" customFormat="1">
      <c r="A30" s="943"/>
      <c r="B30" s="1008" t="s">
        <v>3877</v>
      </c>
      <c r="C30" s="1008" t="s">
        <v>4566</v>
      </c>
      <c r="D30" s="988">
        <v>2000</v>
      </c>
      <c r="E30" s="989">
        <v>4</v>
      </c>
      <c r="F30" s="990">
        <v>65</v>
      </c>
      <c r="G30" s="991">
        <v>220</v>
      </c>
      <c r="H30" s="992">
        <v>20</v>
      </c>
      <c r="I30" s="992">
        <v>30</v>
      </c>
      <c r="J30" s="993">
        <v>0.98</v>
      </c>
      <c r="K30" s="994">
        <f>442+254</f>
        <v>696</v>
      </c>
      <c r="L30" s="995" t="s">
        <v>407</v>
      </c>
      <c r="M30" s="994">
        <f>+IF(Tabla102227[[#This Row],[Mondeda]]="USD",Tabla102227[[#This Row],[Precio]]*'Datos de Entrada (On Grid)'!$D$15,Tabla102227[[#This Row],[Precio]])</f>
        <v>2784000</v>
      </c>
      <c r="N30" s="994">
        <f>+Tabla102227[[#This Row],[costo]]*1.03</f>
        <v>2867520</v>
      </c>
      <c r="O30" s="995" t="s">
        <v>1800</v>
      </c>
      <c r="P30" s="990">
        <v>30</v>
      </c>
      <c r="Q30" s="990">
        <v>60</v>
      </c>
      <c r="R30" s="995" t="s">
        <v>270</v>
      </c>
      <c r="S30" s="994">
        <f>+Tabla102227[[#This Row],[costo]]/0.8</f>
        <v>3480000</v>
      </c>
      <c r="T30" s="994">
        <f>+Tabla102227[[#This Row],[total]]/Tabla102227[[#This Row],[Potencia (VA)]]</f>
        <v>1433.76</v>
      </c>
      <c r="U30" s="995"/>
      <c r="V30" s="1006"/>
      <c r="W30" s="1006"/>
      <c r="X30" s="1006"/>
      <c r="Y30" s="1006"/>
      <c r="Z30" s="1006"/>
      <c r="AA30" s="1006"/>
      <c r="AB30" s="1006"/>
      <c r="AC30" s="1006"/>
      <c r="AD30" s="1006"/>
      <c r="AE30" s="1006"/>
    </row>
    <row r="31" spans="1:31" s="997" customFormat="1">
      <c r="A31" s="943"/>
      <c r="B31" s="1009" t="s">
        <v>2734</v>
      </c>
      <c r="C31" s="1009" t="s">
        <v>4564</v>
      </c>
      <c r="D31" s="1010">
        <v>2000</v>
      </c>
      <c r="E31" s="965">
        <v>4</v>
      </c>
      <c r="F31" s="1011">
        <v>65</v>
      </c>
      <c r="G31" s="1012">
        <v>220</v>
      </c>
      <c r="H31" s="1011">
        <v>15</v>
      </c>
      <c r="I31" s="1011">
        <v>25</v>
      </c>
      <c r="J31" s="1014">
        <v>0.97499999999999998</v>
      </c>
      <c r="K31" s="1115">
        <v>1800000</v>
      </c>
      <c r="L31" s="948" t="s">
        <v>483</v>
      </c>
      <c r="M31" s="1015">
        <f>+IF(Tabla102227[[#This Row],[Mondeda]]="USD",Tabla102227[[#This Row],[Precio]]*'Datos de Entrada (On Grid)'!$D$15,Tabla102227[[#This Row],[Precio]])</f>
        <v>1800000</v>
      </c>
      <c r="N31" s="1015">
        <f>+M31*1.05</f>
        <v>1890000</v>
      </c>
      <c r="O31" s="948" t="s">
        <v>2416</v>
      </c>
      <c r="P31" s="1011">
        <v>30</v>
      </c>
      <c r="Q31" s="1011">
        <v>60</v>
      </c>
      <c r="R31" s="948" t="s">
        <v>270</v>
      </c>
      <c r="S31" s="1015">
        <f>+Tabla102227[[#This Row],[costo]]/0.8</f>
        <v>2250000</v>
      </c>
      <c r="T31" s="1015">
        <f>+Tabla102227[[#This Row],[total]]/Tabla102227[[#This Row],[Potencia (VA)]]</f>
        <v>945</v>
      </c>
      <c r="U31" s="948"/>
      <c r="V31" s="996"/>
      <c r="W31" s="996"/>
      <c r="X31" s="996"/>
      <c r="Y31" s="996"/>
      <c r="Z31" s="996"/>
      <c r="AA31" s="996"/>
      <c r="AB31" s="996"/>
      <c r="AC31" s="996"/>
      <c r="AD31" s="996"/>
      <c r="AE31" s="996"/>
    </row>
    <row r="32" spans="1:31">
      <c r="A32" s="943"/>
      <c r="B32" s="1008" t="s">
        <v>3878</v>
      </c>
      <c r="C32" s="1008" t="s">
        <v>4565</v>
      </c>
      <c r="D32" s="988">
        <v>2200</v>
      </c>
      <c r="E32" s="998">
        <v>4</v>
      </c>
      <c r="F32" s="990">
        <v>65</v>
      </c>
      <c r="G32" s="991">
        <v>220</v>
      </c>
      <c r="H32" s="992">
        <v>20</v>
      </c>
      <c r="I32" s="992">
        <v>30</v>
      </c>
      <c r="J32" s="993">
        <v>0.98</v>
      </c>
      <c r="K32" s="1115">
        <v>1800000</v>
      </c>
      <c r="L32" s="948" t="s">
        <v>483</v>
      </c>
      <c r="M32" s="994">
        <f>+IF(Tabla102227[[#This Row],[Mondeda]]="USD",Tabla102227[[#This Row],[Precio]]*'Datos de Entrada (On Grid)'!$D$15,Tabla102227[[#This Row],[Precio]])</f>
        <v>1800000</v>
      </c>
      <c r="N32" s="994">
        <f>+Tabla102227[[#This Row],[costo]]*1.03</f>
        <v>1854000</v>
      </c>
      <c r="O32" s="995" t="s">
        <v>1800</v>
      </c>
      <c r="P32" s="990">
        <v>30</v>
      </c>
      <c r="Q32" s="990">
        <v>60</v>
      </c>
      <c r="R32" s="995" t="s">
        <v>270</v>
      </c>
      <c r="S32" s="999">
        <f>+Tabla102227[[#This Row],[costo]]/0.8</f>
        <v>2250000</v>
      </c>
      <c r="T32" s="999">
        <f>+Tabla102227[[#This Row],[Precio]]/Tabla102227[[#This Row],[Potencia (VA)]]</f>
        <v>818.18181818181813</v>
      </c>
      <c r="U32" s="995"/>
      <c r="V32" s="943"/>
      <c r="W32" s="943"/>
      <c r="X32" s="943"/>
      <c r="Y32" s="943"/>
      <c r="Z32" s="943"/>
      <c r="AA32" s="943"/>
      <c r="AB32" s="943"/>
      <c r="AC32" s="943"/>
      <c r="AD32" s="943"/>
      <c r="AE32" s="943"/>
    </row>
    <row r="33" spans="1:31" s="1007" customFormat="1">
      <c r="A33" s="943"/>
      <c r="B33" s="1009" t="s">
        <v>3896</v>
      </c>
      <c r="C33" s="1009" t="s">
        <v>4567</v>
      </c>
      <c r="D33" s="1010">
        <v>3000</v>
      </c>
      <c r="E33" s="965">
        <v>2</v>
      </c>
      <c r="F33" s="1011">
        <v>500</v>
      </c>
      <c r="G33" s="1012" t="s">
        <v>3897</v>
      </c>
      <c r="H33" s="1013">
        <v>16.899999999999999</v>
      </c>
      <c r="I33" s="1013">
        <v>13.6</v>
      </c>
      <c r="J33" s="1014">
        <v>0.98399999999999999</v>
      </c>
      <c r="K33" s="1015">
        <v>2600000</v>
      </c>
      <c r="L33" s="948" t="s">
        <v>483</v>
      </c>
      <c r="M33" s="1015">
        <f>+IF(Tabla102227[[#This Row],[Mondeda]]="USD",Tabla102227[[#This Row],[Precio]]*'Datos de Entrada (On Grid)'!$D$15,Tabla102227[[#This Row],[Precio]])</f>
        <v>2600000</v>
      </c>
      <c r="N33" s="1015">
        <f>+M33*1.05</f>
        <v>2730000</v>
      </c>
      <c r="O33" s="948" t="s">
        <v>1247</v>
      </c>
      <c r="P33" s="1011">
        <v>120</v>
      </c>
      <c r="Q33" s="1011">
        <v>500</v>
      </c>
      <c r="R33" s="948" t="s">
        <v>269</v>
      </c>
      <c r="S33" s="1015">
        <f>+Tabla102227[[#This Row],[costo]]/0.8</f>
        <v>3250000</v>
      </c>
      <c r="T33" s="1015">
        <f>+Tabla102227[[#This Row],[total]]/Tabla102227[[#This Row],[Potencia (VA)]]</f>
        <v>910</v>
      </c>
      <c r="U33" s="948"/>
      <c r="V33" s="1006"/>
      <c r="W33" s="1006"/>
      <c r="X33" s="1006"/>
      <c r="Y33" s="1006"/>
      <c r="Z33" s="1006"/>
      <c r="AA33" s="1006"/>
      <c r="AB33" s="1006"/>
      <c r="AC33" s="1006"/>
      <c r="AD33" s="1006"/>
      <c r="AE33" s="1006"/>
    </row>
    <row r="34" spans="1:31">
      <c r="A34" s="943"/>
      <c r="B34" s="948" t="s">
        <v>1210</v>
      </c>
      <c r="C34" s="948" t="s">
        <v>4568</v>
      </c>
      <c r="D34" s="1010">
        <v>3000</v>
      </c>
      <c r="E34" s="1011">
        <v>2</v>
      </c>
      <c r="F34" s="1011">
        <v>550</v>
      </c>
      <c r="G34" s="1012" t="s">
        <v>267</v>
      </c>
      <c r="H34" s="1038">
        <v>15</v>
      </c>
      <c r="I34" s="1038">
        <v>16</v>
      </c>
      <c r="J34" s="1039">
        <v>0.97299999999999998</v>
      </c>
      <c r="K34" s="999">
        <v>5300000</v>
      </c>
      <c r="L34" s="1000" t="s">
        <v>483</v>
      </c>
      <c r="M34" s="1015">
        <f>+IF(Tabla102227[[#This Row],[Mondeda]]="USD",Tabla102227[[#This Row],[Precio]]*'Datos de Entrada (On Grid)'!$D$15,Tabla102227[[#This Row],[Precio]])</f>
        <v>5300000</v>
      </c>
      <c r="N34" s="1015">
        <f>+Tabla102227[[#This Row],[costo]]*1.03+1100000</f>
        <v>6559000</v>
      </c>
      <c r="O34" s="948" t="s">
        <v>1247</v>
      </c>
      <c r="P34" s="943">
        <v>150</v>
      </c>
      <c r="Q34" s="943">
        <v>600</v>
      </c>
      <c r="R34" s="943" t="s">
        <v>269</v>
      </c>
      <c r="S34" s="999">
        <f>+Tabla102227[[#This Row],[costo]]/0.8</f>
        <v>6625000</v>
      </c>
      <c r="T34" s="999">
        <f>+Tabla102227[[#This Row],[total]]/Tabla102227[[#This Row],[Potencia (VA)]]</f>
        <v>2186.3333333333335</v>
      </c>
      <c r="U34" s="943"/>
      <c r="V34" s="943"/>
      <c r="W34" s="943"/>
      <c r="X34" s="943"/>
      <c r="Y34" s="943"/>
      <c r="Z34" s="943"/>
      <c r="AA34" s="943"/>
      <c r="AB34" s="943"/>
      <c r="AC34" s="943"/>
      <c r="AD34" s="943"/>
      <c r="AE34" s="943"/>
    </row>
    <row r="35" spans="1:31" s="1007" customFormat="1">
      <c r="A35" s="943"/>
      <c r="B35" s="1016" t="s">
        <v>3881</v>
      </c>
      <c r="C35" s="1016" t="s">
        <v>4569</v>
      </c>
      <c r="D35" s="1001">
        <v>3600</v>
      </c>
      <c r="E35" s="1017">
        <v>2</v>
      </c>
      <c r="F35" s="1002"/>
      <c r="G35" s="1003"/>
      <c r="H35" s="1004"/>
      <c r="I35" s="1004"/>
      <c r="J35" s="1005"/>
      <c r="K35" s="999">
        <v>2270000</v>
      </c>
      <c r="L35" s="1000" t="s">
        <v>483</v>
      </c>
      <c r="M35" s="999">
        <f>+IF(Tabla102227[[#This Row],[Mondeda]]="USD",Tabla102227[[#This Row],[Precio]]*'Datos de Entrada (On Grid)'!$D$15,Tabla102227[[#This Row],[Precio]])</f>
        <v>2270000</v>
      </c>
      <c r="N35" s="999">
        <f>+Tabla102227[[#This Row],[costo]]*1.03</f>
        <v>2338100</v>
      </c>
      <c r="O35" s="1000" t="s">
        <v>2618</v>
      </c>
      <c r="P35" s="1002"/>
      <c r="Q35" s="1002"/>
      <c r="R35" s="1000" t="s">
        <v>269</v>
      </c>
      <c r="S35" s="999">
        <f>+Tabla102227[[#This Row],[costo]]/0.8</f>
        <v>2837500</v>
      </c>
      <c r="T35" s="999">
        <f>+Tabla102227[[#This Row],[total]]/Tabla102227[[#This Row],[Potencia (VA)]]</f>
        <v>649.47222222222217</v>
      </c>
      <c r="U35" s="1000"/>
      <c r="V35" s="1006"/>
      <c r="W35" s="1006"/>
      <c r="X35" s="1006"/>
      <c r="Y35" s="1006"/>
      <c r="Z35" s="1006"/>
      <c r="AA35" s="1006"/>
      <c r="AB35" s="1006"/>
      <c r="AC35" s="1006"/>
      <c r="AD35" s="1006"/>
      <c r="AE35" s="1006"/>
    </row>
    <row r="36" spans="1:31" s="997" customFormat="1">
      <c r="A36" s="943"/>
      <c r="B36" s="948" t="s">
        <v>3898</v>
      </c>
      <c r="C36" s="1016" t="s">
        <v>4569</v>
      </c>
      <c r="D36" s="1010">
        <v>3600</v>
      </c>
      <c r="E36" s="1019">
        <v>2</v>
      </c>
      <c r="F36" s="1011">
        <v>550</v>
      </c>
      <c r="G36" s="1012" t="s">
        <v>3897</v>
      </c>
      <c r="H36" s="1013">
        <v>16.899999999999999</v>
      </c>
      <c r="I36" s="1013">
        <v>16</v>
      </c>
      <c r="J36" s="1014">
        <v>0.98399999999999999</v>
      </c>
      <c r="K36" s="1015">
        <v>2222000</v>
      </c>
      <c r="L36" s="948" t="s">
        <v>483</v>
      </c>
      <c r="M36" s="1015">
        <f>+IF(Tabla102227[[#This Row],[Mondeda]]="USD",Tabla102227[[#This Row],[Precio]]*'Datos de Entrada (On Grid)'!$D$15,Tabla102227[[#This Row],[Precio]])</f>
        <v>2222000</v>
      </c>
      <c r="N36" s="1015">
        <f>+M36*1.05</f>
        <v>2333100</v>
      </c>
      <c r="O36" s="948" t="s">
        <v>1247</v>
      </c>
      <c r="P36" s="1011">
        <v>150</v>
      </c>
      <c r="Q36" s="1011">
        <v>600</v>
      </c>
      <c r="R36" s="948" t="s">
        <v>269</v>
      </c>
      <c r="S36" s="1015">
        <f>+Tabla102227[[#This Row],[costo]]/0.8</f>
        <v>2777500</v>
      </c>
      <c r="T36" s="1015">
        <f>+Tabla102227[[#This Row],[total]]/Tabla102227[[#This Row],[Potencia (VA)]]</f>
        <v>648.08333333333337</v>
      </c>
      <c r="U36" s="948"/>
      <c r="V36" s="996"/>
      <c r="W36" s="996"/>
      <c r="X36" s="996"/>
      <c r="Y36" s="996"/>
      <c r="Z36" s="996"/>
      <c r="AA36" s="996"/>
      <c r="AB36" s="996"/>
      <c r="AC36" s="996"/>
      <c r="AD36" s="996"/>
      <c r="AE36" s="996"/>
    </row>
    <row r="37" spans="1:31">
      <c r="A37" s="943"/>
      <c r="B37" s="1000" t="s">
        <v>2715</v>
      </c>
      <c r="C37" s="1000" t="s">
        <v>4576</v>
      </c>
      <c r="D37" s="1001">
        <v>5000</v>
      </c>
      <c r="E37" s="1017">
        <v>2</v>
      </c>
      <c r="F37" s="1002">
        <v>600</v>
      </c>
      <c r="G37" s="1003">
        <v>220</v>
      </c>
      <c r="H37" s="1004">
        <v>22</v>
      </c>
      <c r="I37" s="1004">
        <v>14</v>
      </c>
      <c r="J37" s="1005">
        <v>0.97499999999999998</v>
      </c>
      <c r="K37" s="999">
        <v>2938000</v>
      </c>
      <c r="L37" s="1000" t="s">
        <v>483</v>
      </c>
      <c r="M37" s="999">
        <f>+IF(Tabla102227[[#This Row],[Mondeda]]="USD",Tabla102227[[#This Row],[Precio]]*'Datos de Entrada (On Grid)'!$D$15,Tabla102227[[#This Row],[Precio]])</f>
        <v>2938000</v>
      </c>
      <c r="N37" s="999">
        <f>+M37*1.05</f>
        <v>3084900</v>
      </c>
      <c r="O37" s="1000" t="s">
        <v>2618</v>
      </c>
      <c r="P37" s="1002">
        <v>120</v>
      </c>
      <c r="Q37" s="1002">
        <v>600</v>
      </c>
      <c r="R37" s="1000" t="s">
        <v>269</v>
      </c>
      <c r="S37" s="999">
        <f>+Tabla102227[[#This Row],[costo]]/0.8</f>
        <v>3672500</v>
      </c>
      <c r="T37" s="999">
        <f>+Tabla102227[[#This Row],[total]]/Tabla102227[[#This Row],[Potencia (VA)]]</f>
        <v>616.98</v>
      </c>
      <c r="U37" s="1000"/>
      <c r="V37" s="943"/>
      <c r="W37" s="943"/>
      <c r="X37" s="943"/>
      <c r="Y37" s="943"/>
      <c r="Z37" s="943"/>
      <c r="AA37" s="943"/>
      <c r="AB37" s="943"/>
      <c r="AC37" s="943"/>
      <c r="AD37" s="943"/>
      <c r="AE37" s="943"/>
    </row>
    <row r="38" spans="1:31">
      <c r="A38" s="943"/>
      <c r="B38" s="1008" t="s">
        <v>3780</v>
      </c>
      <c r="C38" s="1000" t="s">
        <v>4570</v>
      </c>
      <c r="D38" s="988">
        <v>5000</v>
      </c>
      <c r="E38" s="1018">
        <v>2</v>
      </c>
      <c r="F38" s="990">
        <v>1000</v>
      </c>
      <c r="G38" s="995" t="s">
        <v>3781</v>
      </c>
      <c r="H38" s="992"/>
      <c r="I38" s="992"/>
      <c r="J38" s="993"/>
      <c r="K38" s="994">
        <v>8070000</v>
      </c>
      <c r="L38" s="995" t="s">
        <v>483</v>
      </c>
      <c r="M38" s="994">
        <f>+IF(Tabla102227[[#This Row],[Mondeda]]="USD",Tabla102227[[#This Row],[Precio]]*'Datos de Entrada (On Grid)'!$D$15,Tabla102227[[#This Row],[Precio]])</f>
        <v>8070000</v>
      </c>
      <c r="N38" s="994">
        <f>+Tabla102227[[#This Row],[costo]]*1.03</f>
        <v>8312100</v>
      </c>
      <c r="O38" s="995" t="s">
        <v>3783</v>
      </c>
      <c r="P38" s="990">
        <v>150</v>
      </c>
      <c r="Q38" s="990">
        <v>1000</v>
      </c>
      <c r="R38" s="995" t="s">
        <v>269</v>
      </c>
      <c r="S38" s="994">
        <f>+Tabla102227[[#This Row],[costo]]/0.8</f>
        <v>10087500</v>
      </c>
      <c r="T38" s="994">
        <f>+Tabla102227[[#This Row],[total]]/Tabla102227[[#This Row],[Potencia (VA)]]</f>
        <v>1662.42</v>
      </c>
      <c r="U38" s="995"/>
      <c r="V38" s="943"/>
      <c r="W38" s="943"/>
      <c r="X38" s="943"/>
      <c r="Y38" s="943"/>
      <c r="Z38" s="943"/>
      <c r="AA38" s="943"/>
      <c r="AB38" s="943"/>
      <c r="AC38" s="943"/>
      <c r="AD38" s="943"/>
      <c r="AE38" s="943"/>
    </row>
    <row r="39" spans="1:31" s="1195" customFormat="1">
      <c r="A39" s="1185"/>
      <c r="B39" s="1186" t="s">
        <v>3879</v>
      </c>
      <c r="C39" s="1186" t="s">
        <v>4571</v>
      </c>
      <c r="D39" s="1187">
        <v>5000</v>
      </c>
      <c r="E39" s="1188">
        <v>2</v>
      </c>
      <c r="F39" s="1189">
        <v>500</v>
      </c>
      <c r="G39" s="1190" t="s">
        <v>267</v>
      </c>
      <c r="H39" s="1191">
        <v>34</v>
      </c>
      <c r="I39" s="1191">
        <v>26</v>
      </c>
      <c r="J39" s="1192">
        <v>0.97599999999999998</v>
      </c>
      <c r="K39" s="1193">
        <v>2115</v>
      </c>
      <c r="L39" s="1194" t="s">
        <v>407</v>
      </c>
      <c r="M39" s="1193">
        <v>6290000</v>
      </c>
      <c r="N39" s="1193">
        <f>+Tabla102227[[#This Row],[costo]]*1.03</f>
        <v>6478700</v>
      </c>
      <c r="O39" s="1194" t="s">
        <v>2095</v>
      </c>
      <c r="P39" s="1189">
        <v>150</v>
      </c>
      <c r="Q39" s="1189">
        <v>600</v>
      </c>
      <c r="R39" s="1194" t="s">
        <v>269</v>
      </c>
      <c r="S39" s="1193">
        <f>+Tabla102227[[#This Row],[costo]]/0.8</f>
        <v>7862500</v>
      </c>
      <c r="T39" s="1193">
        <f>+Tabla102227[[#This Row],[total]]/Tabla102227[[#This Row],[Potencia (VA)]]</f>
        <v>1295.74</v>
      </c>
      <c r="U39" s="1194"/>
      <c r="V39" s="1185"/>
      <c r="W39" s="1185"/>
      <c r="X39" s="1185"/>
      <c r="Y39" s="1185"/>
      <c r="Z39" s="1185"/>
      <c r="AA39" s="1185"/>
      <c r="AB39" s="1185"/>
      <c r="AC39" s="1185"/>
      <c r="AD39" s="1185"/>
      <c r="AE39" s="1185"/>
    </row>
    <row r="40" spans="1:31">
      <c r="A40" s="943"/>
      <c r="B40" s="945" t="s">
        <v>3899</v>
      </c>
      <c r="C40" s="1000" t="s">
        <v>4572</v>
      </c>
      <c r="D40" s="1010">
        <v>5000</v>
      </c>
      <c r="E40" s="1020">
        <v>2</v>
      </c>
      <c r="F40" s="1011">
        <v>550</v>
      </c>
      <c r="G40" s="1012" t="s">
        <v>3897</v>
      </c>
      <c r="H40" s="1013">
        <v>16.899999999999999</v>
      </c>
      <c r="I40" s="1013">
        <v>22.7</v>
      </c>
      <c r="J40" s="1014">
        <v>0.98399999999999999</v>
      </c>
      <c r="K40" s="1015">
        <v>6300000</v>
      </c>
      <c r="L40" s="948" t="s">
        <v>483</v>
      </c>
      <c r="M40" s="1015">
        <f>+IF(Tabla102227[[#This Row],[Mondeda]]="USD",Tabla102227[[#This Row],[Precio]]*'Datos de Entrada (On Grid)'!$D$15,Tabla102227[[#This Row],[Precio]])</f>
        <v>6300000</v>
      </c>
      <c r="N40" s="1015">
        <f>+Tabla102227[[#This Row],[costo]]*1.03+1100000</f>
        <v>7589000</v>
      </c>
      <c r="O40" s="948" t="s">
        <v>1247</v>
      </c>
      <c r="P40" s="1011">
        <v>150</v>
      </c>
      <c r="Q40" s="1011">
        <v>600</v>
      </c>
      <c r="R40" s="948" t="s">
        <v>269</v>
      </c>
      <c r="S40" s="1015">
        <f>+Tabla102227[[#This Row],[costo]]/0.8</f>
        <v>7875000</v>
      </c>
      <c r="T40" s="1015">
        <f>+Tabla102227[[#This Row],[total]]/Tabla102227[[#This Row],[Potencia (VA)]]</f>
        <v>1517.8</v>
      </c>
      <c r="U40" s="948"/>
      <c r="V40" s="943"/>
      <c r="W40" s="943"/>
      <c r="X40" s="943"/>
      <c r="Y40" s="943"/>
      <c r="Z40" s="943"/>
      <c r="AA40" s="943"/>
      <c r="AB40" s="943"/>
      <c r="AC40" s="943"/>
      <c r="AD40" s="943"/>
      <c r="AE40" s="943"/>
    </row>
    <row r="41" spans="1:31">
      <c r="A41" s="943"/>
      <c r="B41" s="1000" t="s">
        <v>3880</v>
      </c>
      <c r="C41" s="1000" t="s">
        <v>4575</v>
      </c>
      <c r="D41" s="1001">
        <v>6000</v>
      </c>
      <c r="E41" s="1017">
        <v>2</v>
      </c>
      <c r="F41" s="1002">
        <v>600</v>
      </c>
      <c r="G41" s="1003">
        <v>220</v>
      </c>
      <c r="H41" s="1004">
        <v>22</v>
      </c>
      <c r="I41" s="1004">
        <v>14</v>
      </c>
      <c r="J41" s="1005">
        <v>0.97499999999999998</v>
      </c>
      <c r="K41" s="999">
        <v>3190000</v>
      </c>
      <c r="L41" s="1000" t="s">
        <v>483</v>
      </c>
      <c r="M41" s="999">
        <f>+IF(Tabla102227[[#This Row],[Mondeda]]="USD",Tabla102227[[#This Row],[Precio]]*'Datos de Entrada (On Grid)'!$D$15,Tabla102227[[#This Row],[Precio]])</f>
        <v>3190000</v>
      </c>
      <c r="N41" s="999">
        <f>+M41*1.05</f>
        <v>3349500</v>
      </c>
      <c r="O41" s="1000" t="s">
        <v>2618</v>
      </c>
      <c r="P41" s="1002">
        <v>120</v>
      </c>
      <c r="Q41" s="1002">
        <v>600</v>
      </c>
      <c r="R41" s="1000" t="s">
        <v>269</v>
      </c>
      <c r="S41" s="999">
        <f>+Tabla102227[[#This Row],[costo]]/0.8</f>
        <v>3987500</v>
      </c>
      <c r="T41" s="999">
        <f>+Tabla102227[[#This Row],[total]]/Tabla102227[[#This Row],[Potencia (VA)]]</f>
        <v>558.25</v>
      </c>
      <c r="U41" s="1000"/>
      <c r="V41" s="943"/>
      <c r="W41" s="943"/>
      <c r="X41" s="943"/>
      <c r="Y41" s="943"/>
      <c r="Z41" s="943"/>
      <c r="AA41" s="943"/>
      <c r="AB41" s="943"/>
      <c r="AC41" s="943"/>
      <c r="AD41" s="943"/>
      <c r="AE41" s="943"/>
    </row>
    <row r="42" spans="1:31">
      <c r="A42" s="943"/>
      <c r="B42" s="987" t="s">
        <v>3779</v>
      </c>
      <c r="C42" s="987" t="s">
        <v>4573</v>
      </c>
      <c r="D42" s="988">
        <v>6000</v>
      </c>
      <c r="E42" s="989">
        <v>2</v>
      </c>
      <c r="F42" s="990">
        <v>1000</v>
      </c>
      <c r="G42" s="995" t="s">
        <v>3781</v>
      </c>
      <c r="H42" s="992"/>
      <c r="I42" s="992"/>
      <c r="J42" s="993"/>
      <c r="K42" s="994">
        <v>5900000</v>
      </c>
      <c r="L42" s="995" t="s">
        <v>483</v>
      </c>
      <c r="M42" s="994">
        <f>+IF(Tabla102227[[#This Row],[Mondeda]]="USD",Tabla102227[[#This Row],[Precio]]*'Datos de Entrada (On Grid)'!$D$15,Tabla102227[[#This Row],[Precio]])</f>
        <v>5900000</v>
      </c>
      <c r="N42" s="994">
        <f>+Tabla102227[[#This Row],[costo]]*1.03</f>
        <v>6077000</v>
      </c>
      <c r="O42" s="995" t="s">
        <v>3782</v>
      </c>
      <c r="P42" s="990">
        <v>150</v>
      </c>
      <c r="Q42" s="990">
        <v>1000</v>
      </c>
      <c r="R42" s="995" t="s">
        <v>269</v>
      </c>
      <c r="S42" s="994">
        <f>+Tabla102227[[#This Row],[costo]]/0.8</f>
        <v>7375000</v>
      </c>
      <c r="T42" s="994">
        <f>+Tabla102227[[#This Row],[total]]/Tabla102227[[#This Row],[Potencia (VA)]]</f>
        <v>1012.8333333333334</v>
      </c>
      <c r="U42" s="995"/>
      <c r="V42" s="943"/>
      <c r="W42" s="943"/>
      <c r="X42" s="943"/>
      <c r="Y42" s="943"/>
      <c r="Z42" s="943"/>
      <c r="AA42" s="943"/>
      <c r="AB42" s="943"/>
      <c r="AC42" s="943"/>
      <c r="AD42" s="943"/>
      <c r="AE42" s="943"/>
    </row>
    <row r="43" spans="1:31">
      <c r="A43" s="943"/>
      <c r="B43" s="1021" t="s">
        <v>3900</v>
      </c>
      <c r="C43" s="945" t="s">
        <v>4574</v>
      </c>
      <c r="D43" s="1010">
        <v>6000</v>
      </c>
      <c r="E43" s="1019">
        <v>2</v>
      </c>
      <c r="F43" s="1011">
        <v>550</v>
      </c>
      <c r="G43" s="948" t="s">
        <v>3897</v>
      </c>
      <c r="H43" s="1013">
        <v>16.899999999999999</v>
      </c>
      <c r="I43" s="1013" t="s">
        <v>3901</v>
      </c>
      <c r="J43" s="1014">
        <v>0.98399999999999999</v>
      </c>
      <c r="K43" s="1015">
        <v>2750000</v>
      </c>
      <c r="L43" s="948" t="s">
        <v>483</v>
      </c>
      <c r="M43" s="1015">
        <f>+IF(Tabla102227[[#This Row],[Mondeda]]="USD",Tabla102227[[#This Row],[Precio]]*'Datos de Entrada (On Grid)'!$D$15,Tabla102227[[#This Row],[Precio]])</f>
        <v>2750000</v>
      </c>
      <c r="N43" s="1015">
        <f>+Tabla102227[[#This Row],[costo]]*1.03+1100000</f>
        <v>3932500</v>
      </c>
      <c r="O43" s="948" t="s">
        <v>1247</v>
      </c>
      <c r="P43" s="1011"/>
      <c r="Q43" s="1011"/>
      <c r="R43" s="948" t="s">
        <v>269</v>
      </c>
      <c r="S43" s="1015">
        <f>+Tabla102227[[#This Row],[costo]]/0.8</f>
        <v>3437500</v>
      </c>
      <c r="T43" s="1015">
        <f>+Tabla102227[[#This Row],[Precio]]/Tabla102227[[#This Row],[Potencia (VA)]]</f>
        <v>458.33333333333331</v>
      </c>
      <c r="U43" s="948"/>
      <c r="V43" s="943"/>
      <c r="W43" s="943"/>
      <c r="X43" s="943"/>
      <c r="Y43" s="943"/>
      <c r="Z43" s="943"/>
      <c r="AA43" s="943"/>
      <c r="AB43" s="943"/>
      <c r="AC43" s="943"/>
      <c r="AD43" s="943"/>
      <c r="AE43" s="943"/>
    </row>
    <row r="44" spans="1:31">
      <c r="A44" s="943"/>
      <c r="B44" s="945" t="s">
        <v>3882</v>
      </c>
      <c r="C44" s="945" t="s">
        <v>4577</v>
      </c>
      <c r="D44" s="1010">
        <v>8000</v>
      </c>
      <c r="E44" s="1020">
        <v>2</v>
      </c>
      <c r="F44" s="1011">
        <v>600</v>
      </c>
      <c r="G44" s="1012">
        <v>220</v>
      </c>
      <c r="H44" s="1013">
        <v>30</v>
      </c>
      <c r="I44" s="1013">
        <v>25</v>
      </c>
      <c r="J44" s="1014">
        <v>0.97499999999999998</v>
      </c>
      <c r="K44" s="1015">
        <v>3950000</v>
      </c>
      <c r="L44" s="948" t="s">
        <v>483</v>
      </c>
      <c r="M44" s="1015">
        <f>+IF(Tabla102227[[#This Row],[Mondeda]]="USD",Tabla102227[[#This Row],[Precio]]*'Datos de Entrada (On Grid)'!$D$15,Tabla102227[[#This Row],[Precio]])</f>
        <v>3950000</v>
      </c>
      <c r="N44" s="1015">
        <f>+M44*1.05</f>
        <v>4147500</v>
      </c>
      <c r="O44" s="948" t="s">
        <v>2618</v>
      </c>
      <c r="P44" s="1011">
        <v>120</v>
      </c>
      <c r="Q44" s="1011">
        <v>600</v>
      </c>
      <c r="R44" s="948" t="s">
        <v>269</v>
      </c>
      <c r="S44" s="1015">
        <f>+Tabla102227[[#This Row],[costo]]/0.8</f>
        <v>4937500</v>
      </c>
      <c r="T44" s="1015">
        <f>+Tabla102227[[#This Row],[total]]/Tabla102227[[#This Row],[Potencia (VA)]]</f>
        <v>518.4375</v>
      </c>
      <c r="U44" s="948"/>
      <c r="V44" s="943"/>
      <c r="W44" s="943"/>
      <c r="X44" s="943"/>
      <c r="Y44" s="943"/>
      <c r="Z44" s="943"/>
      <c r="AA44" s="943"/>
      <c r="AB44" s="943"/>
      <c r="AC44" s="943"/>
      <c r="AD44" s="943"/>
      <c r="AE44" s="943"/>
    </row>
    <row r="45" spans="1:31" s="1195" customFormat="1">
      <c r="A45" s="1185"/>
      <c r="B45" s="1196" t="s">
        <v>3883</v>
      </c>
      <c r="C45" s="1186" t="s">
        <v>4578</v>
      </c>
      <c r="D45" s="1187">
        <v>8000</v>
      </c>
      <c r="E45" s="1197">
        <v>2</v>
      </c>
      <c r="F45" s="1189">
        <v>500</v>
      </c>
      <c r="G45" s="1190" t="s">
        <v>267</v>
      </c>
      <c r="H45" s="1191">
        <v>34</v>
      </c>
      <c r="I45" s="1191">
        <v>26</v>
      </c>
      <c r="J45" s="1192">
        <v>0.97599999999999998</v>
      </c>
      <c r="K45" s="1193">
        <v>2389</v>
      </c>
      <c r="L45" s="1194" t="s">
        <v>407</v>
      </c>
      <c r="M45" s="1193">
        <v>7400000</v>
      </c>
      <c r="N45" s="1193">
        <f>+Tabla102227[[#This Row],[costo]]*1.03</f>
        <v>7622000</v>
      </c>
      <c r="O45" s="1194" t="s">
        <v>2095</v>
      </c>
      <c r="P45" s="1189">
        <v>150</v>
      </c>
      <c r="Q45" s="1189">
        <v>600</v>
      </c>
      <c r="R45" s="1194" t="s">
        <v>269</v>
      </c>
      <c r="S45" s="1193">
        <f>+Tabla102227[[#This Row],[costo]]/0.8</f>
        <v>9250000</v>
      </c>
      <c r="T45" s="1193">
        <f>+Tabla102227[[#This Row],[total]]/Tabla102227[[#This Row],[Potencia (VA)]]</f>
        <v>952.75</v>
      </c>
      <c r="U45" s="1194"/>
      <c r="V45" s="1185"/>
      <c r="W45" s="1185"/>
      <c r="X45" s="1185"/>
      <c r="Y45" s="1185"/>
      <c r="Z45" s="1185"/>
      <c r="AA45" s="1185"/>
      <c r="AB45" s="1185"/>
      <c r="AC45" s="1185"/>
      <c r="AD45" s="1185"/>
      <c r="AE45" s="1185"/>
    </row>
    <row r="46" spans="1:31">
      <c r="A46" s="943"/>
      <c r="B46" s="1008" t="s">
        <v>2701</v>
      </c>
      <c r="C46" s="1008" t="s">
        <v>2701</v>
      </c>
      <c r="D46" s="988">
        <v>9000</v>
      </c>
      <c r="E46" s="1018">
        <v>1</v>
      </c>
      <c r="F46" s="990">
        <v>1000</v>
      </c>
      <c r="G46" s="991" t="s">
        <v>267</v>
      </c>
      <c r="H46" s="992">
        <v>15</v>
      </c>
      <c r="I46" s="992">
        <v>16</v>
      </c>
      <c r="J46" s="993">
        <v>0.99</v>
      </c>
      <c r="K46" s="994">
        <f>6173800/2</f>
        <v>3086900</v>
      </c>
      <c r="L46" s="995" t="s">
        <v>483</v>
      </c>
      <c r="M46" s="994">
        <f>+IF(Tabla102227[[#This Row],[Mondeda]]="USD",Tabla102227[[#This Row],[Precio]]*'Datos de Entrada (On Grid)'!$D$15,Tabla102227[[#This Row],[Precio]])</f>
        <v>3086900</v>
      </c>
      <c r="N46" s="994">
        <f>+Tabla102227[[#This Row],[costo]]*1.03+1100000</f>
        <v>4279507</v>
      </c>
      <c r="O46" s="995" t="s">
        <v>2702</v>
      </c>
      <c r="P46" s="990">
        <v>150</v>
      </c>
      <c r="Q46" s="990">
        <v>1000</v>
      </c>
      <c r="R46" s="995" t="s">
        <v>269</v>
      </c>
      <c r="S46" s="994">
        <f>+Tabla102227[[#This Row],[costo]]/0.8</f>
        <v>3858625</v>
      </c>
      <c r="T46" s="994">
        <f>+Tabla102227[[#This Row],[total]]/Tabla102227[[#This Row],[Potencia (VA)]]</f>
        <v>475.50077777777778</v>
      </c>
      <c r="U46" s="995"/>
      <c r="V46" s="943"/>
      <c r="W46" s="943"/>
      <c r="X46" s="943"/>
      <c r="Y46" s="943"/>
      <c r="Z46" s="943"/>
      <c r="AA46" s="943"/>
      <c r="AB46" s="943"/>
      <c r="AC46" s="943"/>
      <c r="AD46" s="943"/>
      <c r="AE46" s="943"/>
    </row>
    <row r="47" spans="1:31" s="1153" customFormat="1">
      <c r="A47" s="1145"/>
      <c r="B47" s="1150" t="s">
        <v>3884</v>
      </c>
      <c r="C47" s="1150" t="s">
        <v>4579</v>
      </c>
      <c r="D47" s="1147">
        <v>10000</v>
      </c>
      <c r="E47" s="1154">
        <v>2</v>
      </c>
      <c r="F47" s="1149">
        <v>800</v>
      </c>
      <c r="G47" s="1155">
        <v>220</v>
      </c>
      <c r="H47" s="1151">
        <v>30</v>
      </c>
      <c r="I47" s="1151">
        <v>25</v>
      </c>
      <c r="J47" s="1152">
        <v>0.97499999999999998</v>
      </c>
      <c r="K47" s="1115">
        <v>6000000</v>
      </c>
      <c r="L47" s="1150" t="s">
        <v>483</v>
      </c>
      <c r="M47" s="1115">
        <f>+IF(Tabla102227[[#This Row],[Mondeda]]="USD",Tabla102227[[#This Row],[Precio]]*'Datos de Entrada (On Grid)'!$D$15,Tabla102227[[#This Row],[Precio]])</f>
        <v>6000000</v>
      </c>
      <c r="N47" s="1115">
        <f>+M47*1.05</f>
        <v>6300000</v>
      </c>
      <c r="O47" s="1150" t="s">
        <v>2618</v>
      </c>
      <c r="P47" s="1149">
        <v>120</v>
      </c>
      <c r="Q47" s="1149">
        <v>600</v>
      </c>
      <c r="R47" s="1150" t="s">
        <v>269</v>
      </c>
      <c r="S47" s="1115">
        <f>+Tabla102227[[#This Row],[costo]]/0.8</f>
        <v>7500000</v>
      </c>
      <c r="T47" s="1115">
        <f>+Tabla102227[[#This Row],[total]]/Tabla102227[[#This Row],[Potencia (VA)]]</f>
        <v>630</v>
      </c>
      <c r="U47" s="1150"/>
      <c r="V47" s="1145"/>
      <c r="W47" s="1145"/>
      <c r="X47" s="1145"/>
      <c r="Y47" s="1145"/>
      <c r="Z47" s="1145"/>
      <c r="AA47" s="1145"/>
      <c r="AB47" s="1145"/>
      <c r="AC47" s="1145"/>
      <c r="AD47" s="1145"/>
      <c r="AE47" s="1145"/>
    </row>
    <row r="48" spans="1:31">
      <c r="A48" s="943"/>
      <c r="B48" s="1021" t="s">
        <v>2730</v>
      </c>
      <c r="C48" s="1021" t="s">
        <v>4580</v>
      </c>
      <c r="D48" s="1010">
        <v>10000</v>
      </c>
      <c r="E48" s="1020">
        <v>2</v>
      </c>
      <c r="F48" s="1011">
        <v>1000</v>
      </c>
      <c r="G48" s="1012" t="s">
        <v>267</v>
      </c>
      <c r="H48" s="1013">
        <v>30</v>
      </c>
      <c r="I48" s="1013">
        <v>26</v>
      </c>
      <c r="J48" s="1014">
        <v>0.98</v>
      </c>
      <c r="K48" s="1015">
        <v>7930000</v>
      </c>
      <c r="L48" s="948" t="s">
        <v>483</v>
      </c>
      <c r="M48" s="1015">
        <f>+IF(Tabla102227[[#This Row],[Mondeda]]="USD",Tabla102227[[#This Row],[Precio]]*'Datos de Entrada (On Grid)'!$D$15,Tabla102227[[#This Row],[Precio]])</f>
        <v>7930000</v>
      </c>
      <c r="N48" s="1015">
        <f>+M48*1.05</f>
        <v>8326500</v>
      </c>
      <c r="O48" s="948" t="s">
        <v>2618</v>
      </c>
      <c r="P48" s="1011">
        <v>150</v>
      </c>
      <c r="Q48" s="1011">
        <v>600</v>
      </c>
      <c r="R48" s="948" t="s">
        <v>269</v>
      </c>
      <c r="S48" s="1015">
        <f>+Tabla102227[[#This Row],[costo]]/0.8</f>
        <v>9912500</v>
      </c>
      <c r="T48" s="1015">
        <f>+Tabla102227[[#This Row],[total]]/Tabla102227[[#This Row],[Potencia (VA)]]</f>
        <v>832.65</v>
      </c>
      <c r="U48" s="948"/>
      <c r="V48" s="943"/>
      <c r="W48" s="943"/>
      <c r="X48" s="943"/>
      <c r="Y48" s="943"/>
      <c r="Z48" s="943"/>
      <c r="AA48" s="943"/>
      <c r="AB48" s="943"/>
      <c r="AC48" s="943"/>
      <c r="AD48" s="943"/>
      <c r="AE48" s="943"/>
    </row>
    <row r="49" spans="1:31">
      <c r="A49" s="943"/>
      <c r="B49" s="945" t="s">
        <v>3889</v>
      </c>
      <c r="C49" s="945" t="s">
        <v>4580</v>
      </c>
      <c r="D49" s="1010">
        <v>10000</v>
      </c>
      <c r="E49" s="1020">
        <v>4</v>
      </c>
      <c r="F49" s="1011">
        <v>1100</v>
      </c>
      <c r="G49" s="1012" t="s">
        <v>3890</v>
      </c>
      <c r="H49" s="1013">
        <v>32</v>
      </c>
      <c r="I49" s="1013">
        <v>29.2</v>
      </c>
      <c r="J49" s="1014">
        <v>0.98499999999999999</v>
      </c>
      <c r="K49" s="1015">
        <v>7250000</v>
      </c>
      <c r="L49" s="948" t="s">
        <v>483</v>
      </c>
      <c r="M49" s="1015">
        <f>+IF(Tabla102227[[#This Row],[Mondeda]]="USD",Tabla102227[[#This Row],[Precio]]*'Datos de Entrada (On Grid)'!$D$15,Tabla102227[[#This Row],[Precio]])</f>
        <v>7250000</v>
      </c>
      <c r="N49" s="1015">
        <f>+Tabla102227[[#This Row],[costo]]*1.03+1100000</f>
        <v>8567500</v>
      </c>
      <c r="O49" s="948" t="s">
        <v>1247</v>
      </c>
      <c r="P49" s="1011">
        <v>150</v>
      </c>
      <c r="Q49" s="1011">
        <v>600</v>
      </c>
      <c r="R49" s="948" t="s">
        <v>269</v>
      </c>
      <c r="S49" s="1015">
        <f>+Tabla102227[[#This Row],[costo]]/0.8</f>
        <v>9062500</v>
      </c>
      <c r="T49" s="1015">
        <f>+Tabla102227[[#This Row],[total]]/Tabla102227[[#This Row],[Potencia (VA)]]</f>
        <v>856.75</v>
      </c>
      <c r="U49" s="948"/>
      <c r="V49" s="943"/>
      <c r="W49" s="943"/>
      <c r="X49" s="943"/>
      <c r="Y49" s="943"/>
      <c r="Z49" s="943"/>
      <c r="AA49" s="943"/>
      <c r="AB49" s="943"/>
      <c r="AC49" s="943"/>
      <c r="AD49" s="943"/>
      <c r="AE49" s="943"/>
    </row>
    <row r="50" spans="1:31">
      <c r="A50" s="943"/>
      <c r="B50" s="945" t="s">
        <v>3902</v>
      </c>
      <c r="C50" s="945" t="s">
        <v>4581</v>
      </c>
      <c r="D50" s="1010">
        <v>10000</v>
      </c>
      <c r="E50" s="1020">
        <v>3</v>
      </c>
      <c r="F50" s="1011">
        <v>600</v>
      </c>
      <c r="G50" s="1012" t="s">
        <v>3903</v>
      </c>
      <c r="H50" s="1013">
        <v>16.899999999999999</v>
      </c>
      <c r="I50" s="1013">
        <v>45.5</v>
      </c>
      <c r="J50" s="1014">
        <v>0.98099999999999998</v>
      </c>
      <c r="K50" s="1015">
        <v>4550000</v>
      </c>
      <c r="L50" s="948" t="s">
        <v>483</v>
      </c>
      <c r="M50" s="1015">
        <f>+IF(Tabla102227[[#This Row],[Mondeda]]="USD",Tabla102227[[#This Row],[Precio]]*'Datos de Entrada (On Grid)'!$D$15,Tabla102227[[#This Row],[Precio]])</f>
        <v>4550000</v>
      </c>
      <c r="N50" s="1015">
        <f>+Tabla102227[[#This Row],[costo]]*1.03+1100000</f>
        <v>5786500</v>
      </c>
      <c r="O50" s="948" t="s">
        <v>1247</v>
      </c>
      <c r="P50" s="1011">
        <v>150</v>
      </c>
      <c r="Q50" s="1011">
        <v>600</v>
      </c>
      <c r="R50" s="948" t="s">
        <v>269</v>
      </c>
      <c r="S50" s="1015">
        <f>+Tabla102227[[#This Row],[costo]]/0.8</f>
        <v>5687500</v>
      </c>
      <c r="T50" s="1015">
        <f>+Tabla102227[[#This Row],[total]]/Tabla102227[[#This Row],[Potencia (VA)]]</f>
        <v>578.65</v>
      </c>
      <c r="U50" s="948"/>
      <c r="V50" s="943"/>
      <c r="W50" s="943"/>
      <c r="X50" s="943"/>
      <c r="Y50" s="943"/>
      <c r="Z50" s="943"/>
      <c r="AA50" s="943"/>
      <c r="AB50" s="943"/>
      <c r="AC50" s="943"/>
      <c r="AD50" s="943"/>
      <c r="AE50" s="943"/>
    </row>
    <row r="51" spans="1:31">
      <c r="A51" s="943"/>
      <c r="B51" s="1021" t="s">
        <v>2614</v>
      </c>
      <c r="C51" s="1021" t="s">
        <v>4582</v>
      </c>
      <c r="D51" s="1010">
        <v>15000</v>
      </c>
      <c r="E51" s="1020">
        <v>2</v>
      </c>
      <c r="F51" s="1011">
        <v>1000</v>
      </c>
      <c r="G51" s="1012" t="s">
        <v>267</v>
      </c>
      <c r="H51" s="1013">
        <v>30</v>
      </c>
      <c r="I51" s="1013">
        <v>26</v>
      </c>
      <c r="J51" s="1014">
        <v>0.98</v>
      </c>
      <c r="K51" s="1015">
        <v>9535000</v>
      </c>
      <c r="L51" s="948" t="s">
        <v>483</v>
      </c>
      <c r="M51" s="1015">
        <f>+IF(Tabla102227[[#This Row],[Mondeda]]="USD",Tabla102227[[#This Row],[Precio]]*'Datos de Entrada (On Grid)'!$D$15,Tabla102227[[#This Row],[Precio]])</f>
        <v>9535000</v>
      </c>
      <c r="N51" s="1015">
        <f>+M51*1.05</f>
        <v>10011750</v>
      </c>
      <c r="O51" s="948" t="s">
        <v>2618</v>
      </c>
      <c r="P51" s="1011">
        <v>150</v>
      </c>
      <c r="Q51" s="1011">
        <v>600</v>
      </c>
      <c r="R51" s="948" t="s">
        <v>269</v>
      </c>
      <c r="S51" s="1015">
        <f>+Tabla102227[[#This Row],[costo]]/0.8</f>
        <v>11918750</v>
      </c>
      <c r="T51" s="1015">
        <f>+Tabla102227[[#This Row],[total]]/Tabla102227[[#This Row],[Potencia (VA)]]</f>
        <v>667.45</v>
      </c>
      <c r="U51" s="948"/>
      <c r="V51" s="943"/>
      <c r="W51" s="943"/>
      <c r="X51" s="943"/>
      <c r="Y51" s="943"/>
      <c r="Z51" s="943"/>
      <c r="AA51" s="943"/>
      <c r="AB51" s="943"/>
      <c r="AC51" s="943"/>
      <c r="AD51" s="943"/>
      <c r="AE51" s="943"/>
    </row>
    <row r="52" spans="1:31">
      <c r="A52" s="943"/>
      <c r="B52" s="945" t="s">
        <v>3891</v>
      </c>
      <c r="C52" s="945" t="s">
        <v>4582</v>
      </c>
      <c r="D52" s="1010">
        <v>15000</v>
      </c>
      <c r="E52" s="1020">
        <v>4</v>
      </c>
      <c r="F52" s="1011">
        <v>1100</v>
      </c>
      <c r="G52" s="1012" t="s">
        <v>3890</v>
      </c>
      <c r="H52" s="1013">
        <v>32</v>
      </c>
      <c r="I52" s="1013">
        <v>43.6</v>
      </c>
      <c r="J52" s="1014">
        <v>0.98499999999999999</v>
      </c>
      <c r="K52" s="1015">
        <v>8150000</v>
      </c>
      <c r="L52" s="948" t="s">
        <v>483</v>
      </c>
      <c r="M52" s="1015">
        <f>+IF(Tabla102227[[#This Row],[Mondeda]]="USD",Tabla102227[[#This Row],[Precio]]*'Datos de Entrada (On Grid)'!$D$15,Tabla102227[[#This Row],[Precio]])</f>
        <v>8150000</v>
      </c>
      <c r="N52" s="1015">
        <f>+Tabla102227[[#This Row],[costo]]*1.03+1100000</f>
        <v>9494500</v>
      </c>
      <c r="O52" s="948" t="s">
        <v>1247</v>
      </c>
      <c r="P52" s="1011"/>
      <c r="Q52" s="1011"/>
      <c r="R52" s="948" t="s">
        <v>269</v>
      </c>
      <c r="S52" s="1015">
        <f>+Tabla102227[[#This Row],[costo]]/0.8</f>
        <v>10187500</v>
      </c>
      <c r="T52" s="1015">
        <f>+Tabla102227[[#This Row],[Precio]]/Tabla102227[[#This Row],[Potencia (VA)]]</f>
        <v>543.33333333333337</v>
      </c>
      <c r="U52" s="948"/>
      <c r="V52" s="943"/>
      <c r="W52" s="943"/>
      <c r="X52" s="943"/>
      <c r="Y52" s="943"/>
      <c r="Z52" s="943"/>
      <c r="AA52" s="943"/>
      <c r="AB52" s="943"/>
      <c r="AC52" s="943"/>
      <c r="AD52" s="943"/>
      <c r="AE52" s="943"/>
    </row>
    <row r="53" spans="1:31">
      <c r="A53" s="943"/>
      <c r="B53" s="945" t="s">
        <v>3892</v>
      </c>
      <c r="C53" s="945" t="s">
        <v>4583</v>
      </c>
      <c r="D53" s="1010">
        <v>20000</v>
      </c>
      <c r="E53" s="1020">
        <v>4</v>
      </c>
      <c r="F53" s="1011">
        <v>1100</v>
      </c>
      <c r="G53" s="1012" t="s">
        <v>3890</v>
      </c>
      <c r="H53" s="1013">
        <v>32</v>
      </c>
      <c r="I53" s="1013">
        <v>58.3</v>
      </c>
      <c r="J53" s="1014">
        <v>0.98499999999999999</v>
      </c>
      <c r="K53" s="1015">
        <v>8860000</v>
      </c>
      <c r="L53" s="948" t="s">
        <v>483</v>
      </c>
      <c r="M53" s="1015">
        <f>+IF(Tabla102227[[#This Row],[Mondeda]]="USD",Tabla102227[[#This Row],[Precio]]*'Datos de Entrada (On Grid)'!$D$15,Tabla102227[[#This Row],[Precio]])</f>
        <v>8860000</v>
      </c>
      <c r="N53" s="1015">
        <f>+Tabla102227[[#This Row],[costo]]*1.03+1100000</f>
        <v>10225800</v>
      </c>
      <c r="O53" s="948" t="s">
        <v>1247</v>
      </c>
      <c r="P53" s="1011"/>
      <c r="Q53" s="1011"/>
      <c r="R53" s="948" t="s">
        <v>269</v>
      </c>
      <c r="S53" s="1015">
        <f>+Tabla102227[[#This Row],[costo]]/0.8</f>
        <v>11075000</v>
      </c>
      <c r="T53" s="1015">
        <f>+Tabla102227[[#This Row],[Precio]]/Tabla102227[[#This Row],[Potencia (VA)]]</f>
        <v>443</v>
      </c>
      <c r="U53" s="948"/>
      <c r="V53" s="943"/>
      <c r="W53" s="943"/>
      <c r="X53" s="943"/>
      <c r="Y53" s="943"/>
      <c r="Z53" s="943"/>
      <c r="AA53" s="943"/>
      <c r="AB53" s="943"/>
      <c r="AC53" s="943"/>
      <c r="AD53" s="943"/>
      <c r="AE53" s="943"/>
    </row>
    <row r="54" spans="1:31" s="1153" customFormat="1">
      <c r="A54" s="1145"/>
      <c r="B54" s="1146" t="s">
        <v>3367</v>
      </c>
      <c r="C54" s="1146" t="s">
        <v>4583</v>
      </c>
      <c r="D54" s="1147">
        <v>20000</v>
      </c>
      <c r="E54" s="1148">
        <v>4</v>
      </c>
      <c r="F54" s="1149">
        <v>750</v>
      </c>
      <c r="G54" s="1150" t="s">
        <v>3353</v>
      </c>
      <c r="H54" s="1151"/>
      <c r="I54" s="1151"/>
      <c r="J54" s="1152">
        <v>0.97299999999999998</v>
      </c>
      <c r="K54" s="1115">
        <v>9000000</v>
      </c>
      <c r="L54" s="1150" t="s">
        <v>483</v>
      </c>
      <c r="M54" s="1115">
        <f>+IF(Tabla102227[[#This Row],[Mondeda]]="USD",Tabla102227[[#This Row],[Precio]]*'Datos de Entrada (On Grid)'!$D$15,Tabla102227[[#This Row],[Precio]])</f>
        <v>9000000</v>
      </c>
      <c r="N54" s="1115">
        <f>+Tabla102227[[#This Row],[costo]]*1.03</f>
        <v>9270000</v>
      </c>
      <c r="O54" s="1150" t="s">
        <v>3352</v>
      </c>
      <c r="P54" s="1149"/>
      <c r="Q54" s="1149"/>
      <c r="R54" s="1150" t="s">
        <v>269</v>
      </c>
      <c r="S54" s="1115">
        <f>+Tabla102227[[#This Row],[costo]]/0.8</f>
        <v>11250000</v>
      </c>
      <c r="T54" s="1115">
        <f>+Tabla102227[[#This Row],[total]]/Tabla102227[[#This Row],[Potencia (VA)]]</f>
        <v>463.5</v>
      </c>
      <c r="U54" s="1150"/>
      <c r="V54" s="1145"/>
      <c r="W54" s="1145"/>
      <c r="X54" s="1145"/>
      <c r="Y54" s="1145"/>
      <c r="Z54" s="1145"/>
      <c r="AA54" s="1145"/>
      <c r="AB54" s="1145"/>
      <c r="AC54" s="1145"/>
      <c r="AD54" s="1145"/>
      <c r="AE54" s="1145"/>
    </row>
    <row r="55" spans="1:31">
      <c r="A55" s="943"/>
      <c r="B55" s="1021" t="s">
        <v>2615</v>
      </c>
      <c r="C55" s="1021" t="s">
        <v>4584</v>
      </c>
      <c r="D55" s="1010">
        <v>30000</v>
      </c>
      <c r="E55" s="1020">
        <v>4</v>
      </c>
      <c r="F55" s="1011">
        <v>600</v>
      </c>
      <c r="G55" s="1012" t="s">
        <v>267</v>
      </c>
      <c r="H55" s="1013">
        <v>15</v>
      </c>
      <c r="I55" s="1013">
        <v>13</v>
      </c>
      <c r="J55" s="1014">
        <v>0.98</v>
      </c>
      <c r="K55" s="1015">
        <v>11600000</v>
      </c>
      <c r="L55" s="948" t="s">
        <v>483</v>
      </c>
      <c r="M55" s="1015">
        <f>+IF(Tabla102227[[#This Row],[Mondeda]]="USD",Tabla102227[[#This Row],[Precio]]*'Datos de Entrada (On Grid)'!$D$15,Tabla102227[[#This Row],[Precio]])</f>
        <v>11600000</v>
      </c>
      <c r="N55" s="1015">
        <f t="shared" ref="N55:N60" si="0">+M55*1.05</f>
        <v>12180000</v>
      </c>
      <c r="O55" s="948" t="s">
        <v>2618</v>
      </c>
      <c r="P55" s="1011">
        <v>150</v>
      </c>
      <c r="Q55" s="1011">
        <v>600</v>
      </c>
      <c r="R55" s="948" t="s">
        <v>269</v>
      </c>
      <c r="S55" s="1015">
        <f>+Tabla102227[[#This Row],[costo]]/0.8</f>
        <v>14500000</v>
      </c>
      <c r="T55" s="1015">
        <f>+Tabla102227[[#This Row],[total]]/Tabla102227[[#This Row],[Potencia (VA)]]</f>
        <v>406</v>
      </c>
      <c r="U55" s="948"/>
      <c r="V55" s="943"/>
      <c r="W55" s="943"/>
      <c r="X55" s="943"/>
      <c r="Y55" s="943"/>
      <c r="Z55" s="943"/>
      <c r="AA55" s="943"/>
      <c r="AB55" s="943"/>
      <c r="AC55" s="943"/>
      <c r="AD55" s="943"/>
      <c r="AE55" s="943"/>
    </row>
    <row r="56" spans="1:31">
      <c r="A56" s="943"/>
      <c r="B56" s="945" t="s">
        <v>3886</v>
      </c>
      <c r="C56" s="1021" t="s">
        <v>4584</v>
      </c>
      <c r="D56" s="1010">
        <v>30000</v>
      </c>
      <c r="E56" s="1020">
        <v>3</v>
      </c>
      <c r="F56" s="1011">
        <v>1100</v>
      </c>
      <c r="G56" s="1012" t="s">
        <v>3887</v>
      </c>
      <c r="H56" s="1013">
        <v>50</v>
      </c>
      <c r="I56" s="1013">
        <v>87.4</v>
      </c>
      <c r="J56" s="1014">
        <v>0.98799999999999999</v>
      </c>
      <c r="K56" s="1015">
        <v>12100000</v>
      </c>
      <c r="L56" s="948" t="s">
        <v>483</v>
      </c>
      <c r="M56" s="1015">
        <f>+IF(Tabla102227[[#This Row],[Mondeda]]="USD",Tabla102227[[#This Row],[Precio]]*'Datos de Entrada (On Grid)'!$D$15,Tabla102227[[#This Row],[Precio]])</f>
        <v>12100000</v>
      </c>
      <c r="N56" s="1015">
        <f t="shared" si="0"/>
        <v>12705000</v>
      </c>
      <c r="O56" s="948" t="s">
        <v>1247</v>
      </c>
      <c r="P56" s="1011"/>
      <c r="Q56" s="1011"/>
      <c r="R56" s="948" t="s">
        <v>269</v>
      </c>
      <c r="S56" s="1015">
        <f>+Tabla102227[[#This Row],[costo]]/0.8</f>
        <v>15125000</v>
      </c>
      <c r="T56" s="1015">
        <f>+Tabla102227[[#This Row],[Precio]]/Tabla102227[[#This Row],[Potencia (VA)]]</f>
        <v>403.33333333333331</v>
      </c>
      <c r="U56" s="948"/>
      <c r="V56" s="943"/>
      <c r="W56" s="943"/>
      <c r="X56" s="943"/>
      <c r="Y56" s="943"/>
      <c r="Z56" s="943"/>
      <c r="AA56" s="943"/>
      <c r="AB56" s="943"/>
      <c r="AC56" s="943"/>
      <c r="AD56" s="943"/>
      <c r="AE56" s="943"/>
    </row>
    <row r="57" spans="1:31">
      <c r="A57" s="943"/>
      <c r="B57" s="1021" t="s">
        <v>3885</v>
      </c>
      <c r="C57" s="1021" t="s">
        <v>4585</v>
      </c>
      <c r="D57" s="1010">
        <v>36000</v>
      </c>
      <c r="E57" s="1020">
        <v>4</v>
      </c>
      <c r="F57" s="1011">
        <v>1100</v>
      </c>
      <c r="G57" s="1012" t="s">
        <v>3179</v>
      </c>
      <c r="H57" s="1013">
        <v>40</v>
      </c>
      <c r="I57" s="1013">
        <v>26</v>
      </c>
      <c r="J57" s="1014">
        <v>0.98</v>
      </c>
      <c r="K57" s="1015">
        <v>14530000</v>
      </c>
      <c r="L57" s="948" t="s">
        <v>483</v>
      </c>
      <c r="M57" s="1015">
        <f>+IF(Tabla102227[[#This Row],[Mondeda]]="USD",Tabla102227[[#This Row],[Precio]]*'Datos de Entrada (On Grid)'!$D$15,Tabla102227[[#This Row],[Precio]])</f>
        <v>14530000</v>
      </c>
      <c r="N57" s="1015">
        <f t="shared" si="0"/>
        <v>15256500</v>
      </c>
      <c r="O57" s="948" t="s">
        <v>2618</v>
      </c>
      <c r="P57" s="1011">
        <v>180</v>
      </c>
      <c r="Q57" s="1011">
        <v>1100</v>
      </c>
      <c r="R57" s="948" t="s">
        <v>269</v>
      </c>
      <c r="S57" s="1015">
        <f>+Tabla102227[[#This Row],[costo]]/0.8</f>
        <v>18162500</v>
      </c>
      <c r="T57" s="1015">
        <f>+Tabla102227[[#This Row],[total]]/Tabla102227[[#This Row],[Potencia (VA)]]</f>
        <v>423.79166666666669</v>
      </c>
      <c r="U57" s="948"/>
      <c r="V57" s="943"/>
      <c r="W57" s="943"/>
      <c r="X57" s="943"/>
      <c r="Y57" s="943"/>
      <c r="Z57" s="943"/>
      <c r="AA57" s="943"/>
      <c r="AB57" s="943"/>
      <c r="AC57" s="943"/>
      <c r="AD57" s="943"/>
      <c r="AE57" s="943"/>
    </row>
    <row r="58" spans="1:31" ht="15" customHeight="1">
      <c r="A58" s="943"/>
      <c r="B58" s="945" t="s">
        <v>3888</v>
      </c>
      <c r="C58" s="1021" t="s">
        <v>4585</v>
      </c>
      <c r="D58" s="1010">
        <v>36000</v>
      </c>
      <c r="E58" s="1020">
        <v>3</v>
      </c>
      <c r="F58" s="1011">
        <v>1100</v>
      </c>
      <c r="G58" s="1012" t="s">
        <v>3887</v>
      </c>
      <c r="H58" s="1013">
        <v>50</v>
      </c>
      <c r="I58" s="1013">
        <v>94.5</v>
      </c>
      <c r="J58" s="1014">
        <v>0.98799999999999999</v>
      </c>
      <c r="K58" s="1015">
        <v>13650000</v>
      </c>
      <c r="L58" s="948" t="s">
        <v>483</v>
      </c>
      <c r="M58" s="1015">
        <f>+IF(Tabla102227[[#This Row],[Mondeda]]="USD",Tabla102227[[#This Row],[Precio]]*'Datos de Entrada (On Grid)'!$D$15,Tabla102227[[#This Row],[Precio]])</f>
        <v>13650000</v>
      </c>
      <c r="N58" s="1015">
        <f t="shared" si="0"/>
        <v>14332500</v>
      </c>
      <c r="O58" s="948" t="s">
        <v>1247</v>
      </c>
      <c r="P58" s="1011"/>
      <c r="Q58" s="1011"/>
      <c r="R58" s="948" t="s">
        <v>269</v>
      </c>
      <c r="S58" s="1015">
        <f>+Tabla102227[[#This Row],[costo]]/0.8</f>
        <v>17062500</v>
      </c>
      <c r="T58" s="1015">
        <f>+Tabla102227[[#This Row],[Precio]]/Tabla102227[[#This Row],[Potencia (VA)]]</f>
        <v>379.16666666666669</v>
      </c>
      <c r="U58" s="948"/>
      <c r="V58" s="943"/>
      <c r="W58" s="943"/>
      <c r="X58" s="943"/>
      <c r="Y58" s="943"/>
      <c r="Z58" s="943"/>
      <c r="AA58" s="943"/>
      <c r="AB58" s="943"/>
      <c r="AC58" s="943"/>
      <c r="AD58" s="943"/>
      <c r="AE58" s="943"/>
    </row>
    <row r="59" spans="1:31">
      <c r="A59" s="943"/>
      <c r="B59" s="1021" t="s">
        <v>2616</v>
      </c>
      <c r="C59" s="1021" t="s">
        <v>4586</v>
      </c>
      <c r="D59" s="1010">
        <v>50000</v>
      </c>
      <c r="E59" s="1020">
        <v>6</v>
      </c>
      <c r="F59" s="1011">
        <v>1100</v>
      </c>
      <c r="G59" s="1012" t="s">
        <v>267</v>
      </c>
      <c r="H59" s="1013">
        <v>40</v>
      </c>
      <c r="I59" s="1013">
        <v>26</v>
      </c>
      <c r="J59" s="1014">
        <v>0.98</v>
      </c>
      <c r="K59" s="1015">
        <v>19810000</v>
      </c>
      <c r="L59" s="948" t="s">
        <v>483</v>
      </c>
      <c r="M59" s="1015">
        <f>+IF(Tabla102227[[#This Row],[Mondeda]]="USD",Tabla102227[[#This Row],[Precio]]*'Datos de Entrada (On Grid)'!$D$15,Tabla102227[[#This Row],[Precio]])</f>
        <v>19810000</v>
      </c>
      <c r="N59" s="1015">
        <f t="shared" si="0"/>
        <v>20800500</v>
      </c>
      <c r="O59" s="948" t="s">
        <v>2618</v>
      </c>
      <c r="P59" s="1011">
        <v>195</v>
      </c>
      <c r="Q59" s="1011">
        <v>1100</v>
      </c>
      <c r="R59" s="948" t="s">
        <v>269</v>
      </c>
      <c r="S59" s="1015">
        <f>+Tabla102227[[#This Row],[costo]]/0.8</f>
        <v>24762500</v>
      </c>
      <c r="T59" s="1015">
        <f>+Tabla102227[[#This Row],[total]]/Tabla102227[[#This Row],[Potencia (VA)]]</f>
        <v>416.01</v>
      </c>
      <c r="U59" s="948"/>
      <c r="V59" s="943"/>
      <c r="W59" s="943"/>
      <c r="X59" s="943"/>
      <c r="Y59" s="943"/>
      <c r="Z59" s="943"/>
      <c r="AA59" s="943"/>
      <c r="AB59" s="943"/>
      <c r="AC59" s="943"/>
      <c r="AD59" s="943"/>
      <c r="AE59" s="943"/>
    </row>
    <row r="60" spans="1:31">
      <c r="A60" s="943"/>
      <c r="B60" s="1021" t="s">
        <v>2617</v>
      </c>
      <c r="C60" s="1021" t="s">
        <v>4587</v>
      </c>
      <c r="D60" s="1010">
        <v>60000</v>
      </c>
      <c r="E60" s="1020">
        <v>8</v>
      </c>
      <c r="F60" s="1011">
        <v>1100</v>
      </c>
      <c r="G60" s="1012" t="s">
        <v>267</v>
      </c>
      <c r="H60" s="1013">
        <v>40</v>
      </c>
      <c r="I60" s="1013">
        <v>26</v>
      </c>
      <c r="J60" s="1014">
        <v>0.98</v>
      </c>
      <c r="K60" s="1115">
        <v>17500000</v>
      </c>
      <c r="L60" s="948" t="s">
        <v>483</v>
      </c>
      <c r="M60" s="1015">
        <f>+IF(Tabla102227[[#This Row],[Mondeda]]="USD",Tabla102227[[#This Row],[Precio]]*'Datos de Entrada (On Grid)'!$D$15,Tabla102227[[#This Row],[Precio]])</f>
        <v>17500000</v>
      </c>
      <c r="N60" s="1015">
        <f t="shared" si="0"/>
        <v>18375000</v>
      </c>
      <c r="O60" s="948" t="s">
        <v>2618</v>
      </c>
      <c r="P60" s="1011">
        <v>195</v>
      </c>
      <c r="Q60" s="1011">
        <v>1100</v>
      </c>
      <c r="R60" s="948" t="s">
        <v>269</v>
      </c>
      <c r="S60" s="1015">
        <f>+Tabla102227[[#This Row],[costo]]/0.8</f>
        <v>21875000</v>
      </c>
      <c r="T60" s="1015">
        <f>+Tabla102227[[#This Row],[total]]/Tabla102227[[#This Row],[Potencia (VA)]]</f>
        <v>306.25</v>
      </c>
      <c r="U60" s="948"/>
      <c r="V60" s="943"/>
      <c r="W60" s="943"/>
      <c r="X60" s="943"/>
      <c r="Y60" s="943"/>
      <c r="Z60" s="943"/>
      <c r="AA60" s="943"/>
      <c r="AB60" s="943"/>
      <c r="AC60" s="943"/>
      <c r="AD60" s="943"/>
      <c r="AE60" s="943"/>
    </row>
    <row r="61" spans="1:31">
      <c r="A61" s="943"/>
      <c r="B61" s="1021" t="s">
        <v>3904</v>
      </c>
      <c r="C61" s="1021" t="s">
        <v>4587</v>
      </c>
      <c r="D61" s="1010">
        <v>60000</v>
      </c>
      <c r="E61" s="1020">
        <v>6</v>
      </c>
      <c r="F61" s="1011">
        <v>1100</v>
      </c>
      <c r="G61" s="948" t="s">
        <v>3905</v>
      </c>
      <c r="H61" s="1013">
        <v>32</v>
      </c>
      <c r="I61" s="1013">
        <v>96.6</v>
      </c>
      <c r="J61" s="1014">
        <v>0.99</v>
      </c>
      <c r="K61" s="1015">
        <v>20180000</v>
      </c>
      <c r="L61" s="948" t="s">
        <v>483</v>
      </c>
      <c r="M61" s="1015">
        <f>+IF(Tabla102227[[#This Row],[Mondeda]]="USD",Tabla102227[[#This Row],[Precio]]*'Datos de Entrada (On Grid)'!$D$15,Tabla102227[[#This Row],[Precio]])</f>
        <v>20180000</v>
      </c>
      <c r="N61" s="1015">
        <f>+Tabla102227[[#This Row],[costo]]*1.03</f>
        <v>20785400</v>
      </c>
      <c r="O61" s="948" t="s">
        <v>1247</v>
      </c>
      <c r="P61" s="1011"/>
      <c r="Q61" s="1011"/>
      <c r="R61" s="948" t="s">
        <v>269</v>
      </c>
      <c r="S61" s="1015">
        <f>+Tabla102227[[#This Row],[costo]]/0.8</f>
        <v>25225000</v>
      </c>
      <c r="T61" s="1015">
        <f>+Tabla102227[[#This Row],[total]]/Tabla102227[[#This Row],[Potencia (VA)]]</f>
        <v>346.42333333333335</v>
      </c>
      <c r="U61" s="948"/>
      <c r="V61" s="943"/>
      <c r="W61" s="943"/>
      <c r="X61" s="943"/>
      <c r="Y61" s="943"/>
      <c r="Z61" s="943"/>
      <c r="AA61" s="943"/>
      <c r="AB61" s="943"/>
      <c r="AC61" s="943"/>
      <c r="AD61" s="943"/>
      <c r="AE61" s="943"/>
    </row>
    <row r="62" spans="1:31">
      <c r="A62" s="943"/>
      <c r="B62" s="1021" t="s">
        <v>3906</v>
      </c>
      <c r="C62" s="1021" t="s">
        <v>4588</v>
      </c>
      <c r="D62" s="1010">
        <v>70000</v>
      </c>
      <c r="E62" s="1020">
        <v>7</v>
      </c>
      <c r="F62" s="1011">
        <v>1100</v>
      </c>
      <c r="G62" s="948" t="s">
        <v>3905</v>
      </c>
      <c r="H62" s="1013">
        <v>32</v>
      </c>
      <c r="I62" s="1013">
        <v>112.7</v>
      </c>
      <c r="J62" s="1014">
        <v>0.99</v>
      </c>
      <c r="K62" s="1015">
        <v>21410000</v>
      </c>
      <c r="L62" s="948" t="s">
        <v>483</v>
      </c>
      <c r="M62" s="1015">
        <f>+IF(Tabla102227[[#This Row],[Mondeda]]="USD",Tabla102227[[#This Row],[Precio]]*'Datos de Entrada (On Grid)'!$D$15,Tabla102227[[#This Row],[Precio]])</f>
        <v>21410000</v>
      </c>
      <c r="N62" s="1015">
        <f>+Tabla102227[[#This Row],[costo]]*1.03</f>
        <v>22052300</v>
      </c>
      <c r="O62" s="948" t="s">
        <v>1247</v>
      </c>
      <c r="P62" s="1011"/>
      <c r="Q62" s="1011"/>
      <c r="R62" s="948" t="s">
        <v>269</v>
      </c>
      <c r="S62" s="1015">
        <f>+Tabla102227[[#This Row],[costo]]/0.8</f>
        <v>26762500</v>
      </c>
      <c r="T62" s="1015">
        <f>+Tabla102227[[#This Row],[total]]/Tabla102227[[#This Row],[Potencia (VA)]]</f>
        <v>315.03285714285715</v>
      </c>
      <c r="U62" s="948"/>
      <c r="V62" s="943"/>
      <c r="W62" s="943"/>
      <c r="X62" s="943"/>
      <c r="Y62" s="943"/>
      <c r="Z62" s="943"/>
      <c r="AA62" s="943"/>
      <c r="AB62" s="943"/>
      <c r="AC62" s="943"/>
      <c r="AD62" s="943"/>
      <c r="AE62" s="943"/>
    </row>
    <row r="63" spans="1:31">
      <c r="A63" s="943"/>
      <c r="B63" s="1021" t="s">
        <v>3373</v>
      </c>
      <c r="C63" s="1021" t="s">
        <v>4589</v>
      </c>
      <c r="D63" s="1010">
        <v>100000</v>
      </c>
      <c r="E63" s="1020">
        <v>10</v>
      </c>
      <c r="F63" s="1011">
        <v>1100</v>
      </c>
      <c r="G63" s="948" t="s">
        <v>3359</v>
      </c>
      <c r="H63" s="1013"/>
      <c r="I63" s="1013"/>
      <c r="J63" s="1014">
        <v>0.97299999999999998</v>
      </c>
      <c r="K63" s="1015">
        <v>22930000</v>
      </c>
      <c r="L63" s="948" t="s">
        <v>483</v>
      </c>
      <c r="M63" s="1015">
        <f>+IF(Tabla102227[[#This Row],[Mondeda]]="USD",Tabla102227[[#This Row],[Precio]]*'Datos de Entrada (On Grid)'!$D$15,Tabla102227[[#This Row],[Precio]])</f>
        <v>22930000</v>
      </c>
      <c r="N63" s="1015">
        <f>+Tabla102227[[#This Row],[costo]]*1.03</f>
        <v>23617900</v>
      </c>
      <c r="O63" s="948" t="s">
        <v>3352</v>
      </c>
      <c r="P63" s="1011"/>
      <c r="Q63" s="1011"/>
      <c r="R63" s="948" t="s">
        <v>269</v>
      </c>
      <c r="S63" s="1015">
        <f>+Tabla102227[[#This Row],[costo]]/0.8</f>
        <v>28662500</v>
      </c>
      <c r="T63" s="1015">
        <f>+Tabla102227[[#This Row],[total]]/Tabla102227[[#This Row],[Potencia (VA)]]</f>
        <v>236.179</v>
      </c>
      <c r="U63" s="948"/>
      <c r="V63" s="943"/>
      <c r="W63" s="943"/>
      <c r="X63" s="943"/>
      <c r="Y63" s="943"/>
      <c r="Z63" s="943"/>
      <c r="AA63" s="943"/>
      <c r="AB63" s="943"/>
      <c r="AC63" s="943"/>
      <c r="AD63" s="943"/>
      <c r="AE63" s="943"/>
    </row>
    <row r="64" spans="1:31">
      <c r="A64" s="943"/>
      <c r="B64" s="1025"/>
      <c r="C64" s="1025"/>
      <c r="D64" s="1026"/>
      <c r="E64" s="1027"/>
      <c r="F64" s="1027"/>
      <c r="G64" s="943"/>
      <c r="H64" s="1028"/>
      <c r="I64" s="1028"/>
      <c r="J64" s="1029"/>
      <c r="K64" s="1030"/>
      <c r="L64" s="943"/>
      <c r="M64" s="1030"/>
      <c r="N64" s="1030"/>
      <c r="O64" s="943"/>
      <c r="P64" s="1027"/>
      <c r="Q64" s="1027"/>
      <c r="R64" s="943"/>
      <c r="S64" s="1030"/>
      <c r="T64" s="1030"/>
      <c r="U64" s="943"/>
      <c r="V64" s="943"/>
      <c r="W64" s="943"/>
      <c r="X64" s="943"/>
      <c r="Y64" s="943"/>
      <c r="Z64" s="943"/>
      <c r="AA64" s="943"/>
      <c r="AB64" s="943"/>
      <c r="AC64" s="943"/>
      <c r="AD64" s="943"/>
      <c r="AE64" s="943"/>
    </row>
    <row r="65" spans="1:31">
      <c r="A65" s="943"/>
      <c r="B65" s="1025"/>
      <c r="C65" s="1025"/>
      <c r="D65" s="1026"/>
      <c r="E65" s="1027"/>
      <c r="F65" s="1027"/>
      <c r="G65" s="943"/>
      <c r="H65" s="1028"/>
      <c r="I65" s="1028"/>
      <c r="J65" s="1029"/>
      <c r="K65" s="1030"/>
      <c r="L65" s="943"/>
      <c r="M65" s="1030"/>
      <c r="N65" s="1030"/>
      <c r="O65" s="943"/>
      <c r="P65" s="1027"/>
      <c r="Q65" s="1027"/>
      <c r="R65" s="943"/>
      <c r="S65" s="1030"/>
      <c r="T65" s="1030"/>
      <c r="U65" s="943"/>
      <c r="V65" s="943"/>
      <c r="W65" s="943"/>
      <c r="X65" s="943"/>
      <c r="Y65" s="943"/>
      <c r="Z65" s="943"/>
      <c r="AA65" s="943"/>
      <c r="AB65" s="943"/>
      <c r="AC65" s="943"/>
      <c r="AD65" s="943"/>
      <c r="AE65" s="943"/>
    </row>
    <row r="66" spans="1:31">
      <c r="A66" s="943"/>
      <c r="B66" s="1025"/>
      <c r="C66" s="1025"/>
      <c r="D66" s="943"/>
      <c r="E66" s="943"/>
      <c r="F66" s="943"/>
      <c r="G66" s="943"/>
      <c r="H66" s="943"/>
      <c r="I66" s="943"/>
      <c r="J66" s="1031"/>
      <c r="K66" s="1030"/>
      <c r="L66" s="943"/>
      <c r="M66" s="1030"/>
      <c r="N66" s="1030"/>
      <c r="O66" s="943"/>
      <c r="P66" s="943"/>
      <c r="Q66" s="943"/>
      <c r="R66" s="943"/>
      <c r="S66" s="943"/>
      <c r="T66" s="943"/>
      <c r="U66" s="943"/>
      <c r="V66" s="943"/>
      <c r="W66" s="943"/>
      <c r="X66" s="943"/>
      <c r="Y66" s="943"/>
      <c r="Z66" s="943"/>
      <c r="AA66" s="943"/>
      <c r="AB66" s="943"/>
      <c r="AC66" s="943"/>
      <c r="AD66" s="943"/>
      <c r="AE66" s="943"/>
    </row>
    <row r="67" spans="1:31">
      <c r="A67" s="943"/>
      <c r="B67" s="1255" t="s">
        <v>3907</v>
      </c>
      <c r="C67" s="1256"/>
      <c r="D67" s="958"/>
      <c r="E67" s="958"/>
      <c r="F67" s="958"/>
      <c r="G67" s="958"/>
      <c r="H67" s="958"/>
      <c r="I67" s="958"/>
      <c r="J67" s="958"/>
      <c r="K67" s="958"/>
      <c r="L67" s="943"/>
      <c r="M67" s="943"/>
      <c r="N67" s="943"/>
      <c r="O67" s="943"/>
      <c r="P67" s="943"/>
      <c r="Q67" s="943"/>
      <c r="R67" s="943"/>
      <c r="S67" s="943"/>
      <c r="T67" s="943"/>
      <c r="U67" s="943"/>
      <c r="V67" s="943"/>
      <c r="W67" s="943"/>
      <c r="X67" s="943"/>
      <c r="Y67" s="943"/>
      <c r="Z67" s="943"/>
      <c r="AA67" s="943"/>
      <c r="AB67" s="943"/>
      <c r="AC67" s="943"/>
      <c r="AD67" s="943"/>
      <c r="AE67" s="943"/>
    </row>
    <row r="68" spans="1:31" ht="30">
      <c r="A68" s="943"/>
      <c r="B68" s="1032" t="s">
        <v>39</v>
      </c>
      <c r="C68" s="1032" t="s">
        <v>13</v>
      </c>
      <c r="D68" s="1032" t="s">
        <v>41</v>
      </c>
      <c r="E68" s="1032" t="s">
        <v>43</v>
      </c>
      <c r="F68" s="1032" t="s">
        <v>44</v>
      </c>
      <c r="G68" s="1032" t="s">
        <v>45</v>
      </c>
      <c r="H68" s="1032" t="s">
        <v>46</v>
      </c>
      <c r="I68" s="1032" t="s">
        <v>47</v>
      </c>
      <c r="J68" s="1032" t="s">
        <v>48</v>
      </c>
      <c r="K68" s="1032" t="s">
        <v>20</v>
      </c>
      <c r="L68" s="1033" t="s">
        <v>1810</v>
      </c>
      <c r="M68" s="1024" t="s">
        <v>195</v>
      </c>
      <c r="N68" s="1024" t="s">
        <v>196</v>
      </c>
      <c r="O68" s="1024" t="s">
        <v>1799</v>
      </c>
      <c r="P68" s="1034" t="s">
        <v>2405</v>
      </c>
      <c r="Q68" s="1034" t="s">
        <v>2407</v>
      </c>
      <c r="R68" s="1034" t="s">
        <v>510</v>
      </c>
      <c r="S68" s="1034" t="s">
        <v>524</v>
      </c>
      <c r="T68" s="1034" t="s">
        <v>3361</v>
      </c>
      <c r="U68" s="943"/>
      <c r="V68" s="943"/>
      <c r="W68" s="943"/>
      <c r="X68" s="943"/>
      <c r="Y68" s="943"/>
      <c r="Z68" s="943"/>
      <c r="AA68" s="943"/>
      <c r="AB68" s="943"/>
      <c r="AC68" s="943"/>
      <c r="AD68" s="943"/>
      <c r="AE68" s="943"/>
    </row>
    <row r="69" spans="1:31">
      <c r="A69" s="943"/>
      <c r="B69" s="1009" t="s">
        <v>2127</v>
      </c>
      <c r="C69" s="948" t="s">
        <v>1804</v>
      </c>
      <c r="D69" s="1010">
        <v>7000</v>
      </c>
      <c r="E69" s="1011">
        <v>2</v>
      </c>
      <c r="F69" s="948">
        <v>600</v>
      </c>
      <c r="G69" s="1012">
        <v>220</v>
      </c>
      <c r="H69" s="948">
        <v>15</v>
      </c>
      <c r="I69" s="945">
        <v>12.5</v>
      </c>
      <c r="J69" s="1035">
        <v>0.97499999999999998</v>
      </c>
      <c r="K69" s="1015">
        <v>6000000</v>
      </c>
      <c r="L69" s="948" t="s">
        <v>483</v>
      </c>
      <c r="M69" s="1015">
        <v>4800000</v>
      </c>
      <c r="N69" s="1015">
        <f>+M69*1.05</f>
        <v>5040000</v>
      </c>
      <c r="O69" s="948" t="s">
        <v>1802</v>
      </c>
      <c r="P69" s="943">
        <v>150</v>
      </c>
      <c r="Q69" s="943">
        <v>600</v>
      </c>
      <c r="R69" s="943" t="s">
        <v>269</v>
      </c>
      <c r="S69" s="943" t="e">
        <f>+Tabla102227[[#This Row],[costo]]/0.8</f>
        <v>#VALUE!</v>
      </c>
      <c r="T69" s="943" t="e">
        <f>+Tabla102227[[#This Row],[total]]/Tabla102227[[#This Row],[Potencia (VA)]]</f>
        <v>#VALUE!</v>
      </c>
      <c r="U69" s="943"/>
      <c r="V69" s="943"/>
      <c r="W69" s="943"/>
      <c r="X69" s="943"/>
      <c r="Y69" s="943"/>
      <c r="Z69" s="943"/>
      <c r="AA69" s="943"/>
      <c r="AB69" s="943"/>
      <c r="AC69" s="943"/>
      <c r="AD69" s="943"/>
      <c r="AE69" s="943"/>
    </row>
    <row r="70" spans="1:31">
      <c r="A70" s="943"/>
      <c r="B70" s="1009" t="s">
        <v>2128</v>
      </c>
      <c r="C70" s="948" t="s">
        <v>2006</v>
      </c>
      <c r="D70" s="1010">
        <v>9000</v>
      </c>
      <c r="E70" s="965">
        <v>2</v>
      </c>
      <c r="F70" s="945">
        <v>600</v>
      </c>
      <c r="G70" s="1036">
        <v>220</v>
      </c>
      <c r="H70" s="945">
        <v>15</v>
      </c>
      <c r="I70" s="945">
        <v>12.5</v>
      </c>
      <c r="J70" s="1035">
        <v>0.97499999999999998</v>
      </c>
      <c r="K70" s="1037">
        <v>7000000</v>
      </c>
      <c r="L70" s="945" t="s">
        <v>483</v>
      </c>
      <c r="M70" s="1015" t="e">
        <f>+IF(Tabla102227[[#This Row],[Mondeda]]="USD",Tabla102227[[#This Row],[Precio]]*'Datos de Entrada (On Grid)'!$D$15,Tabla102227[[#This Row],[Precio]])</f>
        <v>#VALUE!</v>
      </c>
      <c r="N70" s="1015" t="e">
        <f>+M70*1.05</f>
        <v>#VALUE!</v>
      </c>
      <c r="O70" s="948" t="s">
        <v>1802</v>
      </c>
      <c r="P70" s="943">
        <v>150</v>
      </c>
      <c r="Q70" s="943">
        <v>600</v>
      </c>
      <c r="R70" s="943" t="s">
        <v>269</v>
      </c>
      <c r="S70" s="943" t="e">
        <f>+Tabla102227[[#This Row],[costo]]/0.8</f>
        <v>#VALUE!</v>
      </c>
      <c r="T70" s="943" t="e">
        <f>+Tabla102227[[#This Row],[total]]/Tabla102227[[#This Row],[Potencia (VA)]]</f>
        <v>#VALUE!</v>
      </c>
      <c r="U70" s="943"/>
      <c r="V70" s="943"/>
      <c r="W70" s="943"/>
      <c r="X70" s="943"/>
      <c r="Y70" s="943"/>
      <c r="Z70" s="943"/>
      <c r="AA70" s="943"/>
      <c r="AB70" s="943"/>
      <c r="AC70" s="943"/>
      <c r="AD70" s="943"/>
      <c r="AE70" s="943"/>
    </row>
    <row r="71" spans="1:31">
      <c r="A71" s="943"/>
      <c r="B71" s="945" t="s">
        <v>1211</v>
      </c>
      <c r="C71" s="948" t="str">
        <f>+B71</f>
        <v>Inversor Híbrido Growatt SPH 5000</v>
      </c>
      <c r="D71" s="1010">
        <v>5000</v>
      </c>
      <c r="E71" s="965">
        <v>2</v>
      </c>
      <c r="F71" s="965">
        <v>550</v>
      </c>
      <c r="G71" s="1012" t="s">
        <v>267</v>
      </c>
      <c r="H71" s="1038">
        <v>15</v>
      </c>
      <c r="I71" s="1038">
        <v>16</v>
      </c>
      <c r="J71" s="1039">
        <v>0.97299999999999998</v>
      </c>
      <c r="K71" s="999">
        <v>6300000</v>
      </c>
      <c r="L71" s="1000" t="s">
        <v>483</v>
      </c>
      <c r="M71" s="1015" t="e">
        <f>+IF(Tabla102227[[#This Row],[Mondeda]]="USD",Tabla102227[[#This Row],[Precio]]*'Datos de Entrada (On Grid)'!$D$15,Tabla102227[[#This Row],[Precio]])</f>
        <v>#VALUE!</v>
      </c>
      <c r="N71" s="1015" t="e">
        <f>+Tabla102227[[#This Row],[costo]]*1.03+1100000</f>
        <v>#VALUE!</v>
      </c>
      <c r="O71" s="948" t="s">
        <v>1247</v>
      </c>
      <c r="P71" s="943">
        <v>150</v>
      </c>
      <c r="Q71" s="943">
        <v>600</v>
      </c>
      <c r="R71" s="943" t="s">
        <v>269</v>
      </c>
      <c r="S71" s="999" t="e">
        <f>+Tabla102227[[#This Row],[costo]]/0.8</f>
        <v>#VALUE!</v>
      </c>
      <c r="T71" s="999" t="e">
        <f>+Tabla102227[[#This Row],[total]]/Tabla102227[[#This Row],[Potencia (VA)]]</f>
        <v>#VALUE!</v>
      </c>
      <c r="U71" s="943"/>
      <c r="V71" s="943"/>
      <c r="W71" s="943"/>
      <c r="X71" s="943"/>
      <c r="Y71" s="943"/>
      <c r="Z71" s="943"/>
      <c r="AA71" s="943"/>
      <c r="AB71" s="943"/>
      <c r="AC71" s="943"/>
      <c r="AD71" s="943"/>
      <c r="AE71" s="943"/>
    </row>
    <row r="72" spans="1:31">
      <c r="A72" s="943"/>
      <c r="B72" s="945" t="s">
        <v>1976</v>
      </c>
      <c r="C72" s="945" t="str">
        <f>+B72</f>
        <v>Inversor Híbrido Growatt SPH 6000</v>
      </c>
      <c r="D72" s="1010">
        <v>6000</v>
      </c>
      <c r="E72" s="965">
        <v>2</v>
      </c>
      <c r="F72" s="965">
        <v>600</v>
      </c>
      <c r="G72" s="1040" t="s">
        <v>267</v>
      </c>
      <c r="H72" s="1038">
        <v>15</v>
      </c>
      <c r="I72" s="1038">
        <v>16</v>
      </c>
      <c r="J72" s="1039">
        <v>0.97299999999999998</v>
      </c>
      <c r="K72" s="999">
        <v>6649671</v>
      </c>
      <c r="L72" s="1000" t="s">
        <v>483</v>
      </c>
      <c r="M72" s="1015" t="e">
        <f>+IF(Tabla102227[[#This Row],[Mondeda]]="USD",Tabla102227[[#This Row],[Precio]]*'Datos de Entrada (On Grid)'!$D$15,Tabla102227[[#This Row],[Precio]])</f>
        <v>#VALUE!</v>
      </c>
      <c r="N72" s="1015" t="e">
        <f>+Tabla102227[[#This Row],[costo]]*1.03+1100000</f>
        <v>#VALUE!</v>
      </c>
      <c r="O72" s="948" t="s">
        <v>1247</v>
      </c>
      <c r="P72" s="943">
        <v>150</v>
      </c>
      <c r="Q72" s="943">
        <v>600</v>
      </c>
      <c r="R72" s="943" t="s">
        <v>269</v>
      </c>
      <c r="S72" s="999" t="e">
        <f>+Tabla102227[[#This Row],[costo]]/0.8</f>
        <v>#VALUE!</v>
      </c>
      <c r="T72" s="999" t="e">
        <f>+Tabla102227[[#This Row],[total]]/Tabla102227[[#This Row],[Potencia (VA)]]</f>
        <v>#VALUE!</v>
      </c>
      <c r="U72" s="943"/>
      <c r="V72" s="943"/>
      <c r="W72" s="943"/>
      <c r="X72" s="943"/>
      <c r="Y72" s="943"/>
      <c r="Z72" s="943"/>
      <c r="AA72" s="943"/>
      <c r="AB72" s="943"/>
      <c r="AC72" s="943"/>
      <c r="AD72" s="943"/>
      <c r="AE72" s="943"/>
    </row>
    <row r="73" spans="1:31">
      <c r="A73" s="943"/>
      <c r="B73" s="948" t="s">
        <v>1210</v>
      </c>
      <c r="C73" s="948" t="str">
        <f>+B73</f>
        <v>Inversor Híbrido Growatt SPH 3000</v>
      </c>
      <c r="D73" s="1010">
        <v>3000</v>
      </c>
      <c r="E73" s="1011">
        <v>2</v>
      </c>
      <c r="F73" s="1011">
        <v>550</v>
      </c>
      <c r="G73" s="1012" t="s">
        <v>267</v>
      </c>
      <c r="H73" s="1038">
        <v>15</v>
      </c>
      <c r="I73" s="1038">
        <v>16</v>
      </c>
      <c r="J73" s="1039">
        <v>0.97299999999999998</v>
      </c>
      <c r="K73" s="999">
        <v>5300000</v>
      </c>
      <c r="L73" s="1000" t="s">
        <v>483</v>
      </c>
      <c r="M73" s="1015" t="e">
        <f>+IF(Tabla102227[[#This Row],[Mondeda]]="USD",Tabla102227[[#This Row],[Precio]]*'Datos de Entrada (On Grid)'!$D$15,Tabla102227[[#This Row],[Precio]])</f>
        <v>#VALUE!</v>
      </c>
      <c r="N73" s="1015" t="e">
        <f>+Tabla102227[[#This Row],[costo]]*1.03+1100000</f>
        <v>#VALUE!</v>
      </c>
      <c r="O73" s="948" t="s">
        <v>1247</v>
      </c>
      <c r="P73" s="943">
        <v>150</v>
      </c>
      <c r="Q73" s="943">
        <v>600</v>
      </c>
      <c r="R73" s="943" t="s">
        <v>269</v>
      </c>
      <c r="S73" s="999" t="e">
        <f>+Tabla102227[[#This Row],[costo]]/0.8</f>
        <v>#VALUE!</v>
      </c>
      <c r="T73" s="999" t="e">
        <f>+Tabla102227[[#This Row],[total]]/Tabla102227[[#This Row],[Potencia (VA)]]</f>
        <v>#VALUE!</v>
      </c>
      <c r="U73" s="943"/>
      <c r="V73" s="943"/>
      <c r="W73" s="943"/>
      <c r="X73" s="943"/>
      <c r="Y73" s="943"/>
      <c r="Z73" s="943"/>
      <c r="AA73" s="943"/>
      <c r="AB73" s="943"/>
      <c r="AC73" s="943"/>
      <c r="AD73" s="943"/>
      <c r="AE73" s="943"/>
    </row>
    <row r="74" spans="1:31" s="1042" customFormat="1">
      <c r="A74" s="943"/>
      <c r="B74" s="1009" t="s">
        <v>3362</v>
      </c>
      <c r="C74" s="948" t="str">
        <f>+B74</f>
        <v>HUAWEI SUN2000-2KTL-L1 208V</v>
      </c>
      <c r="D74" s="1010">
        <v>2000</v>
      </c>
      <c r="E74" s="1019">
        <v>2</v>
      </c>
      <c r="F74" s="1011">
        <v>600</v>
      </c>
      <c r="G74" s="1012" t="s">
        <v>267</v>
      </c>
      <c r="H74" s="1004">
        <v>18</v>
      </c>
      <c r="I74" s="1004">
        <v>10</v>
      </c>
      <c r="J74" s="1005">
        <v>0.97299999999999998</v>
      </c>
      <c r="K74" s="999">
        <v>2250000</v>
      </c>
      <c r="L74" s="1000" t="s">
        <v>483</v>
      </c>
      <c r="M74" s="1015" t="e">
        <f>+IF(Tabla102227[[#This Row],[Mondeda]]="USD",Tabla102227[[#This Row],[Precio]]*'Datos de Entrada (On Grid)'!$D$15,Tabla102227[[#This Row],[Precio]])</f>
        <v>#VALUE!</v>
      </c>
      <c r="N74" s="1015" t="e">
        <f>+Tabla102227[[#This Row],[costo]]*1.03</f>
        <v>#VALUE!</v>
      </c>
      <c r="O74" s="948" t="s">
        <v>3352</v>
      </c>
      <c r="P74" s="1011">
        <v>100</v>
      </c>
      <c r="Q74" s="1011">
        <v>600</v>
      </c>
      <c r="R74" s="948" t="s">
        <v>269</v>
      </c>
      <c r="S74" s="999" t="e">
        <f>+Tabla102227[[#This Row],[costo]]/0.8</f>
        <v>#VALUE!</v>
      </c>
      <c r="T74" s="999" t="e">
        <f>+Tabla102227[[#This Row],[total]]/Tabla102227[[#This Row],[Potencia (VA)]]</f>
        <v>#VALUE!</v>
      </c>
      <c r="U74" s="948"/>
      <c r="V74" s="1041"/>
      <c r="W74" s="1041"/>
      <c r="X74" s="1041"/>
      <c r="Y74" s="1041"/>
      <c r="Z74" s="1041"/>
      <c r="AA74" s="1041"/>
      <c r="AB74" s="1041"/>
      <c r="AC74" s="1041"/>
      <c r="AD74" s="1041"/>
      <c r="AE74" s="1041"/>
    </row>
    <row r="75" spans="1:31" s="1042" customFormat="1">
      <c r="A75" s="943"/>
      <c r="B75" s="1021" t="s">
        <v>3363</v>
      </c>
      <c r="C75" s="1021" t="s">
        <v>3363</v>
      </c>
      <c r="D75" s="1010">
        <v>3000</v>
      </c>
      <c r="E75" s="1020">
        <v>2</v>
      </c>
      <c r="F75" s="1011">
        <v>600</v>
      </c>
      <c r="G75" s="1012" t="s">
        <v>267</v>
      </c>
      <c r="H75" s="1004">
        <v>18</v>
      </c>
      <c r="I75" s="1004">
        <v>15</v>
      </c>
      <c r="J75" s="1005">
        <v>0.97299999999999998</v>
      </c>
      <c r="K75" s="999">
        <v>2600000</v>
      </c>
      <c r="L75" s="1000" t="s">
        <v>483</v>
      </c>
      <c r="M75" s="1015">
        <v>2600000</v>
      </c>
      <c r="N75" s="1015">
        <v>2678000</v>
      </c>
      <c r="O75" s="948" t="s">
        <v>3352</v>
      </c>
      <c r="P75" s="1011">
        <v>100</v>
      </c>
      <c r="Q75" s="1011">
        <v>600</v>
      </c>
      <c r="R75" s="948" t="s">
        <v>269</v>
      </c>
      <c r="S75" s="999">
        <v>3250000</v>
      </c>
      <c r="T75" s="999">
        <v>892.66666666666663</v>
      </c>
      <c r="U75" s="948"/>
      <c r="V75" s="1041"/>
      <c r="W75" s="1041"/>
      <c r="X75" s="1041"/>
      <c r="Y75" s="1041"/>
      <c r="Z75" s="1041"/>
      <c r="AA75" s="1041"/>
      <c r="AB75" s="1041"/>
      <c r="AC75" s="1041"/>
      <c r="AD75" s="1041"/>
      <c r="AE75" s="1041"/>
    </row>
    <row r="76" spans="1:31" s="1042" customFormat="1">
      <c r="A76" s="943"/>
      <c r="B76" s="1009" t="s">
        <v>3364</v>
      </c>
      <c r="C76" s="1009" t="s">
        <v>3364</v>
      </c>
      <c r="D76" s="1010">
        <v>4000</v>
      </c>
      <c r="E76" s="1019">
        <v>2</v>
      </c>
      <c r="F76" s="1011">
        <v>600</v>
      </c>
      <c r="G76" s="1012" t="s">
        <v>267</v>
      </c>
      <c r="H76" s="1004">
        <v>18</v>
      </c>
      <c r="I76" s="1004">
        <v>20</v>
      </c>
      <c r="J76" s="1005">
        <v>0.97299999999999998</v>
      </c>
      <c r="K76" s="999">
        <v>3200000</v>
      </c>
      <c r="L76" s="1000" t="s">
        <v>483</v>
      </c>
      <c r="M76" s="1015">
        <v>3200000</v>
      </c>
      <c r="N76" s="1015">
        <v>3296000</v>
      </c>
      <c r="O76" s="948" t="s">
        <v>3352</v>
      </c>
      <c r="P76" s="1011">
        <v>100</v>
      </c>
      <c r="Q76" s="1011">
        <v>600</v>
      </c>
      <c r="R76" s="948" t="s">
        <v>269</v>
      </c>
      <c r="S76" s="999">
        <v>4000000</v>
      </c>
      <c r="T76" s="999">
        <v>824</v>
      </c>
      <c r="U76" s="948"/>
      <c r="V76" s="1041"/>
      <c r="W76" s="1041"/>
      <c r="X76" s="1041"/>
      <c r="Y76" s="1041"/>
      <c r="Z76" s="1041"/>
      <c r="AA76" s="1041"/>
      <c r="AB76" s="1041"/>
      <c r="AC76" s="1041"/>
      <c r="AD76" s="1041"/>
      <c r="AE76" s="1041"/>
    </row>
    <row r="77" spans="1:31" s="1042" customFormat="1">
      <c r="A77" s="943"/>
      <c r="B77" s="1009" t="s">
        <v>3365</v>
      </c>
      <c r="C77" s="1009" t="s">
        <v>3365</v>
      </c>
      <c r="D77" s="1010">
        <v>5000</v>
      </c>
      <c r="E77" s="1020">
        <v>2</v>
      </c>
      <c r="F77" s="1011">
        <v>600</v>
      </c>
      <c r="G77" s="1012" t="s">
        <v>267</v>
      </c>
      <c r="H77" s="1004">
        <v>18</v>
      </c>
      <c r="I77" s="1004">
        <v>25</v>
      </c>
      <c r="J77" s="1005">
        <v>0.97299999999999998</v>
      </c>
      <c r="K77" s="999">
        <v>3300000</v>
      </c>
      <c r="L77" s="1000" t="s">
        <v>483</v>
      </c>
      <c r="M77" s="1015">
        <v>3300000</v>
      </c>
      <c r="N77" s="1015">
        <v>3399000</v>
      </c>
      <c r="O77" s="948" t="s">
        <v>3352</v>
      </c>
      <c r="P77" s="1011">
        <v>100</v>
      </c>
      <c r="Q77" s="1011">
        <v>600</v>
      </c>
      <c r="R77" s="948" t="s">
        <v>269</v>
      </c>
      <c r="S77" s="999">
        <v>4125000</v>
      </c>
      <c r="T77" s="999">
        <v>679.8</v>
      </c>
      <c r="U77" s="948"/>
      <c r="V77" s="1041"/>
      <c r="W77" s="1041"/>
      <c r="X77" s="1041"/>
      <c r="Y77" s="1041"/>
      <c r="Z77" s="1041"/>
      <c r="AA77" s="1041"/>
      <c r="AB77" s="1041"/>
      <c r="AC77" s="1041"/>
      <c r="AD77" s="1041"/>
      <c r="AE77" s="1041"/>
    </row>
    <row r="78" spans="1:31" s="1042" customFormat="1">
      <c r="A78" s="943"/>
      <c r="B78" s="1009" t="s">
        <v>3366</v>
      </c>
      <c r="C78" s="1009" t="s">
        <v>3366</v>
      </c>
      <c r="D78" s="1010">
        <v>6000</v>
      </c>
      <c r="E78" s="1019">
        <v>2</v>
      </c>
      <c r="F78" s="1011">
        <v>600</v>
      </c>
      <c r="G78" s="1012" t="s">
        <v>267</v>
      </c>
      <c r="H78" s="1004">
        <v>18</v>
      </c>
      <c r="I78" s="1004">
        <v>27.3</v>
      </c>
      <c r="J78" s="1005">
        <v>0.97299999999999998</v>
      </c>
      <c r="K78" s="999">
        <v>3700000</v>
      </c>
      <c r="L78" s="1000" t="s">
        <v>483</v>
      </c>
      <c r="M78" s="1015">
        <v>3700000</v>
      </c>
      <c r="N78" s="1015">
        <v>3811000</v>
      </c>
      <c r="O78" s="948" t="s">
        <v>3352</v>
      </c>
      <c r="P78" s="1011">
        <v>100</v>
      </c>
      <c r="Q78" s="1011">
        <v>600</v>
      </c>
      <c r="R78" s="948" t="s">
        <v>269</v>
      </c>
      <c r="S78" s="999">
        <v>4625000</v>
      </c>
      <c r="T78" s="999">
        <v>635.16666666666663</v>
      </c>
      <c r="U78" s="948"/>
      <c r="V78" s="1041"/>
      <c r="W78" s="1041"/>
      <c r="X78" s="1041"/>
      <c r="Y78" s="1041"/>
      <c r="Z78" s="1041"/>
      <c r="AA78" s="1041"/>
      <c r="AB78" s="1041"/>
      <c r="AC78" s="1041"/>
      <c r="AD78" s="1041"/>
      <c r="AE78" s="1041"/>
    </row>
    <row r="79" spans="1:31">
      <c r="A79" s="943"/>
      <c r="B79" s="1021" t="s">
        <v>3368</v>
      </c>
      <c r="C79" s="1021" t="s">
        <v>3368</v>
      </c>
      <c r="D79" s="1010">
        <v>30000</v>
      </c>
      <c r="E79" s="1020">
        <v>4</v>
      </c>
      <c r="F79" s="1011">
        <v>1100</v>
      </c>
      <c r="G79" s="948" t="s">
        <v>3354</v>
      </c>
      <c r="H79" s="1004"/>
      <c r="I79" s="1004"/>
      <c r="J79" s="1005">
        <v>0.97299999999999998</v>
      </c>
      <c r="K79" s="999">
        <v>9400000</v>
      </c>
      <c r="L79" s="1000" t="s">
        <v>483</v>
      </c>
      <c r="M79" s="1015">
        <v>9400000</v>
      </c>
      <c r="N79" s="1015">
        <v>9682000</v>
      </c>
      <c r="O79" s="948" t="s">
        <v>3352</v>
      </c>
      <c r="P79" s="1011"/>
      <c r="Q79" s="1011"/>
      <c r="R79" s="948" t="s">
        <v>269</v>
      </c>
      <c r="S79" s="999">
        <v>11750000</v>
      </c>
      <c r="T79" s="999">
        <v>322.73333333333335</v>
      </c>
      <c r="U79" s="948"/>
      <c r="V79" s="943"/>
      <c r="W79" s="943"/>
      <c r="X79" s="943"/>
      <c r="Y79" s="943"/>
      <c r="Z79" s="943"/>
      <c r="AA79" s="943"/>
      <c r="AB79" s="943"/>
      <c r="AC79" s="943"/>
      <c r="AD79" s="943"/>
      <c r="AE79" s="943"/>
    </row>
    <row r="80" spans="1:31">
      <c r="A80" s="943"/>
      <c r="B80" s="1021" t="s">
        <v>3369</v>
      </c>
      <c r="C80" s="1021" t="s">
        <v>3369</v>
      </c>
      <c r="D80" s="1010">
        <v>36000</v>
      </c>
      <c r="E80" s="1020">
        <v>4</v>
      </c>
      <c r="F80" s="1011">
        <v>1100</v>
      </c>
      <c r="G80" s="948" t="s">
        <v>3355</v>
      </c>
      <c r="H80" s="1004"/>
      <c r="I80" s="1004"/>
      <c r="J80" s="1005">
        <v>0.97299999999999998</v>
      </c>
      <c r="K80" s="999">
        <v>9710000</v>
      </c>
      <c r="L80" s="1000" t="s">
        <v>483</v>
      </c>
      <c r="M80" s="1015">
        <v>9710000</v>
      </c>
      <c r="N80" s="1015">
        <v>10001300</v>
      </c>
      <c r="O80" s="948" t="s">
        <v>3352</v>
      </c>
      <c r="P80" s="1011"/>
      <c r="Q80" s="1011"/>
      <c r="R80" s="948" t="s">
        <v>269</v>
      </c>
      <c r="S80" s="999">
        <v>12137500</v>
      </c>
      <c r="T80" s="999">
        <v>277.81388888888887</v>
      </c>
      <c r="U80" s="948"/>
      <c r="V80" s="943"/>
      <c r="W80" s="943"/>
      <c r="X80" s="943"/>
      <c r="Y80" s="943"/>
      <c r="Z80" s="943"/>
      <c r="AA80" s="943"/>
      <c r="AB80" s="943"/>
      <c r="AC80" s="943"/>
      <c r="AD80" s="943"/>
      <c r="AE80" s="943"/>
    </row>
    <row r="81" spans="1:31">
      <c r="A81" s="943"/>
      <c r="B81" s="1021" t="s">
        <v>3370</v>
      </c>
      <c r="C81" s="1021" t="s">
        <v>3370</v>
      </c>
      <c r="D81" s="1010">
        <v>40000</v>
      </c>
      <c r="E81" s="1020">
        <v>4</v>
      </c>
      <c r="F81" s="1011">
        <v>1100</v>
      </c>
      <c r="G81" s="948" t="s">
        <v>3356</v>
      </c>
      <c r="H81" s="1004"/>
      <c r="I81" s="1004"/>
      <c r="J81" s="1005">
        <v>0.97299999999999998</v>
      </c>
      <c r="K81" s="999">
        <v>9995000</v>
      </c>
      <c r="L81" s="1000" t="s">
        <v>483</v>
      </c>
      <c r="M81" s="1015">
        <v>9995000</v>
      </c>
      <c r="N81" s="1015">
        <v>10294850</v>
      </c>
      <c r="O81" s="948" t="s">
        <v>3352</v>
      </c>
      <c r="P81" s="1011"/>
      <c r="Q81" s="1011"/>
      <c r="R81" s="948" t="s">
        <v>269</v>
      </c>
      <c r="S81" s="999">
        <v>12493750</v>
      </c>
      <c r="T81" s="999">
        <v>257.37124999999997</v>
      </c>
      <c r="U81" s="948"/>
      <c r="V81" s="943"/>
      <c r="W81" s="943"/>
      <c r="X81" s="943"/>
      <c r="Y81" s="943"/>
      <c r="Z81" s="943"/>
      <c r="AA81" s="943"/>
      <c r="AB81" s="943"/>
      <c r="AC81" s="943"/>
      <c r="AD81" s="943"/>
      <c r="AE81" s="943"/>
    </row>
    <row r="82" spans="1:31">
      <c r="A82" s="943"/>
      <c r="B82" s="1021" t="s">
        <v>3371</v>
      </c>
      <c r="C82" s="1021" t="s">
        <v>3371</v>
      </c>
      <c r="D82" s="1010">
        <v>50000</v>
      </c>
      <c r="E82" s="1020">
        <v>4</v>
      </c>
      <c r="F82" s="1011">
        <v>1100</v>
      </c>
      <c r="G82" s="948" t="s">
        <v>3357</v>
      </c>
      <c r="H82" s="1004"/>
      <c r="I82" s="1004"/>
      <c r="J82" s="1005">
        <v>0.97299999999999998</v>
      </c>
      <c r="K82" s="999">
        <v>11300000</v>
      </c>
      <c r="L82" s="1000" t="s">
        <v>483</v>
      </c>
      <c r="M82" s="1015">
        <v>11300000</v>
      </c>
      <c r="N82" s="1015">
        <v>11639000</v>
      </c>
      <c r="O82" s="948" t="s">
        <v>3352</v>
      </c>
      <c r="P82" s="1011"/>
      <c r="Q82" s="1011"/>
      <c r="R82" s="948" t="s">
        <v>269</v>
      </c>
      <c r="S82" s="999">
        <v>14125000</v>
      </c>
      <c r="T82" s="999">
        <v>232.78</v>
      </c>
      <c r="U82" s="948"/>
      <c r="V82" s="943"/>
      <c r="W82" s="943"/>
      <c r="X82" s="943"/>
      <c r="Y82" s="943"/>
      <c r="Z82" s="943"/>
      <c r="AA82" s="943"/>
      <c r="AB82" s="943"/>
      <c r="AC82" s="943"/>
      <c r="AD82" s="943"/>
      <c r="AE82" s="943"/>
    </row>
    <row r="83" spans="1:31" ht="60">
      <c r="A83" s="943"/>
      <c r="B83" s="1009" t="s">
        <v>3372</v>
      </c>
      <c r="C83" s="1009" t="s">
        <v>3372</v>
      </c>
      <c r="D83" s="1010">
        <v>60000</v>
      </c>
      <c r="E83" s="1019">
        <v>2</v>
      </c>
      <c r="F83" s="1011">
        <v>1100</v>
      </c>
      <c r="G83" s="1043" t="s">
        <v>3358</v>
      </c>
      <c r="H83" s="1004"/>
      <c r="I83" s="1004"/>
      <c r="J83" s="1005">
        <v>0.97299999999999998</v>
      </c>
      <c r="K83" s="999">
        <v>12820000</v>
      </c>
      <c r="L83" s="1000" t="s">
        <v>483</v>
      </c>
      <c r="M83" s="1015">
        <v>12820000</v>
      </c>
      <c r="N83" s="1015">
        <v>13204600</v>
      </c>
      <c r="O83" s="948" t="s">
        <v>3352</v>
      </c>
      <c r="P83" s="1011"/>
      <c r="Q83" s="1011"/>
      <c r="R83" s="948" t="s">
        <v>269</v>
      </c>
      <c r="S83" s="999">
        <v>16025000</v>
      </c>
      <c r="T83" s="999">
        <v>220.07666666666665</v>
      </c>
      <c r="U83" s="948"/>
      <c r="V83" s="943"/>
      <c r="W83" s="943"/>
      <c r="X83" s="943"/>
      <c r="Y83" s="943"/>
      <c r="Z83" s="943"/>
      <c r="AA83" s="943"/>
      <c r="AB83" s="943"/>
      <c r="AC83" s="943"/>
      <c r="AD83" s="943"/>
      <c r="AE83" s="943"/>
    </row>
    <row r="84" spans="1:31" s="1042" customFormat="1" ht="16.5" customHeight="1">
      <c r="A84" s="943"/>
      <c r="B84" s="1021" t="s">
        <v>3374</v>
      </c>
      <c r="C84" s="1021" t="s">
        <v>3374</v>
      </c>
      <c r="D84" s="1010">
        <v>215000</v>
      </c>
      <c r="E84" s="1020">
        <v>3</v>
      </c>
      <c r="F84" s="1011">
        <v>1500</v>
      </c>
      <c r="G84" s="948" t="s">
        <v>3360</v>
      </c>
      <c r="H84" s="1004"/>
      <c r="I84" s="1004"/>
      <c r="J84" s="1005">
        <v>0.97299999999999998</v>
      </c>
      <c r="K84" s="999">
        <v>24900000</v>
      </c>
      <c r="L84" s="1000" t="s">
        <v>483</v>
      </c>
      <c r="M84" s="1015">
        <v>24900000</v>
      </c>
      <c r="N84" s="1015">
        <v>25647000</v>
      </c>
      <c r="O84" s="948" t="s">
        <v>3352</v>
      </c>
      <c r="P84" s="1011"/>
      <c r="Q84" s="1011"/>
      <c r="R84" s="948" t="s">
        <v>269</v>
      </c>
      <c r="S84" s="999">
        <v>31125000</v>
      </c>
      <c r="T84" s="999">
        <v>119.28837209302326</v>
      </c>
      <c r="U84" s="948"/>
      <c r="V84" s="1041"/>
      <c r="W84" s="1041"/>
      <c r="X84" s="1041"/>
      <c r="Y84" s="1041"/>
      <c r="Z84" s="1041"/>
      <c r="AA84" s="1041"/>
      <c r="AB84" s="1041"/>
      <c r="AC84" s="1041"/>
      <c r="AD84" s="1041"/>
      <c r="AE84" s="1041"/>
    </row>
    <row r="85" spans="1:31" s="1042" customFormat="1">
      <c r="A85" s="943"/>
      <c r="B85" s="948" t="s">
        <v>2122</v>
      </c>
      <c r="C85" s="948" t="s">
        <v>1807</v>
      </c>
      <c r="D85" s="1010">
        <v>3800</v>
      </c>
      <c r="E85" s="1019">
        <v>2</v>
      </c>
      <c r="F85" s="1011">
        <v>410</v>
      </c>
      <c r="G85" s="1012">
        <v>220</v>
      </c>
      <c r="H85" s="1004">
        <v>15</v>
      </c>
      <c r="I85" s="1004">
        <v>12.5</v>
      </c>
      <c r="J85" s="1005">
        <v>0.97499999999999998</v>
      </c>
      <c r="K85" s="999">
        <v>4075000</v>
      </c>
      <c r="L85" s="1000" t="s">
        <v>483</v>
      </c>
      <c r="M85" s="1015">
        <v>4075000</v>
      </c>
      <c r="N85" s="1015">
        <v>4278750</v>
      </c>
      <c r="O85" s="948" t="s">
        <v>1801</v>
      </c>
      <c r="P85" s="1011">
        <v>120</v>
      </c>
      <c r="Q85" s="1011">
        <v>500</v>
      </c>
      <c r="R85" s="948" t="s">
        <v>269</v>
      </c>
      <c r="S85" s="999">
        <v>5093750</v>
      </c>
      <c r="T85" s="999">
        <v>1125.9868421052631</v>
      </c>
      <c r="U85" s="948"/>
      <c r="V85" s="1041"/>
      <c r="W85" s="1041"/>
      <c r="X85" s="1041"/>
      <c r="Y85" s="1041"/>
      <c r="Z85" s="1041"/>
      <c r="AA85" s="1041"/>
      <c r="AB85" s="1041"/>
      <c r="AC85" s="1041"/>
      <c r="AD85" s="1041"/>
      <c r="AE85" s="1041"/>
    </row>
    <row r="86" spans="1:31">
      <c r="A86" s="943"/>
      <c r="B86" s="948" t="s">
        <v>2123</v>
      </c>
      <c r="C86" s="948" t="s">
        <v>1806</v>
      </c>
      <c r="D86" s="1010">
        <v>5000</v>
      </c>
      <c r="E86" s="965">
        <v>2</v>
      </c>
      <c r="F86" s="1011">
        <v>420</v>
      </c>
      <c r="G86" s="1012">
        <v>220</v>
      </c>
      <c r="H86" s="1004">
        <v>15</v>
      </c>
      <c r="I86" s="1004">
        <v>12.5</v>
      </c>
      <c r="J86" s="1005">
        <v>0.97499999999999998</v>
      </c>
      <c r="K86" s="999">
        <v>4330000</v>
      </c>
      <c r="L86" s="1000" t="s">
        <v>483</v>
      </c>
      <c r="M86" s="1015">
        <v>4330000</v>
      </c>
      <c r="N86" s="1015">
        <v>4546500</v>
      </c>
      <c r="O86" s="948" t="s">
        <v>1801</v>
      </c>
      <c r="P86" s="1011">
        <v>150</v>
      </c>
      <c r="Q86" s="1011">
        <v>600</v>
      </c>
      <c r="R86" s="948" t="s">
        <v>269</v>
      </c>
      <c r="S86" s="999">
        <v>5412500</v>
      </c>
      <c r="T86" s="999">
        <v>909.3</v>
      </c>
      <c r="U86" s="948"/>
      <c r="V86" s="943"/>
      <c r="W86" s="943"/>
      <c r="X86" s="943"/>
      <c r="Y86" s="943"/>
      <c r="Z86" s="943"/>
      <c r="AA86" s="943"/>
      <c r="AB86" s="943"/>
      <c r="AC86" s="943"/>
      <c r="AD86" s="943"/>
      <c r="AE86" s="943"/>
    </row>
    <row r="87" spans="1:31">
      <c r="A87" s="943"/>
      <c r="B87" s="945" t="s">
        <v>2124</v>
      </c>
      <c r="C87" s="945" t="s">
        <v>1805</v>
      </c>
      <c r="D87" s="1010">
        <v>10000</v>
      </c>
      <c r="E87" s="1020">
        <v>2</v>
      </c>
      <c r="F87" s="1011">
        <v>600</v>
      </c>
      <c r="G87" s="1012">
        <v>220</v>
      </c>
      <c r="H87" s="1004">
        <v>15</v>
      </c>
      <c r="I87" s="1004">
        <v>12.5</v>
      </c>
      <c r="J87" s="1005">
        <v>0.97499999999999998</v>
      </c>
      <c r="K87" s="999">
        <v>7400000</v>
      </c>
      <c r="L87" s="1000" t="s">
        <v>483</v>
      </c>
      <c r="M87" s="1015">
        <v>7400000</v>
      </c>
      <c r="N87" s="1015">
        <v>7770000</v>
      </c>
      <c r="O87" s="948" t="s">
        <v>1801</v>
      </c>
      <c r="P87" s="1011">
        <v>150</v>
      </c>
      <c r="Q87" s="1011">
        <v>600</v>
      </c>
      <c r="R87" s="948" t="s">
        <v>269</v>
      </c>
      <c r="S87" s="999">
        <v>9250000</v>
      </c>
      <c r="T87" s="999">
        <v>777</v>
      </c>
      <c r="U87" s="948"/>
      <c r="V87" s="943"/>
      <c r="W87" s="943"/>
      <c r="X87" s="943"/>
      <c r="Y87" s="943"/>
      <c r="Z87" s="943"/>
      <c r="AA87" s="943"/>
      <c r="AB87" s="943"/>
      <c r="AC87" s="943"/>
      <c r="AD87" s="943"/>
      <c r="AE87" s="943"/>
    </row>
    <row r="88" spans="1:31">
      <c r="A88" s="943"/>
      <c r="B88" s="948" t="s">
        <v>2130</v>
      </c>
      <c r="C88" s="948" t="s">
        <v>1808</v>
      </c>
      <c r="D88" s="1010">
        <v>10000</v>
      </c>
      <c r="E88" s="1019">
        <v>2</v>
      </c>
      <c r="F88" s="1011">
        <v>600</v>
      </c>
      <c r="G88" s="1012" t="s">
        <v>268</v>
      </c>
      <c r="H88" s="1004">
        <v>15</v>
      </c>
      <c r="I88" s="1004">
        <v>13</v>
      </c>
      <c r="J88" s="1005">
        <v>0.98</v>
      </c>
      <c r="K88" s="999">
        <v>11000000</v>
      </c>
      <c r="L88" s="1000" t="s">
        <v>483</v>
      </c>
      <c r="M88" s="1015">
        <v>11000000</v>
      </c>
      <c r="N88" s="1015">
        <v>11550000</v>
      </c>
      <c r="O88" s="948" t="s">
        <v>1801</v>
      </c>
      <c r="P88" s="1011">
        <v>150</v>
      </c>
      <c r="Q88" s="1011">
        <v>600</v>
      </c>
      <c r="R88" s="948" t="s">
        <v>269</v>
      </c>
      <c r="S88" s="999">
        <v>13750000</v>
      </c>
      <c r="T88" s="999">
        <v>1155</v>
      </c>
      <c r="U88" s="948"/>
      <c r="V88" s="943"/>
      <c r="W88" s="943"/>
      <c r="X88" s="943"/>
      <c r="Y88" s="943"/>
      <c r="Z88" s="943"/>
      <c r="AA88" s="943"/>
      <c r="AB88" s="943"/>
      <c r="AC88" s="943"/>
      <c r="AD88" s="943"/>
      <c r="AE88" s="943"/>
    </row>
    <row r="89" spans="1:31">
      <c r="A89" s="943"/>
      <c r="B89" s="945" t="s">
        <v>2227</v>
      </c>
      <c r="C89" s="945" t="s">
        <v>2228</v>
      </c>
      <c r="D89" s="1010">
        <v>15000</v>
      </c>
      <c r="E89" s="1020">
        <v>3</v>
      </c>
      <c r="F89" s="1011">
        <v>600</v>
      </c>
      <c r="G89" s="1012">
        <v>220</v>
      </c>
      <c r="H89" s="1004">
        <v>18</v>
      </c>
      <c r="I89" s="1004">
        <v>16</v>
      </c>
      <c r="J89" s="1005">
        <v>0.97499999999999998</v>
      </c>
      <c r="K89" s="999">
        <v>10310000</v>
      </c>
      <c r="L89" s="1000" t="s">
        <v>483</v>
      </c>
      <c r="M89" s="1015" t="e">
        <f>+IF(Tabla102227[[#This Row],[Mondeda]]="USD",Tabla102227[[#This Row],[Precio]]*'Datos de Entrada (On Grid)'!$D$15,Tabla102227[[#This Row],[Precio]])</f>
        <v>#VALUE!</v>
      </c>
      <c r="N89" s="1015" t="e">
        <f>+M89*1.05</f>
        <v>#VALUE!</v>
      </c>
      <c r="O89" s="948" t="s">
        <v>1801</v>
      </c>
      <c r="P89" s="1011">
        <v>150</v>
      </c>
      <c r="Q89" s="1011">
        <v>600</v>
      </c>
      <c r="R89" s="948" t="s">
        <v>269</v>
      </c>
      <c r="S89" s="999" t="e">
        <f>+Tabla102227[[#This Row],[costo]]/0.8</f>
        <v>#VALUE!</v>
      </c>
      <c r="T89" s="999" t="e">
        <f>+Tabla102227[[#This Row],[total]]/Tabla102227[[#This Row],[Potencia (VA)]]</f>
        <v>#VALUE!</v>
      </c>
      <c r="U89" s="948"/>
      <c r="V89" s="943"/>
      <c r="W89" s="943"/>
      <c r="X89" s="943"/>
      <c r="Y89" s="943"/>
      <c r="Z89" s="943"/>
      <c r="AA89" s="943"/>
      <c r="AB89" s="943"/>
      <c r="AC89" s="943"/>
      <c r="AD89" s="943"/>
      <c r="AE89" s="943"/>
    </row>
    <row r="90" spans="1:31">
      <c r="A90" s="943"/>
      <c r="B90" s="945" t="s">
        <v>2131</v>
      </c>
      <c r="C90" s="945" t="s">
        <v>1809</v>
      </c>
      <c r="D90" s="1010">
        <v>15000</v>
      </c>
      <c r="E90" s="1020">
        <v>2</v>
      </c>
      <c r="F90" s="1011">
        <v>1000</v>
      </c>
      <c r="G90" s="1012" t="s">
        <v>268</v>
      </c>
      <c r="H90" s="1004">
        <v>15</v>
      </c>
      <c r="I90" s="1004">
        <v>13</v>
      </c>
      <c r="J90" s="1005">
        <v>0.98</v>
      </c>
      <c r="K90" s="999">
        <v>11254350</v>
      </c>
      <c r="L90" s="1000" t="s">
        <v>483</v>
      </c>
      <c r="M90" s="1015" t="e">
        <f>+IF(Tabla102227[[#This Row],[Mondeda]]="USD",Tabla102227[[#This Row],[Precio]]*'Datos de Entrada (On Grid)'!$D$15,Tabla102227[[#This Row],[Precio]])</f>
        <v>#VALUE!</v>
      </c>
      <c r="N90" s="1015" t="e">
        <f>+M90*1.05</f>
        <v>#VALUE!</v>
      </c>
      <c r="O90" s="948" t="s">
        <v>1801</v>
      </c>
      <c r="P90" s="1011">
        <v>150</v>
      </c>
      <c r="Q90" s="1011">
        <v>600</v>
      </c>
      <c r="R90" s="948" t="s">
        <v>269</v>
      </c>
      <c r="S90" s="999" t="e">
        <f>+Tabla102227[[#This Row],[costo]]/0.8</f>
        <v>#VALUE!</v>
      </c>
      <c r="T90" s="999" t="e">
        <f>+Tabla102227[[#This Row],[total]]/Tabla102227[[#This Row],[Potencia (VA)]]</f>
        <v>#VALUE!</v>
      </c>
      <c r="U90" s="948"/>
      <c r="V90" s="943"/>
      <c r="W90" s="943"/>
      <c r="X90" s="943"/>
      <c r="Y90" s="943"/>
      <c r="Z90" s="943"/>
      <c r="AA90" s="943"/>
      <c r="AB90" s="943"/>
      <c r="AC90" s="943"/>
      <c r="AD90" s="943"/>
      <c r="AE90" s="943"/>
    </row>
    <row r="91" spans="1:31">
      <c r="A91" s="943"/>
      <c r="B91" s="948" t="s">
        <v>2125</v>
      </c>
      <c r="C91" s="948" t="s">
        <v>894</v>
      </c>
      <c r="D91" s="1010">
        <v>5000</v>
      </c>
      <c r="E91" s="1019">
        <v>2</v>
      </c>
      <c r="F91" s="1011">
        <v>600</v>
      </c>
      <c r="G91" s="1012">
        <v>220</v>
      </c>
      <c r="H91" s="1004">
        <v>15</v>
      </c>
      <c r="I91" s="1004">
        <v>12.5</v>
      </c>
      <c r="J91" s="1005">
        <v>0.97499999999999998</v>
      </c>
      <c r="K91" s="999">
        <v>4200000</v>
      </c>
      <c r="L91" s="1000" t="s">
        <v>483</v>
      </c>
      <c r="M91" s="1015">
        <v>4200000</v>
      </c>
      <c r="N91" s="1015">
        <v>4410000</v>
      </c>
      <c r="O91" s="948" t="s">
        <v>1752</v>
      </c>
      <c r="P91" s="1011">
        <v>150</v>
      </c>
      <c r="Q91" s="1011">
        <v>600</v>
      </c>
      <c r="R91" s="948" t="s">
        <v>269</v>
      </c>
      <c r="S91" s="999">
        <v>5250000</v>
      </c>
      <c r="T91" s="999">
        <v>882</v>
      </c>
      <c r="U91" s="948"/>
      <c r="V91" s="943"/>
      <c r="W91" s="943"/>
      <c r="X91" s="943"/>
      <c r="Y91" s="943"/>
      <c r="Z91" s="943"/>
      <c r="AA91" s="943"/>
      <c r="AB91" s="943"/>
      <c r="AC91" s="943"/>
      <c r="AD91" s="943"/>
      <c r="AE91" s="943"/>
    </row>
    <row r="92" spans="1:31">
      <c r="A92" s="943"/>
      <c r="B92" s="948" t="s">
        <v>2126</v>
      </c>
      <c r="C92" s="948" t="s">
        <v>1127</v>
      </c>
      <c r="D92" s="1010">
        <v>6000</v>
      </c>
      <c r="E92" s="1019">
        <v>2</v>
      </c>
      <c r="F92" s="1011">
        <v>600</v>
      </c>
      <c r="G92" s="1012">
        <v>220</v>
      </c>
      <c r="H92" s="1004">
        <v>15</v>
      </c>
      <c r="I92" s="1004">
        <v>12.5</v>
      </c>
      <c r="J92" s="1005">
        <v>0.97499999999999998</v>
      </c>
      <c r="K92" s="999">
        <v>4500000</v>
      </c>
      <c r="L92" s="1000" t="s">
        <v>483</v>
      </c>
      <c r="M92" s="1015">
        <v>4500000</v>
      </c>
      <c r="N92" s="1015">
        <v>4500000</v>
      </c>
      <c r="O92" s="948" t="s">
        <v>1752</v>
      </c>
      <c r="P92" s="1011">
        <v>150</v>
      </c>
      <c r="Q92" s="1011">
        <v>600</v>
      </c>
      <c r="R92" s="948" t="s">
        <v>269</v>
      </c>
      <c r="S92" s="999">
        <v>5625000</v>
      </c>
      <c r="T92" s="999">
        <v>750</v>
      </c>
      <c r="U92" s="948"/>
      <c r="V92" s="943"/>
      <c r="W92" s="943"/>
      <c r="X92" s="943"/>
      <c r="Y92" s="943"/>
      <c r="Z92" s="943"/>
      <c r="AA92" s="943"/>
      <c r="AB92" s="943"/>
      <c r="AC92" s="943"/>
      <c r="AD92" s="943"/>
      <c r="AE92" s="943"/>
    </row>
    <row r="93" spans="1:31" s="1042" customFormat="1">
      <c r="A93" s="943"/>
      <c r="B93" s="945" t="s">
        <v>2132</v>
      </c>
      <c r="C93" s="945" t="s">
        <v>895</v>
      </c>
      <c r="D93" s="1010">
        <v>18000</v>
      </c>
      <c r="E93" s="1020">
        <v>3</v>
      </c>
      <c r="F93" s="1011">
        <v>800</v>
      </c>
      <c r="G93" s="1012" t="s">
        <v>267</v>
      </c>
      <c r="H93" s="1004">
        <v>15</v>
      </c>
      <c r="I93" s="1004">
        <v>13</v>
      </c>
      <c r="J93" s="1005">
        <v>0.98</v>
      </c>
      <c r="K93" s="999">
        <v>9159828</v>
      </c>
      <c r="L93" s="1000" t="s">
        <v>483</v>
      </c>
      <c r="M93" s="1015" t="e">
        <f>+IF(Tabla102227[[#This Row],[Mondeda]]="USD",Tabla102227[[#This Row],[Precio]]*'Datos de Entrada (On Grid)'!$D$15,Tabla102227[[#This Row],[Precio]])</f>
        <v>#VALUE!</v>
      </c>
      <c r="N93" s="1015" t="e">
        <f>+M93</f>
        <v>#VALUE!</v>
      </c>
      <c r="O93" s="948" t="s">
        <v>1752</v>
      </c>
      <c r="P93" s="1011">
        <v>150</v>
      </c>
      <c r="Q93" s="1011">
        <v>600</v>
      </c>
      <c r="R93" s="948" t="s">
        <v>269</v>
      </c>
      <c r="S93" s="999" t="e">
        <f>+Tabla102227[[#This Row],[costo]]/0.8</f>
        <v>#VALUE!</v>
      </c>
      <c r="T93" s="999" t="e">
        <f>+Tabla102227[[#This Row],[total]]/Tabla102227[[#This Row],[Potencia (VA)]]</f>
        <v>#VALUE!</v>
      </c>
      <c r="U93" s="948"/>
      <c r="V93" s="1041"/>
      <c r="W93" s="1041"/>
      <c r="X93" s="1041"/>
      <c r="Y93" s="1041"/>
      <c r="Z93" s="1041"/>
      <c r="AA93" s="1041"/>
      <c r="AB93" s="1041"/>
      <c r="AC93" s="1041"/>
      <c r="AD93" s="1041"/>
      <c r="AE93" s="1041"/>
    </row>
    <row r="94" spans="1:31" s="1042" customFormat="1">
      <c r="A94" s="943"/>
      <c r="B94" s="1021" t="s">
        <v>2133</v>
      </c>
      <c r="C94" s="1021" t="s">
        <v>1130</v>
      </c>
      <c r="D94" s="1010">
        <v>25000</v>
      </c>
      <c r="E94" s="1020">
        <v>4</v>
      </c>
      <c r="F94" s="1011">
        <v>800</v>
      </c>
      <c r="G94" s="1012" t="s">
        <v>267</v>
      </c>
      <c r="H94" s="1004">
        <v>15</v>
      </c>
      <c r="I94" s="1004">
        <v>13</v>
      </c>
      <c r="J94" s="1005">
        <v>0.98</v>
      </c>
      <c r="K94" s="999">
        <v>2850</v>
      </c>
      <c r="L94" s="1000" t="s">
        <v>407</v>
      </c>
      <c r="M94" s="1015" t="e">
        <f>+IF(Tabla102227[[#This Row],[Mondeda]]="USD",Tabla102227[[#This Row],[Precio]]*'Datos de Entrada (On Grid)'!$D$15,Tabla102227[[#This Row],[Precio]])</f>
        <v>#VALUE!</v>
      </c>
      <c r="N94" s="1015" t="e">
        <f>+Tabla102227[[#This Row],[costo]]*1.03</f>
        <v>#VALUE!</v>
      </c>
      <c r="O94" s="948" t="s">
        <v>1752</v>
      </c>
      <c r="P94" s="1011">
        <v>150</v>
      </c>
      <c r="Q94" s="1011">
        <v>600</v>
      </c>
      <c r="R94" s="948" t="s">
        <v>269</v>
      </c>
      <c r="S94" s="999" t="e">
        <f>+Tabla102227[[#This Row],[costo]]/0.8</f>
        <v>#VALUE!</v>
      </c>
      <c r="T94" s="999" t="e">
        <f>+Tabla102227[[#This Row],[total]]/Tabla102227[[#This Row],[Potencia (VA)]]</f>
        <v>#VALUE!</v>
      </c>
      <c r="U94" s="948"/>
      <c r="V94" s="1041"/>
      <c r="W94" s="1041"/>
      <c r="X94" s="1041"/>
      <c r="Y94" s="1041"/>
      <c r="Z94" s="1041"/>
      <c r="AA94" s="1041"/>
      <c r="AB94" s="1041"/>
      <c r="AC94" s="1041"/>
      <c r="AD94" s="1041"/>
      <c r="AE94" s="1041"/>
    </row>
    <row r="95" spans="1:31">
      <c r="A95" s="943"/>
      <c r="B95" s="1021" t="s">
        <v>2134</v>
      </c>
      <c r="C95" s="1021" t="s">
        <v>1087</v>
      </c>
      <c r="D95" s="1010">
        <v>30000</v>
      </c>
      <c r="E95" s="1027">
        <v>4</v>
      </c>
      <c r="F95" s="1011">
        <v>800</v>
      </c>
      <c r="G95" s="1012" t="s">
        <v>267</v>
      </c>
      <c r="H95" s="1004">
        <v>15</v>
      </c>
      <c r="I95" s="1004">
        <v>13</v>
      </c>
      <c r="J95" s="1005">
        <v>0.98</v>
      </c>
      <c r="K95" s="999">
        <v>2950</v>
      </c>
      <c r="L95" s="1000" t="s">
        <v>407</v>
      </c>
      <c r="M95" s="1015">
        <v>11800000</v>
      </c>
      <c r="N95" s="1015">
        <v>12154000</v>
      </c>
      <c r="O95" s="948" t="s">
        <v>1752</v>
      </c>
      <c r="P95" s="1011">
        <v>150</v>
      </c>
      <c r="Q95" s="1011">
        <v>600</v>
      </c>
      <c r="R95" s="948" t="s">
        <v>269</v>
      </c>
      <c r="S95" s="999">
        <v>14750000</v>
      </c>
      <c r="T95" s="999">
        <v>405.13333333333333</v>
      </c>
      <c r="U95" s="948"/>
      <c r="V95" s="943"/>
      <c r="W95" s="943"/>
      <c r="X95" s="943"/>
      <c r="Y95" s="943"/>
      <c r="Z95" s="943"/>
      <c r="AA95" s="943"/>
      <c r="AB95" s="943"/>
      <c r="AC95" s="943"/>
      <c r="AD95" s="943"/>
      <c r="AE95" s="943"/>
    </row>
    <row r="96" spans="1:31">
      <c r="A96" s="943"/>
      <c r="B96" s="1009" t="s">
        <v>2135</v>
      </c>
      <c r="C96" s="1009" t="s">
        <v>1090</v>
      </c>
      <c r="D96" s="1010">
        <v>36000</v>
      </c>
      <c r="E96" s="1019">
        <v>4</v>
      </c>
      <c r="F96" s="1011">
        <v>800</v>
      </c>
      <c r="G96" s="1012" t="s">
        <v>267</v>
      </c>
      <c r="H96" s="1004">
        <v>15</v>
      </c>
      <c r="I96" s="1004">
        <v>13</v>
      </c>
      <c r="J96" s="1005">
        <v>0.98</v>
      </c>
      <c r="K96" s="999">
        <v>3050</v>
      </c>
      <c r="L96" s="1000" t="s">
        <v>407</v>
      </c>
      <c r="M96" s="1015">
        <v>12200000</v>
      </c>
      <c r="N96" s="1015">
        <v>12566000</v>
      </c>
      <c r="O96" s="948" t="s">
        <v>1752</v>
      </c>
      <c r="P96" s="1011">
        <v>150</v>
      </c>
      <c r="Q96" s="1011">
        <v>600</v>
      </c>
      <c r="R96" s="948" t="s">
        <v>269</v>
      </c>
      <c r="S96" s="999">
        <v>15250000</v>
      </c>
      <c r="T96" s="999">
        <v>349.05555555555554</v>
      </c>
      <c r="U96" s="948"/>
      <c r="V96" s="943"/>
      <c r="W96" s="943"/>
      <c r="X96" s="943"/>
      <c r="Y96" s="943"/>
      <c r="Z96" s="943"/>
      <c r="AA96" s="943"/>
      <c r="AB96" s="943"/>
      <c r="AC96" s="943"/>
      <c r="AD96" s="943"/>
      <c r="AE96" s="943"/>
    </row>
    <row r="97" spans="1:31" s="1042" customFormat="1">
      <c r="A97" s="943"/>
      <c r="B97" s="1021" t="s">
        <v>2129</v>
      </c>
      <c r="C97" s="1009" t="s">
        <v>1543</v>
      </c>
      <c r="D97" s="1010">
        <v>10000</v>
      </c>
      <c r="E97" s="1020">
        <v>2</v>
      </c>
      <c r="F97" s="1011">
        <v>600</v>
      </c>
      <c r="G97" s="1012" t="s">
        <v>268</v>
      </c>
      <c r="H97" s="1004">
        <v>15</v>
      </c>
      <c r="I97" s="1004">
        <v>11</v>
      </c>
      <c r="J97" s="1005">
        <v>0.98</v>
      </c>
      <c r="K97" s="999">
        <v>1805</v>
      </c>
      <c r="L97" s="1000" t="s">
        <v>407</v>
      </c>
      <c r="M97" s="1015" t="e">
        <f>+IF(Tabla102227[[#This Row],[Mondeda]]="USD",Tabla102227[[#This Row],[Precio]]*'Datos de Entrada (On Grid)'!$D$15,Tabla102227[[#This Row],[Precio]])</f>
        <v>#VALUE!</v>
      </c>
      <c r="N97" s="1015" t="e">
        <f>+M97*1.05</f>
        <v>#VALUE!</v>
      </c>
      <c r="O97" s="948" t="s">
        <v>1803</v>
      </c>
      <c r="P97" s="1011">
        <v>150</v>
      </c>
      <c r="Q97" s="1011">
        <v>600</v>
      </c>
      <c r="R97" s="948" t="s">
        <v>269</v>
      </c>
      <c r="S97" s="999" t="e">
        <f>+Tabla102227[[#This Row],[costo]]/0.8</f>
        <v>#VALUE!</v>
      </c>
      <c r="T97" s="999" t="e">
        <f>+Tabla102227[[#This Row],[total]]/Tabla102227[[#This Row],[Potencia (VA)]]</f>
        <v>#VALUE!</v>
      </c>
      <c r="U97" s="948"/>
      <c r="V97" s="1041"/>
      <c r="W97" s="1041"/>
      <c r="X97" s="1041"/>
      <c r="Y97" s="1041"/>
      <c r="Z97" s="1041"/>
      <c r="AA97" s="1041"/>
      <c r="AB97" s="1041"/>
      <c r="AC97" s="1041"/>
      <c r="AD97" s="1041"/>
      <c r="AE97" s="1041"/>
    </row>
    <row r="98" spans="1:31" s="1042" customFormat="1">
      <c r="A98" s="943"/>
      <c r="B98" s="1021"/>
      <c r="C98" s="1009"/>
      <c r="D98" s="1010"/>
      <c r="E98" s="1020"/>
      <c r="F98" s="1011"/>
      <c r="G98" s="1012"/>
      <c r="H98" s="1004"/>
      <c r="I98" s="1004"/>
      <c r="J98" s="1005"/>
      <c r="K98" s="999"/>
      <c r="L98" s="1000"/>
      <c r="M98" s="1015"/>
      <c r="N98" s="1015"/>
      <c r="O98" s="948"/>
      <c r="P98" s="1011"/>
      <c r="Q98" s="1011"/>
      <c r="R98" s="948"/>
      <c r="S98" s="999"/>
      <c r="T98" s="999"/>
      <c r="U98" s="948"/>
      <c r="V98" s="1041"/>
      <c r="W98" s="1041"/>
      <c r="X98" s="1041"/>
      <c r="Y98" s="1041"/>
      <c r="Z98" s="1041"/>
      <c r="AA98" s="1041"/>
      <c r="AB98" s="1041"/>
      <c r="AC98" s="1041"/>
      <c r="AD98" s="1041"/>
      <c r="AE98" s="1041"/>
    </row>
    <row r="99" spans="1:31">
      <c r="A99" s="943"/>
      <c r="B99" s="943"/>
      <c r="C99" s="943"/>
      <c r="D99" s="1026"/>
      <c r="E99" s="1027"/>
      <c r="F99" s="1027"/>
      <c r="G99" s="1040"/>
      <c r="H99" s="1044"/>
      <c r="I99" s="1044"/>
      <c r="J99" s="1045"/>
      <c r="K99" s="1046"/>
      <c r="L99" s="1006"/>
      <c r="M99" s="1030"/>
      <c r="N99" s="1030"/>
      <c r="O99" s="943"/>
      <c r="P99" s="943"/>
      <c r="Q99" s="943"/>
      <c r="R99" s="943"/>
      <c r="S99" s="1046"/>
      <c r="T99" s="1046"/>
      <c r="U99" s="943"/>
      <c r="V99" s="943"/>
      <c r="W99" s="943"/>
      <c r="X99" s="943"/>
      <c r="Y99" s="943"/>
      <c r="Z99" s="943"/>
      <c r="AA99" s="943"/>
      <c r="AB99" s="943"/>
      <c r="AC99" s="943"/>
      <c r="AD99" s="943"/>
      <c r="AE99" s="943"/>
    </row>
    <row r="100" spans="1:31" ht="15.75" customHeight="1">
      <c r="A100" s="943"/>
      <c r="B100" s="943"/>
      <c r="C100" s="943"/>
      <c r="D100" s="943"/>
      <c r="E100" s="943"/>
      <c r="F100" s="943"/>
      <c r="G100" s="943"/>
      <c r="H100" s="943"/>
      <c r="I100" s="943"/>
      <c r="J100" s="943"/>
      <c r="K100" s="943"/>
      <c r="L100" s="943"/>
      <c r="M100" s="943"/>
      <c r="N100" s="943"/>
      <c r="O100" s="943"/>
      <c r="P100" s="943"/>
      <c r="Q100" s="943"/>
      <c r="R100" s="943"/>
      <c r="S100" s="943"/>
      <c r="T100" s="943"/>
      <c r="U100" s="943"/>
      <c r="V100" s="943"/>
      <c r="W100" s="943"/>
      <c r="X100" s="943"/>
      <c r="Y100" s="943"/>
      <c r="Z100" s="943"/>
      <c r="AA100" s="943"/>
      <c r="AB100" s="943"/>
      <c r="AC100" s="943"/>
      <c r="AD100" s="943"/>
      <c r="AE100" s="943"/>
    </row>
    <row r="101" spans="1:31" ht="15.75" customHeight="1">
      <c r="A101" s="943"/>
      <c r="B101" s="1047" t="s">
        <v>59</v>
      </c>
      <c r="C101" s="958"/>
      <c r="D101" s="958"/>
      <c r="E101" s="943"/>
      <c r="F101" s="1257" t="s">
        <v>290</v>
      </c>
      <c r="G101" s="1258"/>
      <c r="H101" s="1252" t="s">
        <v>291</v>
      </c>
      <c r="I101" s="1253"/>
      <c r="J101" s="1252" t="s">
        <v>292</v>
      </c>
      <c r="K101" s="1253"/>
      <c r="L101" s="1252" t="s">
        <v>293</v>
      </c>
      <c r="M101" s="1253"/>
      <c r="N101" s="943"/>
      <c r="O101" s="943"/>
      <c r="P101" s="943"/>
      <c r="Q101" s="943"/>
      <c r="R101" s="943"/>
      <c r="S101" s="943"/>
      <c r="T101" s="943"/>
      <c r="U101" s="943"/>
      <c r="V101" s="943"/>
      <c r="W101" s="943"/>
      <c r="X101" s="943"/>
      <c r="Y101" s="943"/>
      <c r="Z101" s="943"/>
      <c r="AA101" s="943"/>
      <c r="AB101" s="943"/>
      <c r="AC101" s="943"/>
      <c r="AD101" s="943"/>
      <c r="AE101" s="943"/>
    </row>
    <row r="102" spans="1:31" ht="25.5" customHeight="1">
      <c r="A102" s="943"/>
      <c r="B102" s="1032" t="s">
        <v>282</v>
      </c>
      <c r="C102" s="1032" t="s">
        <v>288</v>
      </c>
      <c r="D102" s="1032" t="s">
        <v>289</v>
      </c>
      <c r="E102" s="1033" t="s">
        <v>283</v>
      </c>
      <c r="F102" s="1024" t="s">
        <v>294</v>
      </c>
      <c r="G102" s="1024" t="s">
        <v>20</v>
      </c>
      <c r="H102" s="1024" t="s">
        <v>294</v>
      </c>
      <c r="I102" s="1024" t="s">
        <v>20</v>
      </c>
      <c r="J102" s="1024" t="s">
        <v>294</v>
      </c>
      <c r="K102" s="1024" t="s">
        <v>20</v>
      </c>
      <c r="L102" s="1024" t="s">
        <v>294</v>
      </c>
      <c r="M102" s="1024" t="s">
        <v>20</v>
      </c>
      <c r="N102" s="943"/>
      <c r="O102" s="943"/>
      <c r="P102" s="943"/>
      <c r="Q102" s="943"/>
      <c r="R102" s="943"/>
      <c r="S102" s="943"/>
      <c r="T102" s="943"/>
      <c r="U102" s="943"/>
      <c r="V102" s="943"/>
      <c r="W102" s="943"/>
      <c r="X102" s="943"/>
      <c r="Y102" s="943"/>
      <c r="Z102" s="943"/>
      <c r="AA102" s="943"/>
      <c r="AB102" s="943"/>
      <c r="AC102" s="943"/>
      <c r="AD102" s="943"/>
      <c r="AE102" s="943"/>
    </row>
    <row r="103" spans="1:31">
      <c r="A103" s="943"/>
      <c r="B103" s="1048" t="s">
        <v>1290</v>
      </c>
      <c r="C103" s="1032">
        <f>5300000/12*1.2</f>
        <v>530000</v>
      </c>
      <c r="D103" s="1034"/>
      <c r="E103" s="1034"/>
      <c r="F103" s="1049"/>
      <c r="G103" s="1049"/>
      <c r="H103" s="1049"/>
      <c r="I103" s="1049"/>
      <c r="J103" s="1049"/>
      <c r="K103" s="1049"/>
      <c r="L103" s="1049"/>
      <c r="M103" s="1049"/>
      <c r="N103" s="943"/>
      <c r="O103" s="943"/>
      <c r="P103" s="943"/>
      <c r="Q103" s="943"/>
      <c r="R103" s="943"/>
      <c r="S103" s="943"/>
      <c r="T103" s="943"/>
      <c r="U103" s="943"/>
      <c r="V103" s="943"/>
      <c r="W103" s="943"/>
      <c r="X103" s="943"/>
      <c r="Y103" s="943"/>
      <c r="Z103" s="943"/>
      <c r="AA103" s="943"/>
      <c r="AB103" s="943"/>
      <c r="AC103" s="943"/>
      <c r="AD103" s="943"/>
      <c r="AE103" s="943"/>
    </row>
    <row r="104" spans="1:31">
      <c r="A104" s="943"/>
      <c r="B104" s="1048" t="s">
        <v>1291</v>
      </c>
      <c r="C104" s="1032">
        <v>3500000</v>
      </c>
      <c r="D104" s="1034"/>
      <c r="E104" s="1034"/>
      <c r="F104" s="1049"/>
      <c r="G104" s="1049"/>
      <c r="H104" s="1049"/>
      <c r="I104" s="1049"/>
      <c r="J104" s="1049"/>
      <c r="K104" s="1049"/>
      <c r="L104" s="1049"/>
      <c r="M104" s="1049"/>
      <c r="N104" s="943"/>
      <c r="O104" s="943"/>
      <c r="P104" s="943"/>
      <c r="Q104" s="943"/>
      <c r="R104" s="943"/>
      <c r="S104" s="943"/>
      <c r="T104" s="943"/>
      <c r="U104" s="943"/>
      <c r="V104" s="943"/>
      <c r="W104" s="943"/>
      <c r="X104" s="943"/>
      <c r="Y104" s="943"/>
      <c r="Z104" s="943"/>
      <c r="AA104" s="943"/>
      <c r="AB104" s="943"/>
      <c r="AC104" s="943"/>
      <c r="AD104" s="943"/>
      <c r="AE104" s="943"/>
    </row>
    <row r="105" spans="1:31" ht="15.75" customHeight="1">
      <c r="A105" s="943"/>
      <c r="B105" s="1050" t="s">
        <v>79</v>
      </c>
      <c r="C105" s="1051">
        <f>3441*1.19</f>
        <v>4094.79</v>
      </c>
      <c r="D105" s="943" t="s">
        <v>69</v>
      </c>
      <c r="E105" s="943" t="s">
        <v>285</v>
      </c>
      <c r="F105" s="1052">
        <v>1</v>
      </c>
      <c r="G105" s="1053">
        <f>F105*C105</f>
        <v>4094.79</v>
      </c>
      <c r="H105" s="1052"/>
      <c r="I105" s="1053">
        <f>H105*C105</f>
        <v>0</v>
      </c>
      <c r="J105" s="1052"/>
      <c r="K105" s="1053">
        <f>J105*C105</f>
        <v>0</v>
      </c>
      <c r="L105" s="1052"/>
      <c r="M105" s="1053">
        <f>L105*C105</f>
        <v>0</v>
      </c>
      <c r="N105" s="943"/>
      <c r="O105" s="943"/>
      <c r="P105" s="943"/>
      <c r="Q105" s="943"/>
      <c r="R105" s="943"/>
      <c r="S105" s="943"/>
      <c r="T105" s="943"/>
      <c r="U105" s="943"/>
      <c r="V105" s="943"/>
      <c r="W105" s="943"/>
      <c r="X105" s="943"/>
      <c r="Y105" s="943"/>
      <c r="Z105" s="943"/>
      <c r="AA105" s="943"/>
      <c r="AB105" s="943"/>
      <c r="AC105" s="943"/>
      <c r="AD105" s="943"/>
      <c r="AE105" s="943"/>
    </row>
    <row r="106" spans="1:31" ht="15.75" customHeight="1">
      <c r="A106" s="943"/>
      <c r="B106" s="1050" t="s">
        <v>68</v>
      </c>
      <c r="C106" s="1054">
        <v>1120</v>
      </c>
      <c r="D106" s="943" t="s">
        <v>69</v>
      </c>
      <c r="E106" s="943" t="s">
        <v>284</v>
      </c>
      <c r="F106" s="948"/>
      <c r="G106" s="1055">
        <f t="shared" ref="G106:G152" si="1">F106*C106</f>
        <v>0</v>
      </c>
      <c r="H106" s="948">
        <v>1.01</v>
      </c>
      <c r="I106" s="1053">
        <f t="shared" ref="I106:I152" si="2">H106*C106</f>
        <v>1131.2</v>
      </c>
      <c r="J106" s="948"/>
      <c r="K106" s="1053">
        <f t="shared" ref="K106:K152" si="3">J106*C106</f>
        <v>0</v>
      </c>
      <c r="L106" s="948"/>
      <c r="M106" s="1053">
        <f t="shared" ref="M106:M152" si="4">L106*C106</f>
        <v>0</v>
      </c>
      <c r="N106" s="943"/>
      <c r="O106" s="943"/>
      <c r="P106" s="943"/>
      <c r="Q106" s="943"/>
      <c r="R106" s="943"/>
      <c r="S106" s="943"/>
      <c r="T106" s="943"/>
      <c r="U106" s="943"/>
      <c r="V106" s="943"/>
      <c r="W106" s="943"/>
      <c r="X106" s="943"/>
      <c r="Y106" s="943"/>
      <c r="Z106" s="943"/>
      <c r="AA106" s="943"/>
      <c r="AB106" s="943"/>
      <c r="AC106" s="943"/>
      <c r="AD106" s="943"/>
      <c r="AE106" s="943"/>
    </row>
    <row r="107" spans="1:31" ht="15.75" customHeight="1">
      <c r="A107" s="943"/>
      <c r="B107" s="1050" t="s">
        <v>71</v>
      </c>
      <c r="C107" s="1051">
        <v>1120</v>
      </c>
      <c r="D107" s="943" t="s">
        <v>69</v>
      </c>
      <c r="E107" s="943" t="s">
        <v>284</v>
      </c>
      <c r="F107" s="948"/>
      <c r="G107" s="1055">
        <f t="shared" si="1"/>
        <v>0</v>
      </c>
      <c r="H107" s="948">
        <v>1.01</v>
      </c>
      <c r="I107" s="1053">
        <f t="shared" si="2"/>
        <v>1131.2</v>
      </c>
      <c r="J107" s="948"/>
      <c r="K107" s="1053">
        <f t="shared" si="3"/>
        <v>0</v>
      </c>
      <c r="L107" s="948"/>
      <c r="M107" s="1053">
        <f t="shared" si="4"/>
        <v>0</v>
      </c>
      <c r="N107" s="943"/>
      <c r="O107" s="943"/>
      <c r="P107" s="943"/>
      <c r="Q107" s="943"/>
      <c r="R107" s="943"/>
      <c r="S107" s="943"/>
      <c r="T107" s="943"/>
      <c r="U107" s="943"/>
      <c r="V107" s="943"/>
      <c r="W107" s="943"/>
      <c r="X107" s="943"/>
      <c r="Y107" s="943"/>
      <c r="Z107" s="943"/>
      <c r="AA107" s="943"/>
      <c r="AB107" s="943"/>
      <c r="AC107" s="943"/>
      <c r="AD107" s="943"/>
      <c r="AE107" s="943"/>
    </row>
    <row r="108" spans="1:31" ht="15.75" customHeight="1">
      <c r="A108" s="943"/>
      <c r="B108" s="1050" t="s">
        <v>72</v>
      </c>
      <c r="C108" s="1051">
        <v>1120</v>
      </c>
      <c r="D108" s="943" t="s">
        <v>69</v>
      </c>
      <c r="E108" s="943" t="s">
        <v>284</v>
      </c>
      <c r="F108" s="948"/>
      <c r="G108" s="1055">
        <f t="shared" si="1"/>
        <v>0</v>
      </c>
      <c r="H108" s="948">
        <v>1.01</v>
      </c>
      <c r="I108" s="1053">
        <f t="shared" si="2"/>
        <v>1131.2</v>
      </c>
      <c r="J108" s="948"/>
      <c r="K108" s="1053">
        <f t="shared" si="3"/>
        <v>0</v>
      </c>
      <c r="L108" s="948"/>
      <c r="M108" s="1053">
        <f t="shared" si="4"/>
        <v>0</v>
      </c>
      <c r="N108" s="943"/>
      <c r="O108" s="943"/>
      <c r="P108" s="943"/>
      <c r="Q108" s="943"/>
      <c r="R108" s="943"/>
      <c r="S108" s="943"/>
      <c r="T108" s="943"/>
      <c r="U108" s="943"/>
      <c r="V108" s="943"/>
      <c r="W108" s="943"/>
      <c r="X108" s="943"/>
      <c r="Y108" s="943"/>
      <c r="Z108" s="943"/>
      <c r="AA108" s="943"/>
      <c r="AB108" s="943"/>
      <c r="AC108" s="943"/>
      <c r="AD108" s="943"/>
      <c r="AE108" s="943"/>
    </row>
    <row r="109" spans="1:31" ht="15.75" customHeight="1">
      <c r="A109" s="943"/>
      <c r="B109" s="1050" t="s">
        <v>73</v>
      </c>
      <c r="C109" s="1051">
        <v>1120</v>
      </c>
      <c r="D109" s="943" t="s">
        <v>69</v>
      </c>
      <c r="E109" s="943" t="s">
        <v>284</v>
      </c>
      <c r="F109" s="948"/>
      <c r="G109" s="1055">
        <f t="shared" si="1"/>
        <v>0</v>
      </c>
      <c r="H109" s="948">
        <v>1.01</v>
      </c>
      <c r="I109" s="1053">
        <f t="shared" si="2"/>
        <v>1131.2</v>
      </c>
      <c r="J109" s="948"/>
      <c r="K109" s="1053">
        <f t="shared" si="3"/>
        <v>0</v>
      </c>
      <c r="L109" s="948"/>
      <c r="M109" s="1053">
        <f t="shared" si="4"/>
        <v>0</v>
      </c>
      <c r="N109" s="943"/>
      <c r="O109" s="943"/>
      <c r="P109" s="943"/>
      <c r="Q109" s="943"/>
      <c r="R109" s="943"/>
      <c r="S109" s="943"/>
      <c r="T109" s="943"/>
      <c r="U109" s="943"/>
      <c r="V109" s="943"/>
      <c r="W109" s="943"/>
      <c r="X109" s="943"/>
      <c r="Y109" s="943"/>
      <c r="Z109" s="943"/>
      <c r="AA109" s="943"/>
      <c r="AB109" s="943"/>
      <c r="AC109" s="943"/>
      <c r="AD109" s="943"/>
      <c r="AE109" s="943"/>
    </row>
    <row r="110" spans="1:31" ht="15.75" customHeight="1">
      <c r="A110" s="943"/>
      <c r="B110" s="1050" t="s">
        <v>65</v>
      </c>
      <c r="C110" s="1051">
        <v>80672</v>
      </c>
      <c r="D110" s="943" t="s">
        <v>289</v>
      </c>
      <c r="E110" s="943"/>
      <c r="F110" s="948"/>
      <c r="G110" s="1055">
        <f t="shared" si="1"/>
        <v>0</v>
      </c>
      <c r="H110" s="948"/>
      <c r="I110" s="1053">
        <f t="shared" si="2"/>
        <v>0</v>
      </c>
      <c r="J110" s="948">
        <f>2+IF('Datos de Entrada (On Grid)'!G23="Inversor",1,0)</f>
        <v>2</v>
      </c>
      <c r="K110" s="1053">
        <f t="shared" si="3"/>
        <v>161344</v>
      </c>
      <c r="L110" s="948"/>
      <c r="M110" s="1053">
        <f t="shared" si="4"/>
        <v>0</v>
      </c>
      <c r="N110" s="943"/>
      <c r="O110" s="943"/>
      <c r="P110" s="943"/>
      <c r="Q110" s="943"/>
      <c r="R110" s="943"/>
      <c r="S110" s="943"/>
      <c r="T110" s="943"/>
      <c r="U110" s="943"/>
      <c r="V110" s="943"/>
      <c r="W110" s="943"/>
      <c r="X110" s="943"/>
      <c r="Y110" s="943"/>
      <c r="Z110" s="943"/>
      <c r="AA110" s="943"/>
      <c r="AB110" s="943"/>
      <c r="AC110" s="943"/>
      <c r="AD110" s="943"/>
      <c r="AE110" s="943"/>
    </row>
    <row r="111" spans="1:31" ht="15.75" customHeight="1">
      <c r="A111" s="943"/>
      <c r="B111" s="1050" t="s">
        <v>75</v>
      </c>
      <c r="C111" s="1051">
        <v>145</v>
      </c>
      <c r="D111" s="943" t="s">
        <v>289</v>
      </c>
      <c r="E111" s="943" t="s">
        <v>284</v>
      </c>
      <c r="F111" s="948"/>
      <c r="G111" s="1055">
        <f t="shared" si="1"/>
        <v>0</v>
      </c>
      <c r="H111" s="948">
        <f>IF('Datos de Entrada (On Grid)'!G27="expuesta",1/2.5,0)</f>
        <v>0</v>
      </c>
      <c r="I111" s="1053">
        <f t="shared" si="2"/>
        <v>0</v>
      </c>
      <c r="J111" s="948"/>
      <c r="K111" s="1053">
        <f t="shared" si="3"/>
        <v>0</v>
      </c>
      <c r="L111" s="948"/>
      <c r="M111" s="1053">
        <f t="shared" si="4"/>
        <v>0</v>
      </c>
      <c r="N111" s="943"/>
      <c r="O111" s="943"/>
      <c r="P111" s="943"/>
      <c r="Q111" s="943"/>
      <c r="R111" s="943"/>
      <c r="S111" s="943"/>
      <c r="T111" s="943"/>
      <c r="U111" s="943"/>
      <c r="V111" s="943"/>
      <c r="W111" s="943"/>
      <c r="X111" s="943"/>
      <c r="Y111" s="943"/>
      <c r="Z111" s="943"/>
      <c r="AA111" s="943"/>
      <c r="AB111" s="943"/>
      <c r="AC111" s="943"/>
      <c r="AD111" s="943"/>
      <c r="AE111" s="943"/>
    </row>
    <row r="112" spans="1:31" ht="15.75" customHeight="1">
      <c r="A112" s="943"/>
      <c r="B112" s="1050" t="s">
        <v>80</v>
      </c>
      <c r="C112" s="1051">
        <v>2435</v>
      </c>
      <c r="D112" s="943"/>
      <c r="E112" s="943"/>
      <c r="F112" s="948"/>
      <c r="G112" s="1055">
        <f t="shared" si="1"/>
        <v>0</v>
      </c>
      <c r="H112" s="948"/>
      <c r="I112" s="1053">
        <f t="shared" si="2"/>
        <v>0</v>
      </c>
      <c r="J112" s="948">
        <v>1</v>
      </c>
      <c r="K112" s="1053">
        <f t="shared" si="3"/>
        <v>2435</v>
      </c>
      <c r="L112" s="948"/>
      <c r="M112" s="1053">
        <f t="shared" si="4"/>
        <v>0</v>
      </c>
      <c r="N112" s="943"/>
      <c r="O112" s="943"/>
      <c r="P112" s="943"/>
      <c r="Q112" s="943"/>
      <c r="R112" s="943"/>
      <c r="S112" s="943"/>
      <c r="T112" s="943"/>
      <c r="U112" s="943"/>
      <c r="V112" s="943"/>
      <c r="W112" s="943"/>
      <c r="X112" s="943"/>
      <c r="Y112" s="943"/>
      <c r="Z112" s="943"/>
      <c r="AA112" s="943"/>
      <c r="AB112" s="943"/>
      <c r="AC112" s="943"/>
      <c r="AD112" s="943"/>
      <c r="AE112" s="943"/>
    </row>
    <row r="113" spans="1:31" ht="15.75" customHeight="1">
      <c r="A113" s="943"/>
      <c r="B113" s="1050" t="s">
        <v>82</v>
      </c>
      <c r="C113" s="1051">
        <v>2435</v>
      </c>
      <c r="D113" s="943"/>
      <c r="E113" s="943"/>
      <c r="F113" s="948"/>
      <c r="G113" s="1055">
        <f t="shared" si="1"/>
        <v>0</v>
      </c>
      <c r="H113" s="948"/>
      <c r="I113" s="1053">
        <f t="shared" si="2"/>
        <v>0</v>
      </c>
      <c r="J113" s="948">
        <v>1</v>
      </c>
      <c r="K113" s="1053">
        <f t="shared" si="3"/>
        <v>2435</v>
      </c>
      <c r="L113" s="948"/>
      <c r="M113" s="1053">
        <f t="shared" si="4"/>
        <v>0</v>
      </c>
      <c r="N113" s="943"/>
      <c r="O113" s="943"/>
      <c r="P113" s="943"/>
      <c r="Q113" s="943"/>
      <c r="R113" s="943"/>
      <c r="S113" s="943"/>
      <c r="T113" s="943"/>
      <c r="U113" s="943"/>
      <c r="V113" s="943"/>
      <c r="W113" s="943"/>
      <c r="X113" s="943"/>
      <c r="Y113" s="943"/>
      <c r="Z113" s="943"/>
      <c r="AA113" s="943"/>
      <c r="AB113" s="943"/>
      <c r="AC113" s="943"/>
      <c r="AD113" s="943"/>
      <c r="AE113" s="943"/>
    </row>
    <row r="114" spans="1:31" ht="15.75" customHeight="1">
      <c r="A114" s="943"/>
      <c r="B114" s="1050" t="s">
        <v>286</v>
      </c>
      <c r="C114" s="1051">
        <v>2353</v>
      </c>
      <c r="D114" s="943"/>
      <c r="E114" s="943" t="s">
        <v>284</v>
      </c>
      <c r="F114" s="948"/>
      <c r="G114" s="1055">
        <f t="shared" si="1"/>
        <v>0</v>
      </c>
      <c r="H114" s="948">
        <v>1.01</v>
      </c>
      <c r="I114" s="1053">
        <f t="shared" si="2"/>
        <v>2376.5300000000002</v>
      </c>
      <c r="J114" s="948"/>
      <c r="K114" s="1053">
        <f t="shared" si="3"/>
        <v>0</v>
      </c>
      <c r="L114" s="948"/>
      <c r="M114" s="1053">
        <f t="shared" si="4"/>
        <v>0</v>
      </c>
      <c r="N114" s="943"/>
      <c r="O114" s="943"/>
      <c r="P114" s="943"/>
      <c r="Q114" s="943"/>
      <c r="R114" s="943"/>
      <c r="S114" s="943"/>
      <c r="T114" s="943"/>
      <c r="U114" s="943"/>
      <c r="V114" s="943"/>
      <c r="W114" s="943"/>
      <c r="X114" s="943"/>
      <c r="Y114" s="943"/>
      <c r="Z114" s="943"/>
      <c r="AA114" s="943"/>
      <c r="AB114" s="943"/>
      <c r="AC114" s="943"/>
      <c r="AD114" s="943"/>
      <c r="AE114" s="943"/>
    </row>
    <row r="115" spans="1:31" ht="15.75" customHeight="1">
      <c r="A115" s="943"/>
      <c r="B115" s="1050" t="s">
        <v>84</v>
      </c>
      <c r="C115" s="1051">
        <v>72268</v>
      </c>
      <c r="D115" s="943"/>
      <c r="E115" s="943"/>
      <c r="F115" s="948"/>
      <c r="G115" s="1055">
        <f t="shared" si="1"/>
        <v>0</v>
      </c>
      <c r="H115" s="948"/>
      <c r="I115" s="1053">
        <f t="shared" si="2"/>
        <v>0</v>
      </c>
      <c r="J115" s="948">
        <v>1</v>
      </c>
      <c r="K115" s="1053">
        <f t="shared" si="3"/>
        <v>72268</v>
      </c>
      <c r="L115" s="948"/>
      <c r="M115" s="1053">
        <f t="shared" si="4"/>
        <v>0</v>
      </c>
      <c r="N115" s="943"/>
      <c r="O115" s="943"/>
      <c r="P115" s="943"/>
      <c r="Q115" s="943"/>
      <c r="R115" s="943"/>
      <c r="S115" s="943"/>
      <c r="T115" s="943"/>
      <c r="U115" s="943"/>
      <c r="V115" s="943"/>
      <c r="W115" s="943"/>
      <c r="X115" s="943"/>
      <c r="Y115" s="943"/>
      <c r="Z115" s="943"/>
      <c r="AA115" s="943"/>
      <c r="AB115" s="943"/>
      <c r="AC115" s="943"/>
      <c r="AD115" s="943"/>
      <c r="AE115" s="943"/>
    </row>
    <row r="116" spans="1:31" ht="15.75" customHeight="1">
      <c r="A116" s="943"/>
      <c r="B116" s="1050" t="s">
        <v>86</v>
      </c>
      <c r="C116" s="1051">
        <v>19744</v>
      </c>
      <c r="D116" s="943"/>
      <c r="E116" s="943"/>
      <c r="F116" s="948"/>
      <c r="G116" s="1055">
        <f t="shared" si="1"/>
        <v>0</v>
      </c>
      <c r="H116" s="948"/>
      <c r="I116" s="1053">
        <f t="shared" si="2"/>
        <v>0</v>
      </c>
      <c r="J116" s="948">
        <v>1</v>
      </c>
      <c r="K116" s="1053">
        <f t="shared" si="3"/>
        <v>19744</v>
      </c>
      <c r="L116" s="948"/>
      <c r="M116" s="1053">
        <f t="shared" si="4"/>
        <v>0</v>
      </c>
      <c r="N116" s="943"/>
      <c r="O116" s="943"/>
      <c r="P116" s="943"/>
      <c r="Q116" s="943"/>
      <c r="R116" s="943"/>
      <c r="S116" s="943"/>
      <c r="T116" s="943"/>
      <c r="U116" s="943"/>
      <c r="V116" s="943"/>
      <c r="W116" s="943"/>
      <c r="X116" s="943"/>
      <c r="Y116" s="943"/>
      <c r="Z116" s="943"/>
      <c r="AA116" s="943"/>
      <c r="AB116" s="943"/>
      <c r="AC116" s="943"/>
      <c r="AD116" s="943"/>
      <c r="AE116" s="943"/>
    </row>
    <row r="117" spans="1:31" ht="15.75" customHeight="1">
      <c r="A117" s="943"/>
      <c r="B117" s="1050" t="s">
        <v>116</v>
      </c>
      <c r="C117" s="1051">
        <v>48739</v>
      </c>
      <c r="D117" s="943"/>
      <c r="E117" s="943"/>
      <c r="F117" s="948"/>
      <c r="G117" s="1055">
        <f t="shared" si="1"/>
        <v>0</v>
      </c>
      <c r="H117" s="948"/>
      <c r="I117" s="1053">
        <f t="shared" si="2"/>
        <v>0</v>
      </c>
      <c r="J117" s="948"/>
      <c r="K117" s="1053">
        <f t="shared" si="3"/>
        <v>0</v>
      </c>
      <c r="L117" s="948"/>
      <c r="M117" s="1053">
        <f t="shared" si="4"/>
        <v>0</v>
      </c>
      <c r="N117" s="943"/>
      <c r="O117" s="943"/>
      <c r="P117" s="943"/>
      <c r="Q117" s="943"/>
      <c r="R117" s="943"/>
      <c r="S117" s="943"/>
      <c r="T117" s="943"/>
      <c r="U117" s="943"/>
      <c r="V117" s="943"/>
      <c r="W117" s="943"/>
      <c r="X117" s="943"/>
      <c r="Y117" s="943"/>
      <c r="Z117" s="943"/>
      <c r="AA117" s="943"/>
      <c r="AB117" s="943"/>
      <c r="AC117" s="943"/>
      <c r="AD117" s="943"/>
      <c r="AE117" s="943"/>
    </row>
    <row r="118" spans="1:31" ht="15.75" customHeight="1">
      <c r="A118" s="943"/>
      <c r="B118" s="1050" t="s">
        <v>89</v>
      </c>
      <c r="C118" s="1051">
        <v>4370</v>
      </c>
      <c r="D118" s="943"/>
      <c r="E118" s="943"/>
      <c r="F118" s="948"/>
      <c r="G118" s="1055">
        <f t="shared" si="1"/>
        <v>0</v>
      </c>
      <c r="H118" s="948"/>
      <c r="I118" s="1053">
        <f t="shared" si="2"/>
        <v>0</v>
      </c>
      <c r="J118" s="948">
        <v>1</v>
      </c>
      <c r="K118" s="1053">
        <f t="shared" si="3"/>
        <v>4370</v>
      </c>
      <c r="L118" s="948"/>
      <c r="M118" s="1053">
        <f t="shared" si="4"/>
        <v>0</v>
      </c>
      <c r="N118" s="943"/>
      <c r="O118" s="943"/>
      <c r="P118" s="943"/>
      <c r="Q118" s="943"/>
      <c r="R118" s="943"/>
      <c r="S118" s="943"/>
      <c r="T118" s="943"/>
      <c r="U118" s="943"/>
      <c r="V118" s="943"/>
      <c r="W118" s="943"/>
      <c r="X118" s="943"/>
      <c r="Y118" s="943"/>
      <c r="Z118" s="943"/>
      <c r="AA118" s="943"/>
      <c r="AB118" s="943"/>
      <c r="AC118" s="943"/>
      <c r="AD118" s="943"/>
      <c r="AE118" s="943"/>
    </row>
    <row r="119" spans="1:31" ht="15.75" customHeight="1">
      <c r="A119" s="943"/>
      <c r="B119" s="1050" t="s">
        <v>91</v>
      </c>
      <c r="C119" s="1051">
        <v>18068</v>
      </c>
      <c r="D119" s="943"/>
      <c r="E119" s="943"/>
      <c r="F119" s="948"/>
      <c r="G119" s="1055">
        <f t="shared" si="1"/>
        <v>0</v>
      </c>
      <c r="H119" s="948"/>
      <c r="I119" s="1053">
        <f t="shared" si="2"/>
        <v>0</v>
      </c>
      <c r="J119" s="948">
        <v>1</v>
      </c>
      <c r="K119" s="1053">
        <f t="shared" si="3"/>
        <v>18068</v>
      </c>
      <c r="L119" s="948"/>
      <c r="M119" s="1053">
        <f t="shared" si="4"/>
        <v>0</v>
      </c>
      <c r="N119" s="943"/>
      <c r="O119" s="943"/>
      <c r="P119" s="943"/>
      <c r="Q119" s="943"/>
      <c r="R119" s="943"/>
      <c r="S119" s="943"/>
      <c r="T119" s="943"/>
      <c r="U119" s="943"/>
      <c r="V119" s="943"/>
      <c r="W119" s="943"/>
      <c r="X119" s="943"/>
      <c r="Y119" s="943"/>
      <c r="Z119" s="943"/>
      <c r="AA119" s="943"/>
      <c r="AB119" s="943"/>
      <c r="AC119" s="943"/>
      <c r="AD119" s="943"/>
      <c r="AE119" s="943"/>
    </row>
    <row r="120" spans="1:31" ht="15.75" customHeight="1">
      <c r="A120" s="943"/>
      <c r="B120" s="1050" t="s">
        <v>295</v>
      </c>
      <c r="C120" s="1051">
        <v>571</v>
      </c>
      <c r="D120" s="943"/>
      <c r="E120" s="943"/>
      <c r="F120" s="948"/>
      <c r="G120" s="1055">
        <f t="shared" si="1"/>
        <v>0</v>
      </c>
      <c r="H120" s="948">
        <f>IF('Datos de Entrada (On Grid)'!G27="expuesta",3/8,0)</f>
        <v>0</v>
      </c>
      <c r="I120" s="1053">
        <f t="shared" si="2"/>
        <v>0</v>
      </c>
      <c r="J120" s="948"/>
      <c r="K120" s="1053">
        <f t="shared" si="3"/>
        <v>0</v>
      </c>
      <c r="L120" s="948"/>
      <c r="M120" s="1053">
        <f t="shared" si="4"/>
        <v>0</v>
      </c>
      <c r="N120" s="943"/>
      <c r="O120" s="943"/>
      <c r="P120" s="943"/>
      <c r="Q120" s="943"/>
      <c r="R120" s="943"/>
      <c r="S120" s="943"/>
      <c r="T120" s="943"/>
      <c r="U120" s="943"/>
      <c r="V120" s="943"/>
      <c r="W120" s="943"/>
      <c r="X120" s="943"/>
      <c r="Y120" s="943"/>
      <c r="Z120" s="943"/>
      <c r="AA120" s="943"/>
      <c r="AB120" s="943"/>
      <c r="AC120" s="943"/>
      <c r="AD120" s="943"/>
      <c r="AE120" s="943"/>
    </row>
    <row r="121" spans="1:31" ht="15.75" customHeight="1">
      <c r="A121" s="943"/>
      <c r="B121" s="1050" t="s">
        <v>92</v>
      </c>
      <c r="C121" s="1051">
        <v>2586</v>
      </c>
      <c r="D121" s="943"/>
      <c r="E121" s="943"/>
      <c r="F121" s="948"/>
      <c r="G121" s="1055">
        <f t="shared" si="1"/>
        <v>0</v>
      </c>
      <c r="H121" s="948"/>
      <c r="I121" s="1053">
        <f t="shared" si="2"/>
        <v>0</v>
      </c>
      <c r="J121" s="948"/>
      <c r="K121" s="1053">
        <f t="shared" si="3"/>
        <v>0</v>
      </c>
      <c r="L121" s="948"/>
      <c r="M121" s="1053">
        <f t="shared" si="4"/>
        <v>0</v>
      </c>
      <c r="N121" s="943"/>
      <c r="O121" s="943"/>
      <c r="P121" s="943"/>
      <c r="Q121" s="943"/>
      <c r="R121" s="943"/>
      <c r="S121" s="943"/>
      <c r="T121" s="943"/>
      <c r="U121" s="943"/>
      <c r="V121" s="943"/>
      <c r="W121" s="943"/>
      <c r="X121" s="943"/>
      <c r="Y121" s="943"/>
      <c r="Z121" s="943"/>
      <c r="AA121" s="943"/>
      <c r="AB121" s="943"/>
      <c r="AC121" s="943"/>
      <c r="AD121" s="943"/>
      <c r="AE121" s="943"/>
    </row>
    <row r="122" spans="1:31" ht="15.75" customHeight="1">
      <c r="A122" s="943"/>
      <c r="B122" s="1050" t="s">
        <v>93</v>
      </c>
      <c r="C122" s="1051">
        <v>47647</v>
      </c>
      <c r="D122" s="943"/>
      <c r="E122" s="943"/>
      <c r="F122" s="948"/>
      <c r="G122" s="1055">
        <f t="shared" si="1"/>
        <v>0</v>
      </c>
      <c r="H122" s="948"/>
      <c r="I122" s="1053">
        <f t="shared" si="2"/>
        <v>0</v>
      </c>
      <c r="J122" s="948">
        <v>1</v>
      </c>
      <c r="K122" s="1053">
        <f t="shared" si="3"/>
        <v>47647</v>
      </c>
      <c r="L122" s="948"/>
      <c r="M122" s="1053">
        <f t="shared" si="4"/>
        <v>0</v>
      </c>
      <c r="N122" s="943"/>
      <c r="O122" s="943"/>
      <c r="P122" s="943"/>
      <c r="Q122" s="943"/>
      <c r="R122" s="943"/>
      <c r="S122" s="943"/>
      <c r="T122" s="943"/>
      <c r="U122" s="943"/>
      <c r="V122" s="943"/>
      <c r="W122" s="943"/>
      <c r="X122" s="943"/>
      <c r="Y122" s="943"/>
      <c r="Z122" s="943"/>
      <c r="AA122" s="943"/>
      <c r="AB122" s="943"/>
      <c r="AC122" s="943"/>
      <c r="AD122" s="943"/>
      <c r="AE122" s="943"/>
    </row>
    <row r="123" spans="1:31" ht="15.75" customHeight="1">
      <c r="A123" s="943"/>
      <c r="B123" s="1050" t="s">
        <v>94</v>
      </c>
      <c r="C123" s="1051">
        <v>129</v>
      </c>
      <c r="D123" s="943"/>
      <c r="E123" s="943" t="s">
        <v>284</v>
      </c>
      <c r="F123" s="948"/>
      <c r="G123" s="1055">
        <f t="shared" si="1"/>
        <v>0</v>
      </c>
      <c r="H123" s="948">
        <f>H111*2</f>
        <v>0</v>
      </c>
      <c r="I123" s="1053">
        <f t="shared" si="2"/>
        <v>0</v>
      </c>
      <c r="J123" s="948"/>
      <c r="K123" s="1053">
        <f t="shared" si="3"/>
        <v>0</v>
      </c>
      <c r="L123" s="948"/>
      <c r="M123" s="1053">
        <f t="shared" si="4"/>
        <v>0</v>
      </c>
      <c r="N123" s="943"/>
      <c r="O123" s="943"/>
      <c r="P123" s="943"/>
      <c r="Q123" s="943"/>
      <c r="R123" s="943"/>
      <c r="S123" s="943"/>
      <c r="T123" s="943"/>
      <c r="U123" s="943"/>
      <c r="V123" s="943"/>
      <c r="W123" s="943"/>
      <c r="X123" s="943"/>
      <c r="Y123" s="943"/>
      <c r="Z123" s="943"/>
      <c r="AA123" s="943"/>
      <c r="AB123" s="943"/>
      <c r="AC123" s="943"/>
      <c r="AD123" s="943"/>
      <c r="AE123" s="943"/>
    </row>
    <row r="124" spans="1:31" ht="15.75" customHeight="1">
      <c r="A124" s="943"/>
      <c r="B124" s="1050" t="s">
        <v>95</v>
      </c>
      <c r="C124" s="1051">
        <v>420</v>
      </c>
      <c r="D124" s="943"/>
      <c r="E124" s="943" t="s">
        <v>284</v>
      </c>
      <c r="F124" s="948"/>
      <c r="G124" s="1055">
        <f t="shared" si="1"/>
        <v>0</v>
      </c>
      <c r="H124" s="948"/>
      <c r="I124" s="1053">
        <f t="shared" si="2"/>
        <v>0</v>
      </c>
      <c r="J124" s="948">
        <v>10</v>
      </c>
      <c r="K124" s="1053">
        <f t="shared" si="3"/>
        <v>4200</v>
      </c>
      <c r="L124" s="948"/>
      <c r="M124" s="1053">
        <f t="shared" si="4"/>
        <v>0</v>
      </c>
      <c r="N124" s="943"/>
      <c r="O124" s="943"/>
      <c r="P124" s="943"/>
      <c r="Q124" s="943"/>
      <c r="R124" s="943"/>
      <c r="S124" s="943"/>
      <c r="T124" s="943"/>
      <c r="U124" s="943"/>
      <c r="V124" s="943"/>
      <c r="W124" s="943"/>
      <c r="X124" s="943"/>
      <c r="Y124" s="943"/>
      <c r="Z124" s="943"/>
      <c r="AA124" s="943"/>
      <c r="AB124" s="943"/>
      <c r="AC124" s="943"/>
      <c r="AD124" s="943"/>
      <c r="AE124" s="943"/>
    </row>
    <row r="125" spans="1:31" ht="15.75" customHeight="1">
      <c r="A125" s="943"/>
      <c r="B125" s="1050" t="s">
        <v>96</v>
      </c>
      <c r="C125" s="1051">
        <v>1247.6666666666667</v>
      </c>
      <c r="D125" s="943"/>
      <c r="E125" s="943" t="s">
        <v>284</v>
      </c>
      <c r="F125" s="948"/>
      <c r="G125" s="1055">
        <f t="shared" si="1"/>
        <v>0</v>
      </c>
      <c r="H125" s="948"/>
      <c r="I125" s="1053">
        <f t="shared" si="2"/>
        <v>0</v>
      </c>
      <c r="J125" s="948">
        <v>6</v>
      </c>
      <c r="K125" s="1053">
        <f t="shared" si="3"/>
        <v>7486</v>
      </c>
      <c r="L125" s="948"/>
      <c r="M125" s="1053">
        <f t="shared" si="4"/>
        <v>0</v>
      </c>
      <c r="N125" s="943"/>
      <c r="O125" s="943"/>
      <c r="P125" s="943"/>
      <c r="Q125" s="943"/>
      <c r="R125" s="943"/>
      <c r="S125" s="943"/>
      <c r="T125" s="943"/>
      <c r="U125" s="943"/>
      <c r="V125" s="943"/>
      <c r="W125" s="943"/>
      <c r="X125" s="943"/>
      <c r="Y125" s="943"/>
      <c r="Z125" s="943"/>
      <c r="AA125" s="943"/>
      <c r="AB125" s="943"/>
      <c r="AC125" s="943"/>
      <c r="AD125" s="943"/>
      <c r="AE125" s="943"/>
    </row>
    <row r="126" spans="1:31" ht="15.75" customHeight="1">
      <c r="A126" s="943"/>
      <c r="B126" s="1050" t="s">
        <v>97</v>
      </c>
      <c r="C126" s="1051">
        <v>151</v>
      </c>
      <c r="D126" s="943"/>
      <c r="E126" s="943" t="s">
        <v>284</v>
      </c>
      <c r="F126" s="948"/>
      <c r="G126" s="1055">
        <f t="shared" si="1"/>
        <v>0</v>
      </c>
      <c r="H126" s="948"/>
      <c r="I126" s="1053">
        <f t="shared" si="2"/>
        <v>0</v>
      </c>
      <c r="J126" s="948"/>
      <c r="K126" s="1053">
        <f t="shared" si="3"/>
        <v>0</v>
      </c>
      <c r="L126" s="948"/>
      <c r="M126" s="1053">
        <f t="shared" si="4"/>
        <v>0</v>
      </c>
      <c r="N126" s="943"/>
      <c r="O126" s="943"/>
      <c r="P126" s="943"/>
      <c r="Q126" s="943"/>
      <c r="R126" s="943"/>
      <c r="S126" s="943"/>
      <c r="T126" s="943"/>
      <c r="U126" s="943"/>
      <c r="V126" s="943"/>
      <c r="W126" s="943"/>
      <c r="X126" s="943"/>
      <c r="Y126" s="943"/>
      <c r="Z126" s="943"/>
      <c r="AA126" s="943"/>
      <c r="AB126" s="943"/>
      <c r="AC126" s="943"/>
      <c r="AD126" s="943"/>
      <c r="AE126" s="943"/>
    </row>
    <row r="127" spans="1:31" ht="15.75" customHeight="1">
      <c r="A127" s="943"/>
      <c r="B127" s="1050" t="s">
        <v>98</v>
      </c>
      <c r="C127" s="1051">
        <v>58</v>
      </c>
      <c r="D127" s="943"/>
      <c r="E127" s="943" t="s">
        <v>284</v>
      </c>
      <c r="F127" s="948"/>
      <c r="G127" s="1055">
        <f t="shared" si="1"/>
        <v>0</v>
      </c>
      <c r="H127" s="948"/>
      <c r="I127" s="1053">
        <f t="shared" si="2"/>
        <v>0</v>
      </c>
      <c r="J127" s="948"/>
      <c r="K127" s="1053">
        <f t="shared" si="3"/>
        <v>0</v>
      </c>
      <c r="L127" s="948"/>
      <c r="M127" s="1053">
        <f t="shared" si="4"/>
        <v>0</v>
      </c>
      <c r="N127" s="943"/>
      <c r="O127" s="943"/>
      <c r="P127" s="943"/>
      <c r="Q127" s="943"/>
      <c r="R127" s="943"/>
      <c r="S127" s="943"/>
      <c r="T127" s="943"/>
      <c r="U127" s="943"/>
      <c r="V127" s="943"/>
      <c r="W127" s="943"/>
      <c r="X127" s="943"/>
      <c r="Y127" s="943"/>
      <c r="Z127" s="943"/>
      <c r="AA127" s="943"/>
      <c r="AB127" s="943"/>
      <c r="AC127" s="943"/>
      <c r="AD127" s="943"/>
      <c r="AE127" s="943"/>
    </row>
    <row r="128" spans="1:31" ht="15.75" customHeight="1">
      <c r="A128" s="943"/>
      <c r="B128" s="1050" t="s">
        <v>97</v>
      </c>
      <c r="C128" s="1051">
        <v>252</v>
      </c>
      <c r="D128" s="943"/>
      <c r="E128" s="943" t="s">
        <v>284</v>
      </c>
      <c r="F128" s="948"/>
      <c r="G128" s="1055">
        <f t="shared" si="1"/>
        <v>0</v>
      </c>
      <c r="H128" s="948"/>
      <c r="I128" s="1053">
        <f t="shared" si="2"/>
        <v>0</v>
      </c>
      <c r="J128" s="948"/>
      <c r="K128" s="1053">
        <f t="shared" si="3"/>
        <v>0</v>
      </c>
      <c r="L128" s="948"/>
      <c r="M128" s="1053">
        <f t="shared" si="4"/>
        <v>0</v>
      </c>
      <c r="N128" s="943"/>
      <c r="O128" s="943"/>
      <c r="P128" s="943"/>
      <c r="Q128" s="943"/>
      <c r="R128" s="943"/>
      <c r="S128" s="943"/>
      <c r="T128" s="943"/>
      <c r="U128" s="943"/>
      <c r="V128" s="943"/>
      <c r="W128" s="943"/>
      <c r="X128" s="943"/>
      <c r="Y128" s="943"/>
      <c r="Z128" s="943"/>
      <c r="AA128" s="943"/>
      <c r="AB128" s="943"/>
      <c r="AC128" s="943"/>
      <c r="AD128" s="943"/>
      <c r="AE128" s="943"/>
    </row>
    <row r="129" spans="1:31" ht="15.75" customHeight="1">
      <c r="A129" s="943"/>
      <c r="B129" s="1050" t="s">
        <v>100</v>
      </c>
      <c r="C129" s="1051">
        <v>1260</v>
      </c>
      <c r="D129" s="943"/>
      <c r="E129" s="943" t="s">
        <v>284</v>
      </c>
      <c r="F129" s="948"/>
      <c r="G129" s="1055">
        <f t="shared" si="1"/>
        <v>0</v>
      </c>
      <c r="H129" s="948"/>
      <c r="I129" s="1053">
        <f t="shared" si="2"/>
        <v>0</v>
      </c>
      <c r="J129" s="948"/>
      <c r="K129" s="1053">
        <f t="shared" si="3"/>
        <v>0</v>
      </c>
      <c r="L129" s="948"/>
      <c r="M129" s="1053">
        <f t="shared" si="4"/>
        <v>0</v>
      </c>
      <c r="N129" s="943"/>
      <c r="O129" s="943"/>
      <c r="P129" s="943"/>
      <c r="Q129" s="943"/>
      <c r="R129" s="943"/>
      <c r="S129" s="943"/>
      <c r="T129" s="943"/>
      <c r="U129" s="943"/>
      <c r="V129" s="943"/>
      <c r="W129" s="943"/>
      <c r="X129" s="943"/>
      <c r="Y129" s="943"/>
      <c r="Z129" s="943"/>
      <c r="AA129" s="943"/>
      <c r="AB129" s="943"/>
      <c r="AC129" s="943"/>
      <c r="AD129" s="943"/>
      <c r="AE129" s="943"/>
    </row>
    <row r="130" spans="1:31" ht="15.75" customHeight="1">
      <c r="A130" s="943"/>
      <c r="B130" s="1050" t="s">
        <v>100</v>
      </c>
      <c r="C130" s="1051">
        <v>1260</v>
      </c>
      <c r="D130" s="943"/>
      <c r="E130" s="943" t="s">
        <v>284</v>
      </c>
      <c r="F130" s="948"/>
      <c r="G130" s="1055">
        <f t="shared" si="1"/>
        <v>0</v>
      </c>
      <c r="H130" s="948"/>
      <c r="I130" s="1053">
        <f t="shared" si="2"/>
        <v>0</v>
      </c>
      <c r="J130" s="948"/>
      <c r="K130" s="1053">
        <f t="shared" si="3"/>
        <v>0</v>
      </c>
      <c r="L130" s="948"/>
      <c r="M130" s="1053">
        <f t="shared" si="4"/>
        <v>0</v>
      </c>
      <c r="N130" s="943"/>
      <c r="O130" s="943"/>
      <c r="P130" s="943"/>
      <c r="Q130" s="943"/>
      <c r="R130" s="943"/>
      <c r="S130" s="943"/>
      <c r="T130" s="943"/>
      <c r="U130" s="943"/>
      <c r="V130" s="943"/>
      <c r="W130" s="943"/>
      <c r="X130" s="943"/>
      <c r="Y130" s="943"/>
      <c r="Z130" s="943"/>
      <c r="AA130" s="943"/>
      <c r="AB130" s="943"/>
      <c r="AC130" s="943"/>
      <c r="AD130" s="943"/>
      <c r="AE130" s="943"/>
    </row>
    <row r="131" spans="1:31" ht="15.75" customHeight="1">
      <c r="A131" s="943"/>
      <c r="B131" s="1050" t="s">
        <v>101</v>
      </c>
      <c r="C131" s="1051">
        <v>25</v>
      </c>
      <c r="D131" s="943"/>
      <c r="E131" s="943" t="s">
        <v>284</v>
      </c>
      <c r="F131" s="948"/>
      <c r="G131" s="1055">
        <f t="shared" si="1"/>
        <v>0</v>
      </c>
      <c r="H131" s="948">
        <f>H133</f>
        <v>0</v>
      </c>
      <c r="I131" s="1053">
        <f t="shared" si="2"/>
        <v>0</v>
      </c>
      <c r="J131" s="948"/>
      <c r="K131" s="1053">
        <f t="shared" si="3"/>
        <v>0</v>
      </c>
      <c r="L131" s="948"/>
      <c r="M131" s="1053">
        <f t="shared" si="4"/>
        <v>0</v>
      </c>
      <c r="N131" s="943"/>
      <c r="O131" s="943"/>
      <c r="P131" s="943"/>
      <c r="Q131" s="943"/>
      <c r="R131" s="943"/>
      <c r="S131" s="943"/>
      <c r="T131" s="943"/>
      <c r="U131" s="943"/>
      <c r="V131" s="943"/>
      <c r="W131" s="943"/>
      <c r="X131" s="943"/>
      <c r="Y131" s="943"/>
      <c r="Z131" s="943"/>
      <c r="AA131" s="943"/>
      <c r="AB131" s="943"/>
      <c r="AC131" s="943"/>
      <c r="AD131" s="943"/>
      <c r="AE131" s="943"/>
    </row>
    <row r="132" spans="1:31" ht="15.75" customHeight="1">
      <c r="A132" s="943"/>
      <c r="B132" s="1050" t="s">
        <v>102</v>
      </c>
      <c r="C132" s="1051">
        <v>1552</v>
      </c>
      <c r="D132" s="943"/>
      <c r="E132" s="943" t="s">
        <v>284</v>
      </c>
      <c r="F132" s="948"/>
      <c r="G132" s="1055">
        <f t="shared" si="1"/>
        <v>0</v>
      </c>
      <c r="H132" s="948"/>
      <c r="I132" s="1053">
        <f t="shared" si="2"/>
        <v>0</v>
      </c>
      <c r="J132" s="948"/>
      <c r="K132" s="1053">
        <f t="shared" si="3"/>
        <v>0</v>
      </c>
      <c r="L132" s="948"/>
      <c r="M132" s="1053">
        <f t="shared" si="4"/>
        <v>0</v>
      </c>
      <c r="N132" s="943"/>
      <c r="O132" s="943"/>
      <c r="P132" s="943"/>
      <c r="Q132" s="943"/>
      <c r="R132" s="943"/>
      <c r="S132" s="943"/>
      <c r="T132" s="943"/>
      <c r="U132" s="943"/>
      <c r="V132" s="943"/>
      <c r="W132" s="943"/>
      <c r="X132" s="943"/>
      <c r="Y132" s="943"/>
      <c r="Z132" s="943"/>
      <c r="AA132" s="943"/>
      <c r="AB132" s="943"/>
      <c r="AC132" s="943"/>
      <c r="AD132" s="943"/>
      <c r="AE132" s="943"/>
    </row>
    <row r="133" spans="1:31" ht="15.75" customHeight="1">
      <c r="A133" s="943"/>
      <c r="B133" s="1050" t="s">
        <v>103</v>
      </c>
      <c r="C133" s="1051">
        <v>1896</v>
      </c>
      <c r="D133" s="943"/>
      <c r="E133" s="943" t="s">
        <v>284</v>
      </c>
      <c r="F133" s="948"/>
      <c r="G133" s="1055">
        <f t="shared" si="1"/>
        <v>0</v>
      </c>
      <c r="H133" s="948">
        <f>H123</f>
        <v>0</v>
      </c>
      <c r="I133" s="1053">
        <f t="shared" si="2"/>
        <v>0</v>
      </c>
      <c r="J133" s="948"/>
      <c r="K133" s="1053">
        <f t="shared" si="3"/>
        <v>0</v>
      </c>
      <c r="L133" s="948"/>
      <c r="M133" s="1053">
        <f t="shared" si="4"/>
        <v>0</v>
      </c>
      <c r="N133" s="943"/>
      <c r="O133" s="943"/>
      <c r="P133" s="943"/>
      <c r="Q133" s="943"/>
      <c r="R133" s="943"/>
      <c r="S133" s="943"/>
      <c r="T133" s="943"/>
      <c r="U133" s="943"/>
      <c r="V133" s="943"/>
      <c r="W133" s="943"/>
      <c r="X133" s="943"/>
      <c r="Y133" s="943"/>
      <c r="Z133" s="943"/>
      <c r="AA133" s="943"/>
      <c r="AB133" s="943"/>
      <c r="AC133" s="943"/>
      <c r="AD133" s="943"/>
      <c r="AE133" s="943"/>
    </row>
    <row r="134" spans="1:31" ht="15.75" customHeight="1">
      <c r="A134" s="943"/>
      <c r="B134" s="1050" t="s">
        <v>104</v>
      </c>
      <c r="C134" s="1051">
        <v>43</v>
      </c>
      <c r="D134" s="943"/>
      <c r="E134" s="943" t="s">
        <v>284</v>
      </c>
      <c r="F134" s="948"/>
      <c r="G134" s="1055">
        <f t="shared" si="1"/>
        <v>0</v>
      </c>
      <c r="H134" s="948"/>
      <c r="I134" s="1053">
        <f t="shared" si="2"/>
        <v>0</v>
      </c>
      <c r="J134" s="948"/>
      <c r="K134" s="1053">
        <f t="shared" si="3"/>
        <v>0</v>
      </c>
      <c r="L134" s="948">
        <f>4*'Calculos (On Grid)'!B23</f>
        <v>56</v>
      </c>
      <c r="M134" s="1053">
        <f t="shared" si="4"/>
        <v>2408</v>
      </c>
      <c r="N134" s="943"/>
      <c r="O134" s="943"/>
      <c r="P134" s="943"/>
      <c r="Q134" s="943"/>
      <c r="R134" s="943"/>
      <c r="S134" s="943"/>
      <c r="T134" s="943"/>
      <c r="U134" s="943"/>
      <c r="V134" s="943"/>
      <c r="W134" s="943"/>
      <c r="X134" s="943"/>
      <c r="Y134" s="943"/>
      <c r="Z134" s="943"/>
      <c r="AA134" s="943"/>
      <c r="AB134" s="943"/>
      <c r="AC134" s="943"/>
      <c r="AD134" s="943"/>
      <c r="AE134" s="943"/>
    </row>
    <row r="135" spans="1:31" ht="15.75" customHeight="1">
      <c r="A135" s="943"/>
      <c r="B135" s="1050" t="s">
        <v>105</v>
      </c>
      <c r="C135" s="1051">
        <v>2100</v>
      </c>
      <c r="D135" s="943"/>
      <c r="E135" s="943" t="s">
        <v>284</v>
      </c>
      <c r="F135" s="948"/>
      <c r="G135" s="1055">
        <f t="shared" si="1"/>
        <v>0</v>
      </c>
      <c r="H135" s="948">
        <f>IF('Datos de Entrada (On Grid)'!G27="expuesta",1/4,0)</f>
        <v>0</v>
      </c>
      <c r="I135" s="1053">
        <f t="shared" si="2"/>
        <v>0</v>
      </c>
      <c r="J135" s="948"/>
      <c r="K135" s="1053">
        <f t="shared" si="3"/>
        <v>0</v>
      </c>
      <c r="L135" s="948"/>
      <c r="M135" s="1053">
        <f t="shared" si="4"/>
        <v>0</v>
      </c>
      <c r="N135" s="943"/>
      <c r="O135" s="943"/>
      <c r="P135" s="943"/>
      <c r="Q135" s="943"/>
      <c r="R135" s="943"/>
      <c r="S135" s="943"/>
      <c r="T135" s="943"/>
      <c r="U135" s="943"/>
      <c r="V135" s="943"/>
      <c r="W135" s="943"/>
      <c r="X135" s="943"/>
      <c r="Y135" s="943"/>
      <c r="Z135" s="943"/>
      <c r="AA135" s="943"/>
      <c r="AB135" s="943"/>
      <c r="AC135" s="943"/>
      <c r="AD135" s="943"/>
      <c r="AE135" s="943"/>
    </row>
    <row r="136" spans="1:31" ht="15.75" customHeight="1">
      <c r="A136" s="943"/>
      <c r="B136" s="1050" t="s">
        <v>106</v>
      </c>
      <c r="C136" s="1051">
        <v>126</v>
      </c>
      <c r="D136" s="943"/>
      <c r="E136" s="943" t="s">
        <v>284</v>
      </c>
      <c r="F136" s="948"/>
      <c r="G136" s="1055">
        <f t="shared" si="1"/>
        <v>0</v>
      </c>
      <c r="H136" s="948"/>
      <c r="I136" s="1053">
        <f t="shared" si="2"/>
        <v>0</v>
      </c>
      <c r="J136" s="948"/>
      <c r="K136" s="1053">
        <f t="shared" si="3"/>
        <v>0</v>
      </c>
      <c r="L136" s="948"/>
      <c r="M136" s="1053">
        <f t="shared" si="4"/>
        <v>0</v>
      </c>
      <c r="N136" s="943"/>
      <c r="O136" s="943"/>
      <c r="P136" s="943"/>
      <c r="Q136" s="943"/>
      <c r="R136" s="943"/>
      <c r="S136" s="943"/>
      <c r="T136" s="943"/>
      <c r="U136" s="943"/>
      <c r="V136" s="943"/>
      <c r="W136" s="943"/>
      <c r="X136" s="943"/>
      <c r="Y136" s="943"/>
      <c r="Z136" s="943"/>
      <c r="AA136" s="943"/>
      <c r="AB136" s="943"/>
      <c r="AC136" s="943"/>
      <c r="AD136" s="943"/>
      <c r="AE136" s="943"/>
    </row>
    <row r="137" spans="1:31" ht="15.75" customHeight="1">
      <c r="A137" s="943"/>
      <c r="B137" s="1050" t="s">
        <v>107</v>
      </c>
      <c r="C137" s="1051">
        <v>3025</v>
      </c>
      <c r="D137" s="943"/>
      <c r="E137" s="943" t="s">
        <v>284</v>
      </c>
      <c r="F137" s="948"/>
      <c r="G137" s="1055">
        <f t="shared" si="1"/>
        <v>0</v>
      </c>
      <c r="H137" s="948"/>
      <c r="I137" s="1053">
        <f t="shared" si="2"/>
        <v>0</v>
      </c>
      <c r="J137" s="948">
        <v>0.5</v>
      </c>
      <c r="K137" s="1053">
        <f t="shared" si="3"/>
        <v>1512.5</v>
      </c>
      <c r="L137" s="948"/>
      <c r="M137" s="1053">
        <f t="shared" si="4"/>
        <v>0</v>
      </c>
      <c r="N137" s="943"/>
      <c r="O137" s="943"/>
      <c r="P137" s="943"/>
      <c r="Q137" s="943"/>
      <c r="R137" s="943"/>
      <c r="S137" s="943"/>
      <c r="T137" s="943"/>
      <c r="U137" s="943"/>
      <c r="V137" s="943"/>
      <c r="W137" s="943"/>
      <c r="X137" s="943"/>
      <c r="Y137" s="943"/>
      <c r="Z137" s="943"/>
      <c r="AA137" s="943"/>
      <c r="AB137" s="943"/>
      <c r="AC137" s="943"/>
      <c r="AD137" s="943"/>
      <c r="AE137" s="943"/>
    </row>
    <row r="138" spans="1:31" ht="15.75" customHeight="1">
      <c r="A138" s="943"/>
      <c r="B138" s="1050" t="s">
        <v>108</v>
      </c>
      <c r="C138" s="1051">
        <v>4737</v>
      </c>
      <c r="D138" s="943"/>
      <c r="E138" s="943" t="s">
        <v>284</v>
      </c>
      <c r="F138" s="948"/>
      <c r="G138" s="1055">
        <f t="shared" si="1"/>
        <v>0</v>
      </c>
      <c r="H138" s="948"/>
      <c r="I138" s="1053">
        <f t="shared" si="2"/>
        <v>0</v>
      </c>
      <c r="J138" s="948">
        <v>1</v>
      </c>
      <c r="K138" s="1053">
        <f t="shared" si="3"/>
        <v>4737</v>
      </c>
      <c r="L138" s="948"/>
      <c r="M138" s="1053">
        <f t="shared" si="4"/>
        <v>0</v>
      </c>
      <c r="N138" s="943"/>
      <c r="O138" s="943"/>
      <c r="P138" s="943"/>
      <c r="Q138" s="943"/>
      <c r="R138" s="943"/>
      <c r="S138" s="943"/>
      <c r="T138" s="943"/>
      <c r="U138" s="943"/>
      <c r="V138" s="943"/>
      <c r="W138" s="943"/>
      <c r="X138" s="943"/>
      <c r="Y138" s="943"/>
      <c r="Z138" s="943"/>
      <c r="AA138" s="943"/>
      <c r="AB138" s="943"/>
      <c r="AC138" s="943"/>
      <c r="AD138" s="943"/>
      <c r="AE138" s="943"/>
    </row>
    <row r="139" spans="1:31" ht="15.75" customHeight="1">
      <c r="A139" s="943"/>
      <c r="B139" s="1050" t="s">
        <v>109</v>
      </c>
      <c r="C139" s="1051">
        <v>22143</v>
      </c>
      <c r="D139" s="943"/>
      <c r="E139" s="943" t="s">
        <v>284</v>
      </c>
      <c r="F139" s="948"/>
      <c r="G139" s="1055">
        <f t="shared" si="1"/>
        <v>0</v>
      </c>
      <c r="H139" s="948"/>
      <c r="I139" s="1053">
        <f t="shared" si="2"/>
        <v>0</v>
      </c>
      <c r="J139" s="948">
        <v>2</v>
      </c>
      <c r="K139" s="1053">
        <f t="shared" si="3"/>
        <v>44286</v>
      </c>
      <c r="L139" s="948"/>
      <c r="M139" s="1053">
        <f t="shared" si="4"/>
        <v>0</v>
      </c>
      <c r="N139" s="943"/>
      <c r="O139" s="943"/>
      <c r="P139" s="943"/>
      <c r="Q139" s="943"/>
      <c r="R139" s="943"/>
      <c r="S139" s="943"/>
      <c r="T139" s="943"/>
      <c r="U139" s="943"/>
      <c r="V139" s="943"/>
      <c r="W139" s="943"/>
      <c r="X139" s="943"/>
      <c r="Y139" s="943"/>
      <c r="Z139" s="943"/>
      <c r="AA139" s="943"/>
      <c r="AB139" s="943"/>
      <c r="AC139" s="943"/>
      <c r="AD139" s="943"/>
      <c r="AE139" s="943"/>
    </row>
    <row r="140" spans="1:31" ht="15.75" customHeight="1">
      <c r="A140" s="943"/>
      <c r="B140" s="1050" t="s">
        <v>110</v>
      </c>
      <c r="C140" s="1051">
        <v>43</v>
      </c>
      <c r="D140" s="943"/>
      <c r="E140" s="943" t="s">
        <v>284</v>
      </c>
      <c r="F140" s="948"/>
      <c r="G140" s="1055">
        <f t="shared" si="1"/>
        <v>0</v>
      </c>
      <c r="H140" s="948"/>
      <c r="I140" s="1053">
        <f t="shared" si="2"/>
        <v>0</v>
      </c>
      <c r="J140" s="948"/>
      <c r="K140" s="1053">
        <f t="shared" si="3"/>
        <v>0</v>
      </c>
      <c r="L140" s="948"/>
      <c r="M140" s="1053">
        <f t="shared" si="4"/>
        <v>0</v>
      </c>
      <c r="N140" s="943"/>
      <c r="O140" s="943"/>
      <c r="P140" s="943"/>
      <c r="Q140" s="943"/>
      <c r="R140" s="943"/>
      <c r="S140" s="943"/>
      <c r="T140" s="943"/>
      <c r="U140" s="943"/>
      <c r="V140" s="943"/>
      <c r="W140" s="943"/>
      <c r="X140" s="943"/>
      <c r="Y140" s="943"/>
      <c r="Z140" s="943"/>
      <c r="AA140" s="943"/>
      <c r="AB140" s="943"/>
      <c r="AC140" s="943"/>
      <c r="AD140" s="943"/>
      <c r="AE140" s="943"/>
    </row>
    <row r="141" spans="1:31" ht="15.75" customHeight="1">
      <c r="A141" s="943"/>
      <c r="B141" s="1050" t="s">
        <v>111</v>
      </c>
      <c r="C141" s="1051">
        <v>46</v>
      </c>
      <c r="D141" s="943"/>
      <c r="E141" s="943" t="s">
        <v>284</v>
      </c>
      <c r="F141" s="948"/>
      <c r="G141" s="1055">
        <f t="shared" si="1"/>
        <v>0</v>
      </c>
      <c r="H141" s="948"/>
      <c r="I141" s="1053">
        <f t="shared" si="2"/>
        <v>0</v>
      </c>
      <c r="J141" s="948"/>
      <c r="K141" s="1053">
        <f t="shared" si="3"/>
        <v>0</v>
      </c>
      <c r="L141" s="948"/>
      <c r="M141" s="1053">
        <f t="shared" si="4"/>
        <v>0</v>
      </c>
      <c r="N141" s="943"/>
      <c r="O141" s="943"/>
      <c r="P141" s="943"/>
      <c r="Q141" s="943"/>
      <c r="R141" s="943"/>
      <c r="S141" s="943"/>
      <c r="T141" s="943"/>
      <c r="U141" s="943"/>
      <c r="V141" s="943"/>
      <c r="W141" s="943"/>
      <c r="X141" s="943"/>
      <c r="Y141" s="943"/>
      <c r="Z141" s="943"/>
      <c r="AA141" s="943"/>
      <c r="AB141" s="943"/>
      <c r="AC141" s="943"/>
      <c r="AD141" s="943"/>
      <c r="AE141" s="943"/>
    </row>
    <row r="142" spans="1:31" ht="15.75" customHeight="1">
      <c r="A142" s="943"/>
      <c r="B142" s="1056" t="s">
        <v>287</v>
      </c>
      <c r="C142" s="1057">
        <v>2950</v>
      </c>
      <c r="D142" s="943"/>
      <c r="E142" s="943"/>
      <c r="F142" s="948"/>
      <c r="G142" s="1055">
        <f t="shared" si="1"/>
        <v>0</v>
      </c>
      <c r="H142" s="948"/>
      <c r="I142" s="1053">
        <f t="shared" si="2"/>
        <v>0</v>
      </c>
      <c r="J142" s="948">
        <f>IF('Datos de Entrada (On Grid)'!G21="Teja de barro",20,0)</f>
        <v>0</v>
      </c>
      <c r="K142" s="1053">
        <f t="shared" si="3"/>
        <v>0</v>
      </c>
      <c r="L142" s="948"/>
      <c r="M142" s="1053">
        <f t="shared" si="4"/>
        <v>0</v>
      </c>
      <c r="N142" s="943"/>
      <c r="O142" s="943"/>
      <c r="P142" s="943"/>
      <c r="Q142" s="943"/>
      <c r="R142" s="943"/>
      <c r="S142" s="943"/>
      <c r="T142" s="943"/>
      <c r="U142" s="943"/>
      <c r="V142" s="943"/>
      <c r="W142" s="943"/>
      <c r="X142" s="943"/>
      <c r="Y142" s="943"/>
      <c r="Z142" s="943"/>
      <c r="AA142" s="943"/>
      <c r="AB142" s="943"/>
      <c r="AC142" s="943"/>
      <c r="AD142" s="943"/>
      <c r="AE142" s="943"/>
    </row>
    <row r="143" spans="1:31" ht="15.75" customHeight="1">
      <c r="A143" s="943"/>
      <c r="B143" s="1058" t="s">
        <v>298</v>
      </c>
      <c r="C143" s="1055">
        <v>400000</v>
      </c>
      <c r="D143" s="943"/>
      <c r="E143" s="943"/>
      <c r="F143" s="948"/>
      <c r="G143" s="1055">
        <f t="shared" si="1"/>
        <v>0</v>
      </c>
      <c r="H143" s="948"/>
      <c r="I143" s="1053">
        <f t="shared" si="2"/>
        <v>0</v>
      </c>
      <c r="J143" s="948">
        <f>IF('Datos de Entrada (On Grid)'!G28="si",1,0)</f>
        <v>0</v>
      </c>
      <c r="K143" s="1053">
        <f t="shared" si="3"/>
        <v>0</v>
      </c>
      <c r="L143" s="948"/>
      <c r="M143" s="1053">
        <f t="shared" si="4"/>
        <v>0</v>
      </c>
      <c r="N143" s="943"/>
      <c r="O143" s="943"/>
      <c r="P143" s="943"/>
      <c r="Q143" s="943"/>
      <c r="R143" s="943"/>
      <c r="S143" s="943"/>
      <c r="T143" s="943"/>
      <c r="U143" s="943"/>
      <c r="V143" s="943"/>
      <c r="W143" s="943"/>
      <c r="X143" s="943"/>
      <c r="Y143" s="943"/>
      <c r="Z143" s="943"/>
      <c r="AA143" s="943"/>
      <c r="AB143" s="943"/>
      <c r="AC143" s="943"/>
      <c r="AD143" s="943"/>
      <c r="AE143" s="943"/>
    </row>
    <row r="144" spans="1:31" ht="15.75" customHeight="1">
      <c r="A144" s="943"/>
      <c r="B144" s="1058" t="s">
        <v>299</v>
      </c>
      <c r="C144" s="1055">
        <f>50000/1.19</f>
        <v>42016.806722689078</v>
      </c>
      <c r="D144" s="943"/>
      <c r="E144" s="943"/>
      <c r="F144" s="948"/>
      <c r="G144" s="1055"/>
      <c r="H144" s="948"/>
      <c r="I144" s="1053">
        <f t="shared" si="2"/>
        <v>0</v>
      </c>
      <c r="J144" s="948">
        <f>IF('Datos de Entrada (On Grid)'!G27="embebida",1,0)</f>
        <v>0</v>
      </c>
      <c r="K144" s="1053">
        <f t="shared" si="3"/>
        <v>0</v>
      </c>
      <c r="L144" s="948"/>
      <c r="M144" s="1053"/>
      <c r="N144" s="943"/>
      <c r="O144" s="943"/>
      <c r="P144" s="943"/>
      <c r="Q144" s="943"/>
      <c r="R144" s="943"/>
      <c r="S144" s="943"/>
      <c r="T144" s="943"/>
      <c r="U144" s="943"/>
      <c r="V144" s="943"/>
      <c r="W144" s="943"/>
      <c r="X144" s="943"/>
      <c r="Y144" s="943"/>
      <c r="Z144" s="943"/>
      <c r="AA144" s="943"/>
      <c r="AB144" s="943"/>
      <c r="AC144" s="943"/>
      <c r="AD144" s="943"/>
      <c r="AE144" s="943"/>
    </row>
    <row r="145" spans="1:31" ht="15.75" customHeight="1">
      <c r="A145" s="943"/>
      <c r="B145" s="1058" t="s">
        <v>302</v>
      </c>
      <c r="C145" s="1055">
        <f>(19000/3)/1.19</f>
        <v>5322.1288515406159</v>
      </c>
      <c r="D145" s="943"/>
      <c r="E145" s="943"/>
      <c r="F145" s="948"/>
      <c r="G145" s="1055"/>
      <c r="H145" s="948">
        <f>IF('Datos de Entrada (On Grid)'!G27="embebida",1.01,0)</f>
        <v>0</v>
      </c>
      <c r="I145" s="1053">
        <f t="shared" si="2"/>
        <v>0</v>
      </c>
      <c r="J145" s="948"/>
      <c r="K145" s="1053"/>
      <c r="L145" s="948"/>
      <c r="M145" s="1053"/>
      <c r="N145" s="943"/>
      <c r="O145" s="943"/>
      <c r="P145" s="943"/>
      <c r="Q145" s="943"/>
      <c r="R145" s="943"/>
      <c r="S145" s="943"/>
      <c r="T145" s="943"/>
      <c r="U145" s="943"/>
      <c r="V145" s="943"/>
      <c r="W145" s="943"/>
      <c r="X145" s="943"/>
      <c r="Y145" s="943"/>
      <c r="Z145" s="943"/>
      <c r="AA145" s="943"/>
      <c r="AB145" s="943"/>
      <c r="AC145" s="943"/>
      <c r="AD145" s="943"/>
      <c r="AE145" s="943"/>
    </row>
    <row r="146" spans="1:31" ht="15.75" customHeight="1">
      <c r="A146" s="943"/>
      <c r="B146" s="1058" t="s">
        <v>303</v>
      </c>
      <c r="C146" s="1055">
        <v>9.6638655462184868</v>
      </c>
      <c r="D146" s="943"/>
      <c r="E146" s="943"/>
      <c r="F146" s="948"/>
      <c r="G146" s="1055"/>
      <c r="H146" s="948">
        <f>IF('Datos de Entrada (On Grid)'!G27="embebida",1.07,0)</f>
        <v>0</v>
      </c>
      <c r="I146" s="1053">
        <f t="shared" si="2"/>
        <v>0</v>
      </c>
      <c r="J146" s="948"/>
      <c r="K146" s="1053"/>
      <c r="L146" s="948"/>
      <c r="M146" s="1053"/>
      <c r="N146" s="943"/>
      <c r="O146" s="943"/>
      <c r="P146" s="943"/>
      <c r="Q146" s="943"/>
      <c r="R146" s="943"/>
      <c r="S146" s="943"/>
      <c r="T146" s="943"/>
      <c r="U146" s="943"/>
      <c r="V146" s="943"/>
      <c r="W146" s="943"/>
      <c r="X146" s="943"/>
      <c r="Y146" s="943"/>
      <c r="Z146" s="943"/>
      <c r="AA146" s="943"/>
      <c r="AB146" s="943"/>
      <c r="AC146" s="943"/>
      <c r="AD146" s="943"/>
      <c r="AE146" s="943"/>
    </row>
    <row r="147" spans="1:31" ht="15.75" customHeight="1">
      <c r="A147" s="943"/>
      <c r="B147" s="1058" t="s">
        <v>305</v>
      </c>
      <c r="C147" s="1055">
        <v>20480</v>
      </c>
      <c r="D147" s="943"/>
      <c r="E147" s="943"/>
      <c r="F147" s="948"/>
      <c r="G147" s="1055"/>
      <c r="H147" s="948">
        <f>IF('Datos de Entrada (On Grid)'!G27="embebida",0.0049,0)</f>
        <v>0</v>
      </c>
      <c r="I147" s="1053">
        <f t="shared" si="2"/>
        <v>0</v>
      </c>
      <c r="J147" s="948"/>
      <c r="K147" s="1053"/>
      <c r="L147" s="948"/>
      <c r="M147" s="1053"/>
      <c r="N147" s="943"/>
      <c r="O147" s="943"/>
      <c r="P147" s="943"/>
      <c r="Q147" s="943"/>
      <c r="R147" s="943"/>
      <c r="S147" s="943"/>
      <c r="T147" s="943"/>
      <c r="U147" s="943"/>
      <c r="V147" s="943"/>
      <c r="W147" s="943"/>
      <c r="X147" s="943"/>
      <c r="Y147" s="943"/>
      <c r="Z147" s="943"/>
      <c r="AA147" s="943"/>
      <c r="AB147" s="943"/>
      <c r="AC147" s="943"/>
      <c r="AD147" s="943"/>
      <c r="AE147" s="943"/>
    </row>
    <row r="148" spans="1:31" ht="15.75" customHeight="1">
      <c r="A148" s="943"/>
      <c r="B148" s="1058" t="s">
        <v>304</v>
      </c>
      <c r="C148" s="1055">
        <v>591.5</v>
      </c>
      <c r="D148" s="943"/>
      <c r="E148" s="943"/>
      <c r="F148" s="948"/>
      <c r="G148" s="1055"/>
      <c r="H148" s="948">
        <f>IF('Datos de Entrada (On Grid)'!G27="embebida",0.07,0)</f>
        <v>0</v>
      </c>
      <c r="I148" s="1053">
        <f t="shared" si="2"/>
        <v>0</v>
      </c>
      <c r="J148" s="948"/>
      <c r="K148" s="1053"/>
      <c r="L148" s="948"/>
      <c r="M148" s="1053"/>
      <c r="N148" s="943"/>
      <c r="O148" s="943"/>
      <c r="P148" s="943"/>
      <c r="Q148" s="943"/>
      <c r="R148" s="943"/>
      <c r="S148" s="943"/>
      <c r="T148" s="943"/>
      <c r="U148" s="943"/>
      <c r="V148" s="943"/>
      <c r="W148" s="943"/>
      <c r="X148" s="943"/>
      <c r="Y148" s="943"/>
      <c r="Z148" s="943"/>
      <c r="AA148" s="943"/>
      <c r="AB148" s="943"/>
      <c r="AC148" s="943"/>
      <c r="AD148" s="943"/>
      <c r="AE148" s="943"/>
    </row>
    <row r="149" spans="1:31" ht="15.75" customHeight="1">
      <c r="A149" s="943"/>
      <c r="B149" s="1058"/>
      <c r="C149" s="1055"/>
      <c r="D149" s="943"/>
      <c r="E149" s="943"/>
      <c r="F149" s="948"/>
      <c r="G149" s="1055"/>
      <c r="H149" s="948"/>
      <c r="I149" s="1053">
        <f t="shared" si="2"/>
        <v>0</v>
      </c>
      <c r="J149" s="948"/>
      <c r="K149" s="1053"/>
      <c r="L149" s="948"/>
      <c r="M149" s="1053"/>
      <c r="N149" s="943"/>
      <c r="O149" s="943"/>
      <c r="P149" s="943"/>
      <c r="Q149" s="943"/>
      <c r="R149" s="943"/>
      <c r="S149" s="943"/>
      <c r="T149" s="943"/>
      <c r="U149" s="943"/>
      <c r="V149" s="943"/>
      <c r="W149" s="943"/>
      <c r="X149" s="943"/>
      <c r="Y149" s="943"/>
      <c r="Z149" s="943"/>
      <c r="AA149" s="943"/>
      <c r="AB149" s="943"/>
      <c r="AC149" s="943"/>
      <c r="AD149" s="943"/>
      <c r="AE149" s="943"/>
    </row>
    <row r="150" spans="1:31" ht="15.75" customHeight="1">
      <c r="A150" s="943"/>
      <c r="B150" s="1058"/>
      <c r="C150" s="1055"/>
      <c r="D150" s="943"/>
      <c r="E150" s="943"/>
      <c r="F150" s="948"/>
      <c r="G150" s="1055"/>
      <c r="H150" s="948"/>
      <c r="I150" s="1053">
        <f t="shared" si="2"/>
        <v>0</v>
      </c>
      <c r="J150" s="948"/>
      <c r="K150" s="1053"/>
      <c r="L150" s="948"/>
      <c r="M150" s="1053"/>
      <c r="N150" s="943"/>
      <c r="O150" s="943"/>
      <c r="P150" s="943"/>
      <c r="Q150" s="943"/>
      <c r="R150" s="943"/>
      <c r="S150" s="943"/>
      <c r="T150" s="943"/>
      <c r="U150" s="943"/>
      <c r="V150" s="943"/>
      <c r="W150" s="943"/>
      <c r="X150" s="943"/>
      <c r="Y150" s="943"/>
      <c r="Z150" s="943"/>
      <c r="AA150" s="943"/>
      <c r="AB150" s="943"/>
      <c r="AC150" s="943"/>
      <c r="AD150" s="943"/>
      <c r="AE150" s="943"/>
    </row>
    <row r="151" spans="1:31" ht="15.75" customHeight="1">
      <c r="A151" s="943"/>
      <c r="B151" s="1058"/>
      <c r="C151" s="1055"/>
      <c r="D151" s="943"/>
      <c r="E151" s="943"/>
      <c r="F151" s="948"/>
      <c r="G151" s="1055"/>
      <c r="H151" s="948"/>
      <c r="I151" s="1053">
        <f t="shared" si="2"/>
        <v>0</v>
      </c>
      <c r="J151" s="948"/>
      <c r="K151" s="1053"/>
      <c r="L151" s="948"/>
      <c r="M151" s="1053"/>
      <c r="N151" s="943"/>
      <c r="O151" s="943"/>
      <c r="P151" s="943"/>
      <c r="Q151" s="943"/>
      <c r="R151" s="943"/>
      <c r="S151" s="943"/>
      <c r="T151" s="943"/>
      <c r="U151" s="943"/>
      <c r="V151" s="943"/>
      <c r="W151" s="943"/>
      <c r="X151" s="943"/>
      <c r="Y151" s="943"/>
      <c r="Z151" s="943"/>
      <c r="AA151" s="943"/>
      <c r="AB151" s="943"/>
      <c r="AC151" s="943"/>
      <c r="AD151" s="943"/>
      <c r="AE151" s="943"/>
    </row>
    <row r="152" spans="1:31" ht="15.75" customHeight="1">
      <c r="A152" s="943"/>
      <c r="B152" s="1058" t="s">
        <v>77</v>
      </c>
      <c r="C152" s="1055">
        <v>10000</v>
      </c>
      <c r="D152" s="943"/>
      <c r="E152" s="943" t="s">
        <v>285</v>
      </c>
      <c r="F152" s="948"/>
      <c r="G152" s="1055">
        <f t="shared" si="1"/>
        <v>0</v>
      </c>
      <c r="H152" s="948"/>
      <c r="I152" s="1053">
        <f t="shared" si="2"/>
        <v>0</v>
      </c>
      <c r="J152" s="948"/>
      <c r="K152" s="1053">
        <f t="shared" si="3"/>
        <v>0</v>
      </c>
      <c r="L152" s="948">
        <f>+'Calculos (Off Grid)'!AA9</f>
        <v>6</v>
      </c>
      <c r="M152" s="1053">
        <f t="shared" si="4"/>
        <v>60000</v>
      </c>
      <c r="N152" s="943"/>
      <c r="O152" s="943"/>
      <c r="P152" s="943"/>
      <c r="Q152" s="943"/>
      <c r="R152" s="943"/>
      <c r="S152" s="943"/>
      <c r="T152" s="943"/>
      <c r="U152" s="943"/>
      <c r="V152" s="943"/>
      <c r="W152" s="943"/>
      <c r="X152" s="943"/>
      <c r="Y152" s="943"/>
      <c r="Z152" s="943"/>
      <c r="AA152" s="943"/>
      <c r="AB152" s="943"/>
      <c r="AC152" s="943"/>
      <c r="AD152" s="943"/>
      <c r="AE152" s="943"/>
    </row>
    <row r="153" spans="1:31" ht="15.75" customHeight="1">
      <c r="A153" s="943"/>
      <c r="B153" s="1059"/>
      <c r="C153" s="1060"/>
      <c r="D153" s="943"/>
      <c r="E153" s="943"/>
      <c r="F153" s="1061" t="s">
        <v>112</v>
      </c>
      <c r="G153" s="1055">
        <f>SUM(G105:G152)</f>
        <v>4094.79</v>
      </c>
      <c r="H153" s="1061" t="s">
        <v>112</v>
      </c>
      <c r="I153" s="1055">
        <f>SUM(I105:I152)</f>
        <v>6901.33</v>
      </c>
      <c r="J153" s="1061" t="s">
        <v>112</v>
      </c>
      <c r="K153" s="1055">
        <f>SUM(K105:K152)</f>
        <v>390532.5</v>
      </c>
      <c r="L153" s="1061" t="s">
        <v>112</v>
      </c>
      <c r="M153" s="1055">
        <f>SUM(M105:M152)</f>
        <v>62408</v>
      </c>
      <c r="N153" s="943"/>
      <c r="O153" s="943"/>
      <c r="P153" s="943"/>
      <c r="Q153" s="943"/>
      <c r="R153" s="943"/>
      <c r="S153" s="943"/>
      <c r="T153" s="943"/>
      <c r="U153" s="943"/>
      <c r="V153" s="943"/>
      <c r="W153" s="943"/>
      <c r="X153" s="943"/>
      <c r="Y153" s="943"/>
      <c r="Z153" s="943"/>
      <c r="AA153" s="943"/>
      <c r="AB153" s="943"/>
      <c r="AC153" s="943"/>
      <c r="AD153" s="943"/>
      <c r="AE153" s="943"/>
    </row>
    <row r="154" spans="1:31" ht="15.75" customHeight="1">
      <c r="A154" s="943"/>
      <c r="B154" s="943"/>
      <c r="C154" s="943"/>
      <c r="D154" s="943"/>
      <c r="E154" s="943"/>
      <c r="F154" s="943"/>
      <c r="G154" s="943"/>
      <c r="H154" s="943"/>
      <c r="I154" s="943"/>
      <c r="J154" s="943"/>
      <c r="K154" s="943"/>
      <c r="L154" s="943"/>
      <c r="M154" s="943"/>
      <c r="N154" s="943"/>
      <c r="O154" s="943"/>
      <c r="P154" s="943"/>
      <c r="Q154" s="943"/>
      <c r="R154" s="943"/>
      <c r="S154" s="943"/>
      <c r="T154" s="943"/>
      <c r="U154" s="943"/>
      <c r="V154" s="943"/>
      <c r="W154" s="943"/>
      <c r="X154" s="943"/>
      <c r="Y154" s="943"/>
      <c r="Z154" s="943"/>
      <c r="AA154" s="943"/>
      <c r="AB154" s="943"/>
      <c r="AC154" s="943"/>
      <c r="AD154" s="943"/>
      <c r="AE154" s="943"/>
    </row>
    <row r="155" spans="1:31" ht="15.75" customHeight="1">
      <c r="A155" s="943"/>
      <c r="B155" s="943"/>
      <c r="C155" s="943" t="s">
        <v>3771</v>
      </c>
      <c r="D155" s="943"/>
      <c r="E155" s="943"/>
      <c r="F155" s="943"/>
      <c r="G155" s="943"/>
      <c r="H155" s="943"/>
      <c r="I155" s="943"/>
      <c r="J155" s="943"/>
      <c r="K155" s="943"/>
      <c r="L155" s="943"/>
      <c r="M155" s="943"/>
      <c r="N155" s="943"/>
      <c r="O155" s="943"/>
      <c r="P155" s="943"/>
      <c r="Q155" s="943"/>
      <c r="R155" s="943"/>
      <c r="S155" s="943"/>
      <c r="T155" s="943"/>
      <c r="U155" s="943"/>
      <c r="V155" s="943"/>
      <c r="W155" s="943"/>
      <c r="X155" s="943"/>
      <c r="Y155" s="943"/>
      <c r="Z155" s="943"/>
      <c r="AA155" s="943"/>
      <c r="AB155" s="943"/>
      <c r="AC155" s="943"/>
      <c r="AD155" s="943"/>
      <c r="AE155" s="943"/>
    </row>
    <row r="156" spans="1:31" ht="30">
      <c r="A156" s="943"/>
      <c r="B156" s="943"/>
      <c r="C156" s="943"/>
      <c r="D156" s="943"/>
      <c r="E156" s="943"/>
      <c r="F156" s="1024" t="s">
        <v>40</v>
      </c>
      <c r="G156" s="1024" t="s">
        <v>167</v>
      </c>
      <c r="H156" s="1024" t="s">
        <v>168</v>
      </c>
      <c r="I156" s="1024" t="s">
        <v>169</v>
      </c>
      <c r="J156" s="943"/>
      <c r="K156" s="1024" t="s">
        <v>171</v>
      </c>
      <c r="L156" s="1024" t="s">
        <v>167</v>
      </c>
      <c r="M156" s="1024" t="s">
        <v>168</v>
      </c>
      <c r="N156" s="1024" t="s">
        <v>169</v>
      </c>
      <c r="O156" s="943"/>
      <c r="P156" s="1024" t="s">
        <v>892</v>
      </c>
      <c r="Q156" s="1024" t="s">
        <v>167</v>
      </c>
      <c r="R156" s="1024" t="s">
        <v>168</v>
      </c>
      <c r="S156" s="1024" t="s">
        <v>169</v>
      </c>
      <c r="T156" s="943"/>
      <c r="U156" s="943"/>
      <c r="V156" s="943"/>
      <c r="W156" s="943"/>
      <c r="X156" s="943"/>
      <c r="Y156" s="943"/>
      <c r="Z156" s="943"/>
      <c r="AA156" s="943"/>
      <c r="AB156" s="943"/>
      <c r="AC156" s="943"/>
      <c r="AD156" s="943"/>
      <c r="AE156" s="943"/>
    </row>
    <row r="157" spans="1:31" ht="15.75" customHeight="1">
      <c r="A157" s="943"/>
      <c r="B157" s="1062" t="s">
        <v>113</v>
      </c>
      <c r="C157" s="943"/>
      <c r="D157" s="943"/>
      <c r="E157" s="943"/>
      <c r="F157" s="948" t="s">
        <v>165</v>
      </c>
      <c r="G157" s="948">
        <v>10</v>
      </c>
      <c r="H157" s="1063">
        <v>1581846.54</v>
      </c>
      <c r="I157" s="1063">
        <f>H157/G157</f>
        <v>158184.65400000001</v>
      </c>
      <c r="J157" s="943"/>
      <c r="K157" s="948" t="s">
        <v>173</v>
      </c>
      <c r="L157" s="948">
        <v>6</v>
      </c>
      <c r="M157" s="1063">
        <v>1181593</v>
      </c>
      <c r="N157" s="1063">
        <f>M157/L157</f>
        <v>196932.16666666666</v>
      </c>
      <c r="O157" s="943"/>
      <c r="P157" s="948"/>
      <c r="Q157" s="948"/>
      <c r="R157" s="1063"/>
      <c r="S157" s="1063"/>
      <c r="T157" s="943"/>
      <c r="U157" s="943"/>
      <c r="V157" s="943"/>
      <c r="W157" s="943"/>
      <c r="X157" s="943"/>
      <c r="Y157" s="943"/>
      <c r="Z157" s="943"/>
      <c r="AA157" s="943"/>
      <c r="AB157" s="943"/>
      <c r="AC157" s="943"/>
      <c r="AD157" s="943"/>
      <c r="AE157" s="943"/>
    </row>
    <row r="158" spans="1:31">
      <c r="A158" s="943"/>
      <c r="B158" s="1064" t="s">
        <v>61</v>
      </c>
      <c r="C158" s="1032" t="s">
        <v>176</v>
      </c>
      <c r="D158" s="943" t="s">
        <v>2121</v>
      </c>
      <c r="E158" s="943"/>
      <c r="F158" s="948" t="s">
        <v>886</v>
      </c>
      <c r="G158" s="948">
        <v>8</v>
      </c>
      <c r="H158" s="1063">
        <v>1140660</v>
      </c>
      <c r="I158" s="1063">
        <f>H158/G158</f>
        <v>142582.5</v>
      </c>
      <c r="J158" s="943"/>
      <c r="K158" s="948" t="s">
        <v>770</v>
      </c>
      <c r="L158" s="948">
        <v>8</v>
      </c>
      <c r="M158" s="1063">
        <v>1570135</v>
      </c>
      <c r="N158" s="1063">
        <f>M158/L158</f>
        <v>196266.875</v>
      </c>
      <c r="O158" s="943"/>
      <c r="P158" s="948"/>
      <c r="Q158" s="948"/>
      <c r="R158" s="1063"/>
      <c r="S158" s="1063"/>
      <c r="T158" s="943"/>
      <c r="U158" s="943"/>
      <c r="V158" s="943"/>
      <c r="W158" s="943"/>
      <c r="X158" s="943"/>
      <c r="Y158" s="943"/>
      <c r="Z158" s="943"/>
      <c r="AA158" s="943"/>
      <c r="AB158" s="943"/>
      <c r="AC158" s="943"/>
      <c r="AD158" s="943"/>
      <c r="AE158" s="943"/>
    </row>
    <row r="159" spans="1:31" ht="15.75" customHeight="1">
      <c r="A159" s="943"/>
      <c r="B159" s="945" t="s">
        <v>175</v>
      </c>
      <c r="C159" s="1065">
        <v>220000</v>
      </c>
      <c r="D159" s="1065">
        <f t="shared" ref="D159:D166" si="5">+C159*1.08</f>
        <v>237600.00000000003</v>
      </c>
      <c r="E159" s="943"/>
      <c r="F159" s="948" t="s">
        <v>166</v>
      </c>
      <c r="G159" s="948">
        <v>8</v>
      </c>
      <c r="H159" s="1063">
        <f>(1230198.2/1.19)</f>
        <v>1033780</v>
      </c>
      <c r="I159" s="1063">
        <f>H159/G159</f>
        <v>129222.5</v>
      </c>
      <c r="J159" s="943"/>
      <c r="K159" s="948"/>
      <c r="L159" s="948"/>
      <c r="M159" s="948"/>
      <c r="N159" s="948"/>
      <c r="O159" s="943"/>
      <c r="P159" s="948"/>
      <c r="Q159" s="948"/>
      <c r="R159" s="948"/>
      <c r="S159" s="948"/>
      <c r="T159" s="943"/>
      <c r="U159" s="943"/>
      <c r="V159" s="943"/>
      <c r="W159" s="943"/>
      <c r="X159" s="943"/>
      <c r="Y159" s="943"/>
      <c r="Z159" s="943"/>
      <c r="AA159" s="943"/>
      <c r="AB159" s="943"/>
      <c r="AC159" s="943"/>
      <c r="AD159" s="943"/>
      <c r="AE159" s="943"/>
    </row>
    <row r="160" spans="1:31">
      <c r="A160" s="943"/>
      <c r="B160" s="945" t="s">
        <v>2110</v>
      </c>
      <c r="C160" s="1065">
        <v>180000</v>
      </c>
      <c r="D160" s="1065">
        <f t="shared" si="5"/>
        <v>194400</v>
      </c>
      <c r="E160" s="943"/>
      <c r="F160" s="948"/>
      <c r="G160" s="948"/>
      <c r="H160" s="948"/>
      <c r="I160" s="948"/>
      <c r="J160" s="943"/>
      <c r="K160" s="948"/>
      <c r="L160" s="948"/>
      <c r="M160" s="948"/>
      <c r="N160" s="948"/>
      <c r="O160" s="943"/>
      <c r="P160" s="948"/>
      <c r="Q160" s="948"/>
      <c r="R160" s="948"/>
      <c r="S160" s="948"/>
      <c r="T160" s="943"/>
      <c r="U160" s="943"/>
      <c r="V160" s="943"/>
      <c r="W160" s="943"/>
      <c r="X160" s="943"/>
      <c r="Y160" s="943"/>
      <c r="Z160" s="943"/>
      <c r="AA160" s="943"/>
      <c r="AB160" s="943"/>
      <c r="AC160" s="943"/>
      <c r="AD160" s="943"/>
      <c r="AE160" s="943"/>
    </row>
    <row r="161" spans="1:31">
      <c r="A161" s="943"/>
      <c r="B161" s="1066" t="s">
        <v>2109</v>
      </c>
      <c r="C161" s="1065">
        <v>180000</v>
      </c>
      <c r="D161" s="1065">
        <f t="shared" si="5"/>
        <v>194400</v>
      </c>
      <c r="E161" s="943"/>
      <c r="F161" s="948"/>
      <c r="G161" s="948"/>
      <c r="H161" s="948"/>
      <c r="I161" s="948"/>
      <c r="J161" s="943"/>
      <c r="K161" s="948"/>
      <c r="L161" s="948"/>
      <c r="M161" s="948"/>
      <c r="N161" s="948"/>
      <c r="O161" s="943"/>
      <c r="P161" s="948"/>
      <c r="Q161" s="948"/>
      <c r="R161" s="948"/>
      <c r="S161" s="948"/>
      <c r="T161" s="943"/>
      <c r="U161" s="943"/>
      <c r="V161" s="943"/>
      <c r="W161" s="943"/>
      <c r="X161" s="943"/>
      <c r="Y161" s="943"/>
      <c r="Z161" s="943"/>
      <c r="AA161" s="943"/>
      <c r="AB161" s="943"/>
      <c r="AC161" s="943"/>
      <c r="AD161" s="943"/>
      <c r="AE161" s="943"/>
    </row>
    <row r="162" spans="1:31" ht="15.75" customHeight="1">
      <c r="A162" s="943"/>
      <c r="B162" s="1066" t="s">
        <v>3776</v>
      </c>
      <c r="C162" s="1065">
        <v>240000</v>
      </c>
      <c r="D162" s="1065">
        <f t="shared" si="5"/>
        <v>259200.00000000003</v>
      </c>
      <c r="E162" s="943"/>
      <c r="F162" s="948"/>
      <c r="G162" s="948"/>
      <c r="H162" s="948"/>
      <c r="I162" s="948"/>
      <c r="J162" s="943"/>
      <c r="K162" s="948"/>
      <c r="L162" s="948"/>
      <c r="M162" s="948"/>
      <c r="N162" s="948"/>
      <c r="O162" s="943"/>
      <c r="P162" s="948"/>
      <c r="Q162" s="948"/>
      <c r="R162" s="948"/>
      <c r="S162" s="948"/>
      <c r="T162" s="943"/>
      <c r="U162" s="943"/>
      <c r="V162" s="943"/>
      <c r="W162" s="943"/>
      <c r="X162" s="943"/>
      <c r="Y162" s="943"/>
      <c r="Z162" s="943"/>
      <c r="AA162" s="943"/>
      <c r="AB162" s="943"/>
      <c r="AC162" s="943"/>
      <c r="AD162" s="943"/>
      <c r="AE162" s="943"/>
    </row>
    <row r="163" spans="1:31">
      <c r="A163" s="943"/>
      <c r="B163" s="1066" t="s">
        <v>2108</v>
      </c>
      <c r="C163" s="1067">
        <v>150000</v>
      </c>
      <c r="D163" s="1065">
        <f t="shared" si="5"/>
        <v>162000</v>
      </c>
      <c r="E163" s="943"/>
      <c r="F163" s="948"/>
      <c r="G163" s="948"/>
      <c r="H163" s="948"/>
      <c r="I163" s="948"/>
      <c r="J163" s="943"/>
      <c r="K163" s="948"/>
      <c r="L163" s="948"/>
      <c r="M163" s="948"/>
      <c r="N163" s="948"/>
      <c r="O163" s="943"/>
      <c r="P163" s="948"/>
      <c r="Q163" s="948"/>
      <c r="R163" s="948"/>
      <c r="S163" s="948"/>
      <c r="T163" s="943"/>
      <c r="U163" s="943"/>
      <c r="V163" s="943"/>
      <c r="W163" s="943"/>
      <c r="X163" s="943"/>
      <c r="Y163" s="943"/>
      <c r="Z163" s="943"/>
      <c r="AA163" s="943"/>
      <c r="AB163" s="943"/>
      <c r="AC163" s="943"/>
      <c r="AD163" s="943"/>
      <c r="AE163" s="943"/>
    </row>
    <row r="164" spans="1:31">
      <c r="A164" s="943"/>
      <c r="B164" s="1066" t="s">
        <v>1159</v>
      </c>
      <c r="C164" s="1067">
        <f>123000000/270*(1+0.19*0.1)+C160*0.8</f>
        <v>608211.11111111101</v>
      </c>
      <c r="D164" s="1065">
        <f t="shared" si="5"/>
        <v>656867.99999999988</v>
      </c>
      <c r="E164" s="943"/>
      <c r="F164" s="948"/>
      <c r="G164" s="948"/>
      <c r="H164" s="948"/>
      <c r="I164" s="948"/>
      <c r="J164" s="943"/>
      <c r="K164" s="948"/>
      <c r="L164" s="948"/>
      <c r="M164" s="948"/>
      <c r="N164" s="948"/>
      <c r="O164" s="943"/>
      <c r="P164" s="948"/>
      <c r="Q164" s="948"/>
      <c r="R164" s="948"/>
      <c r="S164" s="948"/>
      <c r="T164" s="943"/>
      <c r="U164" s="943"/>
      <c r="V164" s="943"/>
      <c r="W164" s="943"/>
      <c r="X164" s="943"/>
      <c r="Y164" s="943"/>
      <c r="Z164" s="943"/>
      <c r="AA164" s="943"/>
      <c r="AB164" s="943"/>
      <c r="AC164" s="943"/>
      <c r="AD164" s="943"/>
      <c r="AE164" s="943"/>
    </row>
    <row r="165" spans="1:31">
      <c r="A165" s="943"/>
      <c r="B165" s="1066" t="s">
        <v>1989</v>
      </c>
      <c r="C165" s="1065">
        <v>130000</v>
      </c>
      <c r="D165" s="1065">
        <f>+C165*1.08</f>
        <v>140400</v>
      </c>
      <c r="E165" s="943"/>
      <c r="F165" s="948"/>
      <c r="G165" s="948"/>
      <c r="H165" s="948"/>
      <c r="I165" s="948"/>
      <c r="J165" s="943"/>
      <c r="K165" s="948"/>
      <c r="L165" s="948"/>
      <c r="M165" s="948"/>
      <c r="N165" s="948"/>
      <c r="O165" s="943"/>
      <c r="P165" s="948"/>
      <c r="Q165" s="948"/>
      <c r="R165" s="948"/>
      <c r="S165" s="948"/>
      <c r="T165" s="943"/>
      <c r="U165" s="943"/>
      <c r="V165" s="943"/>
      <c r="W165" s="943"/>
      <c r="X165" s="943"/>
      <c r="Y165" s="943"/>
      <c r="Z165" s="943"/>
      <c r="AA165" s="943"/>
      <c r="AB165" s="943"/>
      <c r="AC165" s="943"/>
      <c r="AD165" s="943"/>
      <c r="AE165" s="943"/>
    </row>
    <row r="166" spans="1:31" ht="15.75" customHeight="1">
      <c r="A166" s="943"/>
      <c r="B166" s="948" t="s">
        <v>3777</v>
      </c>
      <c r="C166" s="1067">
        <v>260000</v>
      </c>
      <c r="D166" s="1065">
        <f t="shared" si="5"/>
        <v>280800</v>
      </c>
      <c r="E166" s="943"/>
      <c r="F166" s="948"/>
      <c r="G166" s="948"/>
      <c r="H166" s="948"/>
      <c r="I166" s="948"/>
      <c r="J166" s="943"/>
      <c r="K166" s="948"/>
      <c r="L166" s="948"/>
      <c r="M166" s="948"/>
      <c r="N166" s="948"/>
      <c r="O166" s="943"/>
      <c r="P166" s="948"/>
      <c r="Q166" s="948"/>
      <c r="R166" s="948"/>
      <c r="S166" s="948"/>
      <c r="T166" s="943"/>
      <c r="U166" s="943"/>
      <c r="V166" s="943"/>
      <c r="W166" s="943"/>
      <c r="X166" s="943"/>
      <c r="Y166" s="943"/>
      <c r="Z166" s="943"/>
      <c r="AA166" s="943"/>
      <c r="AB166" s="943"/>
      <c r="AC166" s="943"/>
      <c r="AD166" s="943"/>
      <c r="AE166" s="943"/>
    </row>
    <row r="167" spans="1:31">
      <c r="A167" s="943"/>
      <c r="B167" s="1068" t="s">
        <v>3618</v>
      </c>
      <c r="C167" s="1116">
        <v>200000</v>
      </c>
      <c r="D167" s="1067">
        <f>+C167*1.2</f>
        <v>240000</v>
      </c>
      <c r="E167" s="943"/>
      <c r="F167" s="943"/>
      <c r="G167" s="943"/>
      <c r="H167" s="1069" t="s">
        <v>174</v>
      </c>
      <c r="I167" s="1070">
        <f>AVERAGE(I157:I166)</f>
        <v>143329.88466666665</v>
      </c>
      <c r="J167" s="943"/>
      <c r="K167" s="943"/>
      <c r="L167" s="943"/>
      <c r="M167" s="1069" t="s">
        <v>174</v>
      </c>
      <c r="N167" s="1070">
        <f>AVERAGE(N157:N166)</f>
        <v>196599.52083333331</v>
      </c>
      <c r="O167" s="943"/>
      <c r="P167" s="943"/>
      <c r="Q167" s="943"/>
      <c r="R167" s="1069" t="s">
        <v>174</v>
      </c>
      <c r="S167" s="1070" t="e">
        <f>AVERAGE(S157:S166)</f>
        <v>#DIV/0!</v>
      </c>
      <c r="T167" s="943"/>
      <c r="U167" s="943"/>
      <c r="V167" s="943"/>
      <c r="W167" s="943"/>
      <c r="X167" s="943"/>
      <c r="Y167" s="943"/>
      <c r="Z167" s="943"/>
      <c r="AA167" s="943"/>
      <c r="AB167" s="943"/>
      <c r="AC167" s="943"/>
      <c r="AD167" s="943"/>
      <c r="AE167" s="943"/>
    </row>
    <row r="168" spans="1:31">
      <c r="A168" s="943"/>
      <c r="B168" s="1071"/>
      <c r="C168" s="945"/>
      <c r="D168" s="943"/>
      <c r="E168" s="943"/>
      <c r="F168" s="943"/>
      <c r="G168" s="943"/>
      <c r="H168" s="943"/>
      <c r="I168" s="943"/>
      <c r="J168" s="943"/>
      <c r="K168" s="943"/>
      <c r="L168" s="943"/>
      <c r="M168" s="943"/>
      <c r="N168" s="943"/>
      <c r="O168" s="943"/>
      <c r="P168" s="943"/>
      <c r="Q168" s="943"/>
      <c r="R168" s="943"/>
      <c r="S168" s="943"/>
      <c r="T168" s="943"/>
      <c r="U168" s="943"/>
      <c r="V168" s="943"/>
      <c r="W168" s="943"/>
      <c r="X168" s="943"/>
      <c r="Y168" s="943"/>
      <c r="Z168" s="943"/>
      <c r="AA168" s="943"/>
      <c r="AB168" s="943"/>
      <c r="AC168" s="943"/>
      <c r="AD168" s="943"/>
      <c r="AE168" s="943"/>
    </row>
    <row r="169" spans="1:31" ht="15.75" customHeight="1">
      <c r="A169" s="943"/>
      <c r="B169" s="1072"/>
      <c r="C169" s="945"/>
      <c r="D169" s="943"/>
      <c r="E169" s="943"/>
      <c r="F169" s="1024" t="s">
        <v>170</v>
      </c>
      <c r="G169" s="1024" t="s">
        <v>167</v>
      </c>
      <c r="H169" s="1024" t="s">
        <v>168</v>
      </c>
      <c r="I169" s="1024" t="s">
        <v>169</v>
      </c>
      <c r="J169" s="943"/>
      <c r="K169" s="1024" t="s">
        <v>887</v>
      </c>
      <c r="L169" s="1024" t="s">
        <v>167</v>
      </c>
      <c r="M169" s="1024" t="s">
        <v>168</v>
      </c>
      <c r="N169" s="1024" t="s">
        <v>169</v>
      </c>
      <c r="O169" s="943"/>
      <c r="P169" s="943"/>
      <c r="Q169" s="943"/>
      <c r="R169" s="943"/>
      <c r="S169" s="943"/>
      <c r="T169" s="943"/>
      <c r="U169" s="943"/>
      <c r="V169" s="943"/>
      <c r="W169" s="943"/>
      <c r="X169" s="943"/>
      <c r="Y169" s="943"/>
      <c r="Z169" s="943"/>
      <c r="AA169" s="943"/>
      <c r="AB169" s="943"/>
      <c r="AC169" s="943"/>
      <c r="AD169" s="943"/>
      <c r="AE169" s="943"/>
    </row>
    <row r="170" spans="1:31" ht="15.75" customHeight="1">
      <c r="A170" s="943"/>
      <c r="B170" s="943"/>
      <c r="C170" s="943"/>
      <c r="D170" s="943"/>
      <c r="E170" s="943"/>
      <c r="F170" s="948" t="s">
        <v>172</v>
      </c>
      <c r="G170" s="948">
        <v>40</v>
      </c>
      <c r="H170" s="1063">
        <v>4891695</v>
      </c>
      <c r="I170" s="1063">
        <f>H170/G170</f>
        <v>122292.375</v>
      </c>
      <c r="J170" s="943"/>
      <c r="K170" s="948" t="s">
        <v>888</v>
      </c>
      <c r="L170" s="948">
        <v>32</v>
      </c>
      <c r="M170" s="1073">
        <v>2582784.1</v>
      </c>
      <c r="N170" s="1063">
        <f>M170/L170</f>
        <v>80712.003125000003</v>
      </c>
      <c r="O170" s="943"/>
      <c r="P170" s="943"/>
      <c r="Q170" s="943"/>
      <c r="R170" s="943"/>
      <c r="S170" s="943"/>
      <c r="T170" s="943"/>
      <c r="U170" s="943"/>
      <c r="V170" s="943"/>
      <c r="W170" s="943"/>
      <c r="X170" s="943"/>
      <c r="Y170" s="943"/>
      <c r="Z170" s="943"/>
      <c r="AA170" s="943"/>
      <c r="AB170" s="943"/>
      <c r="AC170" s="943"/>
      <c r="AD170" s="943"/>
      <c r="AE170" s="943"/>
    </row>
    <row r="171" spans="1:31" ht="15.75" customHeight="1">
      <c r="A171" s="943"/>
      <c r="B171" s="1074" t="s">
        <v>36</v>
      </c>
      <c r="C171" s="943"/>
      <c r="D171" s="943"/>
      <c r="E171" s="943"/>
      <c r="F171" s="948"/>
      <c r="G171" s="948"/>
      <c r="H171" s="948"/>
      <c r="I171" s="948"/>
      <c r="J171" s="943"/>
      <c r="K171" s="948"/>
      <c r="L171" s="948"/>
      <c r="M171" s="948"/>
      <c r="N171" s="948"/>
      <c r="O171" s="943"/>
      <c r="P171" s="943"/>
      <c r="Q171" s="943"/>
      <c r="R171" s="943"/>
      <c r="S171" s="943"/>
      <c r="T171" s="943"/>
      <c r="U171" s="943"/>
      <c r="V171" s="943"/>
      <c r="W171" s="943"/>
      <c r="X171" s="943"/>
      <c r="Y171" s="943"/>
      <c r="Z171" s="943"/>
      <c r="AA171" s="943"/>
      <c r="AB171" s="943"/>
      <c r="AC171" s="943"/>
      <c r="AD171" s="943"/>
      <c r="AE171" s="943"/>
    </row>
    <row r="172" spans="1:31" ht="15.75" customHeight="1">
      <c r="A172" s="943"/>
      <c r="B172" s="1032" t="s">
        <v>61</v>
      </c>
      <c r="C172" s="1032" t="s">
        <v>62</v>
      </c>
      <c r="D172" s="1032" t="s">
        <v>63</v>
      </c>
      <c r="E172" s="943"/>
      <c r="F172" s="948"/>
      <c r="G172" s="948"/>
      <c r="H172" s="948"/>
      <c r="I172" s="948"/>
      <c r="J172" s="943"/>
      <c r="K172" s="948"/>
      <c r="L172" s="948"/>
      <c r="M172" s="948"/>
      <c r="N172" s="948"/>
      <c r="O172" s="943"/>
      <c r="P172" s="943"/>
      <c r="Q172" s="943"/>
      <c r="R172" s="943"/>
      <c r="S172" s="943"/>
      <c r="T172" s="943"/>
      <c r="U172" s="943"/>
      <c r="V172" s="943"/>
      <c r="W172" s="943"/>
      <c r="X172" s="943"/>
      <c r="Y172" s="943"/>
      <c r="Z172" s="943"/>
      <c r="AA172" s="943"/>
      <c r="AB172" s="943"/>
      <c r="AC172" s="943"/>
      <c r="AD172" s="943"/>
      <c r="AE172" s="943"/>
    </row>
    <row r="173" spans="1:31" ht="15.75" customHeight="1">
      <c r="A173" s="943"/>
      <c r="B173" s="1072"/>
      <c r="C173" s="945"/>
      <c r="D173" s="945"/>
      <c r="E173" s="943"/>
      <c r="F173" s="948"/>
      <c r="G173" s="948"/>
      <c r="H173" s="948"/>
      <c r="I173" s="948"/>
      <c r="J173" s="943"/>
      <c r="K173" s="948"/>
      <c r="L173" s="948"/>
      <c r="M173" s="948"/>
      <c r="N173" s="948"/>
      <c r="O173" s="943"/>
      <c r="P173" s="943"/>
      <c r="Q173" s="943"/>
      <c r="R173" s="943"/>
      <c r="S173" s="943"/>
      <c r="T173" s="943"/>
      <c r="U173" s="943"/>
      <c r="V173" s="943"/>
      <c r="W173" s="943"/>
      <c r="X173" s="943"/>
      <c r="Y173" s="943"/>
      <c r="Z173" s="943"/>
      <c r="AA173" s="943"/>
      <c r="AB173" s="943"/>
      <c r="AC173" s="943"/>
      <c r="AD173" s="943"/>
      <c r="AE173" s="943"/>
    </row>
    <row r="174" spans="1:31" ht="15.75" customHeight="1">
      <c r="A174" s="943"/>
      <c r="B174" s="1072"/>
      <c r="C174" s="945"/>
      <c r="D174" s="945"/>
      <c r="E174" s="943"/>
      <c r="F174" s="948"/>
      <c r="G174" s="948"/>
      <c r="H174" s="948"/>
      <c r="I174" s="948"/>
      <c r="J174" s="943"/>
      <c r="K174" s="948"/>
      <c r="L174" s="948"/>
      <c r="M174" s="948"/>
      <c r="N174" s="948"/>
      <c r="O174" s="943"/>
      <c r="P174" s="943"/>
      <c r="Q174" s="943"/>
      <c r="R174" s="943"/>
      <c r="S174" s="943"/>
      <c r="T174" s="943"/>
      <c r="U174" s="943"/>
      <c r="V174" s="943"/>
      <c r="W174" s="943"/>
      <c r="X174" s="943"/>
      <c r="Y174" s="943"/>
      <c r="Z174" s="943"/>
      <c r="AA174" s="943"/>
      <c r="AB174" s="943"/>
      <c r="AC174" s="943"/>
      <c r="AD174" s="943"/>
      <c r="AE174" s="943"/>
    </row>
    <row r="175" spans="1:31" ht="15.75" customHeight="1">
      <c r="A175" s="943"/>
      <c r="B175" s="1072"/>
      <c r="C175" s="945"/>
      <c r="D175" s="945"/>
      <c r="E175" s="943"/>
      <c r="F175" s="948"/>
      <c r="G175" s="948"/>
      <c r="H175" s="948"/>
      <c r="I175" s="948"/>
      <c r="J175" s="943"/>
      <c r="K175" s="948"/>
      <c r="L175" s="948"/>
      <c r="M175" s="948"/>
      <c r="N175" s="948"/>
      <c r="O175" s="943"/>
      <c r="P175" s="943"/>
      <c r="Q175" s="943"/>
      <c r="R175" s="943"/>
      <c r="S175" s="943"/>
      <c r="T175" s="943"/>
      <c r="U175" s="943"/>
      <c r="V175" s="943"/>
      <c r="W175" s="943"/>
      <c r="X175" s="943"/>
      <c r="Y175" s="943"/>
      <c r="Z175" s="943"/>
      <c r="AA175" s="943"/>
      <c r="AB175" s="943"/>
      <c r="AC175" s="943"/>
      <c r="AD175" s="943"/>
      <c r="AE175" s="943"/>
    </row>
    <row r="176" spans="1:31" ht="15.75" customHeight="1">
      <c r="A176" s="943"/>
      <c r="B176" s="1072"/>
      <c r="C176" s="945"/>
      <c r="D176" s="945"/>
      <c r="E176" s="943"/>
      <c r="F176" s="943"/>
      <c r="G176" s="943"/>
      <c r="H176" s="1069" t="s">
        <v>174</v>
      </c>
      <c r="I176" s="1070">
        <f>AVERAGE(I170:I175)</f>
        <v>122292.375</v>
      </c>
      <c r="J176" s="943"/>
      <c r="K176" s="943"/>
      <c r="L176" s="943"/>
      <c r="M176" s="1069" t="s">
        <v>174</v>
      </c>
      <c r="N176" s="1070">
        <f>AVERAGE(N170:N175)</f>
        <v>80712.003125000003</v>
      </c>
      <c r="O176" s="943"/>
      <c r="P176" s="943"/>
      <c r="Q176" s="943"/>
      <c r="R176" s="943"/>
      <c r="S176" s="943"/>
      <c r="T176" s="943"/>
      <c r="U176" s="943"/>
      <c r="V176" s="943"/>
      <c r="W176" s="943"/>
      <c r="X176" s="943"/>
      <c r="Y176" s="943"/>
      <c r="Z176" s="943"/>
      <c r="AA176" s="943"/>
      <c r="AB176" s="943"/>
      <c r="AC176" s="943"/>
      <c r="AD176" s="943"/>
      <c r="AE176" s="943"/>
    </row>
    <row r="177" spans="1:31" ht="15.75" customHeight="1">
      <c r="A177" s="943"/>
      <c r="B177" s="943"/>
      <c r="C177" s="943"/>
      <c r="D177" s="943"/>
      <c r="E177" s="943"/>
      <c r="F177" s="943"/>
      <c r="G177" s="943"/>
      <c r="H177" s="943"/>
      <c r="I177" s="943"/>
      <c r="J177" s="943"/>
      <c r="K177" s="943"/>
      <c r="L177" s="943"/>
      <c r="M177" s="943"/>
      <c r="N177" s="943"/>
      <c r="O177" s="943"/>
      <c r="P177" s="943"/>
      <c r="Q177" s="943"/>
      <c r="R177" s="943"/>
      <c r="S177" s="943"/>
      <c r="T177" s="943"/>
      <c r="U177" s="943"/>
      <c r="V177" s="943"/>
      <c r="W177" s="943"/>
      <c r="X177" s="943"/>
      <c r="Y177" s="943"/>
      <c r="Z177" s="943"/>
      <c r="AA177" s="943"/>
      <c r="AB177" s="943"/>
      <c r="AC177" s="943"/>
      <c r="AD177" s="943"/>
      <c r="AE177" s="943"/>
    </row>
    <row r="178" spans="1:31" ht="15.75" customHeight="1">
      <c r="A178" s="943"/>
      <c r="B178" s="1075" t="s">
        <v>2882</v>
      </c>
      <c r="C178" s="943"/>
      <c r="D178" s="943"/>
      <c r="E178" s="943"/>
      <c r="F178" s="943"/>
      <c r="G178" s="943"/>
      <c r="H178" s="943"/>
      <c r="I178" s="943"/>
      <c r="J178" s="943"/>
      <c r="K178" s="943"/>
      <c r="L178" s="943"/>
      <c r="M178" s="943"/>
      <c r="N178" s="943"/>
      <c r="O178" s="943"/>
      <c r="P178" s="943"/>
      <c r="Q178" s="943"/>
      <c r="R178" s="943"/>
      <c r="S178" s="943"/>
      <c r="T178" s="943"/>
      <c r="U178" s="943"/>
      <c r="V178" s="943"/>
      <c r="W178" s="943"/>
      <c r="X178" s="943"/>
      <c r="Y178" s="943"/>
      <c r="Z178" s="943"/>
      <c r="AA178" s="943"/>
      <c r="AB178" s="943"/>
      <c r="AC178" s="943"/>
      <c r="AD178" s="943"/>
      <c r="AE178" s="943"/>
    </row>
    <row r="179" spans="1:31" ht="15.75" customHeight="1">
      <c r="A179" s="943"/>
      <c r="B179" s="1032" t="s">
        <v>61</v>
      </c>
      <c r="C179" s="1032" t="s">
        <v>62</v>
      </c>
      <c r="D179" s="943"/>
      <c r="E179" s="1254" t="s">
        <v>2876</v>
      </c>
      <c r="F179" s="1254"/>
      <c r="G179" s="943"/>
      <c r="H179" s="943"/>
      <c r="I179" s="943"/>
      <c r="J179" s="943"/>
      <c r="K179" s="943"/>
      <c r="L179" s="943"/>
      <c r="M179" s="943"/>
      <c r="N179" s="943"/>
      <c r="O179" s="943"/>
      <c r="P179" s="943"/>
      <c r="Q179" s="943"/>
      <c r="R179" s="943"/>
      <c r="S179" s="943"/>
      <c r="T179" s="943"/>
      <c r="U179" s="943"/>
      <c r="V179" s="943"/>
      <c r="W179" s="943"/>
      <c r="X179" s="943"/>
      <c r="Y179" s="943"/>
      <c r="Z179" s="943"/>
      <c r="AA179" s="943"/>
      <c r="AB179" s="943"/>
      <c r="AC179" s="943"/>
      <c r="AD179" s="943"/>
      <c r="AE179" s="943"/>
    </row>
    <row r="180" spans="1:31" ht="15.75" customHeight="1">
      <c r="A180" s="943"/>
      <c r="B180" s="1048" t="s">
        <v>115</v>
      </c>
      <c r="C180" s="1076">
        <v>1000000</v>
      </c>
      <c r="D180" s="943"/>
      <c r="E180" s="943">
        <f>75*(208*SQRT(3))/1000</f>
        <v>27.019992598074484</v>
      </c>
      <c r="F180" s="943">
        <v>50468</v>
      </c>
      <c r="G180" s="943"/>
      <c r="H180" s="943"/>
      <c r="I180" s="943"/>
      <c r="J180" s="943"/>
      <c r="K180" s="943"/>
      <c r="L180" s="943"/>
      <c r="M180" s="943"/>
      <c r="N180" s="943"/>
      <c r="O180" s="943"/>
      <c r="P180" s="943"/>
      <c r="Q180" s="943"/>
      <c r="R180" s="943"/>
      <c r="S180" s="943"/>
      <c r="T180" s="943"/>
      <c r="U180" s="943"/>
      <c r="V180" s="943"/>
      <c r="W180" s="943"/>
      <c r="X180" s="943"/>
      <c r="Y180" s="943"/>
      <c r="Z180" s="943"/>
      <c r="AA180" s="943"/>
      <c r="AB180" s="943"/>
      <c r="AC180" s="943"/>
      <c r="AD180" s="943"/>
      <c r="AE180" s="943"/>
    </row>
    <row r="181" spans="1:31" ht="15.75" customHeight="1">
      <c r="A181" s="943"/>
      <c r="B181" s="1048" t="s">
        <v>280</v>
      </c>
      <c r="C181" s="1077">
        <f>143100/1.19</f>
        <v>120252.10084033613</v>
      </c>
      <c r="D181" s="943"/>
      <c r="E181" s="943">
        <f>100*(208*SQRT(3))/1000</f>
        <v>36.026656797432643</v>
      </c>
      <c r="F181" s="943">
        <v>100000</v>
      </c>
      <c r="G181" s="943"/>
      <c r="H181" s="943"/>
      <c r="I181" s="943"/>
      <c r="J181" s="943"/>
      <c r="K181" s="943"/>
      <c r="L181" s="943"/>
      <c r="M181" s="943"/>
      <c r="N181" s="943"/>
      <c r="O181" s="943"/>
      <c r="P181" s="943"/>
      <c r="Q181" s="943"/>
      <c r="R181" s="943"/>
      <c r="S181" s="943"/>
      <c r="T181" s="943"/>
      <c r="U181" s="943"/>
      <c r="V181" s="943"/>
      <c r="W181" s="943"/>
      <c r="X181" s="943"/>
      <c r="Y181" s="943"/>
      <c r="Z181" s="943"/>
      <c r="AA181" s="943"/>
      <c r="AB181" s="943"/>
      <c r="AC181" s="943"/>
      <c r="AD181" s="943"/>
      <c r="AE181" s="943"/>
    </row>
    <row r="182" spans="1:31" ht="15.75" customHeight="1">
      <c r="A182" s="943"/>
      <c r="B182" s="1048"/>
      <c r="C182" s="945"/>
      <c r="D182" s="943"/>
      <c r="E182" s="943">
        <f>200*(208*SQRT(3))/1000</f>
        <v>72.053313594865287</v>
      </c>
      <c r="F182" s="943">
        <v>180915</v>
      </c>
      <c r="G182" s="943"/>
      <c r="H182" s="943"/>
      <c r="I182" s="943"/>
      <c r="J182" s="943"/>
      <c r="K182" s="943"/>
      <c r="L182" s="943"/>
      <c r="M182" s="943"/>
      <c r="N182" s="943"/>
      <c r="O182" s="943"/>
      <c r="P182" s="943"/>
      <c r="Q182" s="943"/>
      <c r="R182" s="943"/>
      <c r="S182" s="943"/>
      <c r="T182" s="943"/>
      <c r="U182" s="943"/>
      <c r="V182" s="943"/>
      <c r="W182" s="943"/>
      <c r="X182" s="943"/>
      <c r="Y182" s="943"/>
      <c r="Z182" s="943"/>
      <c r="AA182" s="943"/>
      <c r="AB182" s="943"/>
      <c r="AC182" s="943"/>
      <c r="AD182" s="943"/>
      <c r="AE182" s="943"/>
    </row>
    <row r="183" spans="1:31" ht="15.75" customHeight="1">
      <c r="A183" s="943"/>
      <c r="B183" s="961" t="s">
        <v>112</v>
      </c>
      <c r="C183" s="1078">
        <f>SUM(C180:C182)</f>
        <v>1120252.1008403362</v>
      </c>
      <c r="D183" s="943"/>
      <c r="E183" s="943"/>
      <c r="F183" s="943"/>
      <c r="G183" s="943"/>
      <c r="H183" s="943"/>
      <c r="I183" s="943"/>
      <c r="J183" s="943"/>
      <c r="K183" s="943"/>
      <c r="L183" s="943"/>
      <c r="M183" s="943"/>
      <c r="N183" s="943"/>
      <c r="O183" s="943"/>
      <c r="P183" s="943"/>
      <c r="Q183" s="943"/>
      <c r="R183" s="943"/>
      <c r="S183" s="943"/>
      <c r="T183" s="943"/>
      <c r="U183" s="943"/>
      <c r="V183" s="943"/>
      <c r="W183" s="943"/>
      <c r="X183" s="943"/>
      <c r="Y183" s="943"/>
      <c r="Z183" s="943"/>
      <c r="AA183" s="943"/>
      <c r="AB183" s="943"/>
      <c r="AC183" s="943"/>
      <c r="AD183" s="943"/>
      <c r="AE183" s="943"/>
    </row>
    <row r="184" spans="1:31" ht="15.75" customHeight="1">
      <c r="A184" s="943"/>
      <c r="B184" s="943"/>
      <c r="C184" s="943"/>
      <c r="D184" s="943"/>
      <c r="E184" s="1254" t="s">
        <v>2884</v>
      </c>
      <c r="F184" s="1254"/>
      <c r="G184" s="943"/>
      <c r="H184" s="943"/>
      <c r="I184" s="943"/>
      <c r="J184" s="943"/>
      <c r="K184" s="943"/>
      <c r="L184" s="943"/>
      <c r="M184" s="943"/>
      <c r="N184" s="943"/>
      <c r="O184" s="943"/>
      <c r="P184" s="943"/>
      <c r="Q184" s="943"/>
      <c r="R184" s="943"/>
      <c r="S184" s="943"/>
      <c r="T184" s="943"/>
      <c r="U184" s="943"/>
      <c r="V184" s="943"/>
      <c r="W184" s="943"/>
      <c r="X184" s="943"/>
      <c r="Y184" s="943"/>
      <c r="Z184" s="943"/>
      <c r="AA184" s="943"/>
      <c r="AB184" s="943"/>
      <c r="AC184" s="943"/>
      <c r="AD184" s="943"/>
      <c r="AE184" s="943"/>
    </row>
    <row r="185" spans="1:31" ht="15.75" customHeight="1">
      <c r="A185" s="943"/>
      <c r="B185" s="1062" t="s">
        <v>3908</v>
      </c>
      <c r="C185" s="943"/>
      <c r="D185" s="943"/>
      <c r="E185" s="943"/>
      <c r="F185" s="943"/>
      <c r="G185" s="943"/>
      <c r="H185" s="943"/>
      <c r="I185" s="943"/>
      <c r="J185" s="943"/>
      <c r="K185" s="943"/>
      <c r="L185" s="943"/>
      <c r="M185" s="943"/>
      <c r="N185" s="943"/>
      <c r="O185" s="943"/>
      <c r="P185" s="943"/>
      <c r="Q185" s="943"/>
      <c r="R185" s="943"/>
      <c r="S185" s="943"/>
      <c r="T185" s="943"/>
      <c r="U185" s="943"/>
      <c r="V185" s="943"/>
      <c r="W185" s="943"/>
      <c r="X185" s="943"/>
      <c r="Y185" s="943"/>
      <c r="Z185" s="943"/>
      <c r="AA185" s="943"/>
      <c r="AB185" s="943"/>
      <c r="AC185" s="943"/>
      <c r="AD185" s="943"/>
      <c r="AE185" s="943"/>
    </row>
    <row r="186" spans="1:31" ht="15.75" customHeight="1">
      <c r="A186" s="943"/>
      <c r="B186" s="1064" t="s">
        <v>61</v>
      </c>
      <c r="C186" s="1064" t="s">
        <v>2879</v>
      </c>
      <c r="D186" s="943"/>
      <c r="E186" s="943"/>
      <c r="F186" s="943"/>
      <c r="G186" s="943"/>
      <c r="H186" s="943"/>
      <c r="I186" s="943"/>
      <c r="J186" s="943"/>
      <c r="K186" s="943"/>
      <c r="L186" s="943"/>
      <c r="M186" s="943"/>
      <c r="N186" s="943"/>
      <c r="O186" s="943"/>
      <c r="P186" s="943"/>
      <c r="Q186" s="943"/>
      <c r="R186" s="943"/>
      <c r="S186" s="943"/>
      <c r="T186" s="943"/>
      <c r="U186" s="943"/>
      <c r="V186" s="943"/>
      <c r="W186" s="943"/>
      <c r="X186" s="943"/>
      <c r="Y186" s="943"/>
      <c r="Z186" s="943"/>
      <c r="AA186" s="943"/>
      <c r="AB186" s="943"/>
      <c r="AC186" s="943"/>
      <c r="AD186" s="943"/>
      <c r="AE186" s="943"/>
    </row>
    <row r="187" spans="1:31" ht="15.75" customHeight="1">
      <c r="A187" s="943"/>
      <c r="B187" s="1058" t="s">
        <v>2880</v>
      </c>
      <c r="C187" s="1079">
        <f>+IF('Calculos (On Grid)'!B24&gt;50000,159000,IF('Calculos (On Grid)'!B24&lt;10000,50000,80000))</f>
        <v>50000</v>
      </c>
      <c r="D187" s="943"/>
      <c r="E187" s="943"/>
      <c r="F187" s="943"/>
      <c r="G187" s="943"/>
      <c r="H187" s="943"/>
      <c r="I187" s="943"/>
      <c r="J187" s="943"/>
      <c r="K187" s="943"/>
      <c r="L187" s="943"/>
      <c r="M187" s="943"/>
      <c r="N187" s="943"/>
      <c r="O187" s="943"/>
      <c r="P187" s="943"/>
      <c r="Q187" s="943"/>
      <c r="R187" s="943"/>
      <c r="S187" s="943"/>
      <c r="T187" s="943"/>
      <c r="U187" s="943"/>
      <c r="V187" s="943"/>
      <c r="W187" s="943"/>
      <c r="X187" s="943"/>
      <c r="Y187" s="943"/>
      <c r="Z187" s="943"/>
      <c r="AA187" s="943"/>
      <c r="AB187" s="943"/>
      <c r="AC187" s="943"/>
      <c r="AD187" s="943"/>
      <c r="AE187" s="943"/>
    </row>
    <row r="188" spans="1:31" ht="15.75" customHeight="1">
      <c r="A188" s="943"/>
      <c r="B188" s="1058" t="s">
        <v>2877</v>
      </c>
      <c r="C188" s="1079">
        <v>60000</v>
      </c>
      <c r="D188" s="943"/>
      <c r="E188" s="943"/>
      <c r="F188" s="943"/>
      <c r="G188" s="943"/>
      <c r="H188" s="943"/>
      <c r="I188" s="943"/>
      <c r="J188" s="943"/>
      <c r="K188" s="943"/>
      <c r="L188" s="943"/>
      <c r="M188" s="943"/>
      <c r="N188" s="943"/>
      <c r="O188" s="943"/>
      <c r="P188" s="943"/>
      <c r="Q188" s="943"/>
      <c r="R188" s="943"/>
      <c r="S188" s="943"/>
      <c r="T188" s="943"/>
      <c r="U188" s="943"/>
      <c r="V188" s="943"/>
      <c r="W188" s="943"/>
      <c r="X188" s="943"/>
      <c r="Y188" s="943"/>
      <c r="Z188" s="943"/>
      <c r="AA188" s="943"/>
      <c r="AB188" s="943"/>
      <c r="AC188" s="943"/>
      <c r="AD188" s="943"/>
      <c r="AE188" s="943"/>
    </row>
    <row r="189" spans="1:31" ht="15.75" customHeight="1">
      <c r="A189" s="943"/>
      <c r="B189" s="1058" t="s">
        <v>2878</v>
      </c>
      <c r="C189" s="1079">
        <v>45000</v>
      </c>
      <c r="D189" s="943"/>
      <c r="E189" s="943"/>
      <c r="F189" s="943"/>
      <c r="G189" s="943"/>
      <c r="H189" s="943"/>
      <c r="I189" s="943"/>
      <c r="J189" s="943"/>
      <c r="K189" s="943"/>
      <c r="L189" s="943"/>
      <c r="M189" s="943"/>
      <c r="N189" s="943"/>
      <c r="O189" s="943"/>
      <c r="P189" s="943"/>
      <c r="Q189" s="943"/>
      <c r="R189" s="943"/>
      <c r="S189" s="943"/>
      <c r="T189" s="943"/>
      <c r="U189" s="943"/>
      <c r="V189" s="943"/>
      <c r="W189" s="943"/>
      <c r="X189" s="943"/>
      <c r="Y189" s="943"/>
      <c r="Z189" s="943"/>
      <c r="AA189" s="943"/>
      <c r="AB189" s="943"/>
      <c r="AC189" s="943"/>
      <c r="AD189" s="943"/>
      <c r="AE189" s="943"/>
    </row>
    <row r="190" spans="1:31" ht="15.75" customHeight="1">
      <c r="A190" s="943"/>
      <c r="B190" s="1080" t="s">
        <v>2881</v>
      </c>
      <c r="C190" s="1081">
        <f>+IF('Calculos (On Grid)'!B24&gt;50000,92000,IF('Calculos (On Grid)'!B24&lt;10000,25000,40000))</f>
        <v>25000</v>
      </c>
      <c r="D190" s="943"/>
      <c r="E190" s="943"/>
      <c r="F190" s="943"/>
      <c r="G190" s="943"/>
      <c r="H190" s="943"/>
      <c r="I190" s="943"/>
      <c r="J190" s="943"/>
      <c r="K190" s="943"/>
      <c r="L190" s="943"/>
      <c r="M190" s="943"/>
      <c r="N190" s="943"/>
      <c r="O190" s="943"/>
      <c r="P190" s="943"/>
      <c r="Q190" s="943"/>
      <c r="R190" s="943"/>
      <c r="S190" s="943"/>
      <c r="T190" s="943"/>
      <c r="U190" s="943"/>
      <c r="V190" s="943"/>
      <c r="W190" s="943"/>
      <c r="X190" s="943"/>
      <c r="Y190" s="943"/>
      <c r="Z190" s="943"/>
      <c r="AA190" s="943"/>
      <c r="AB190" s="943"/>
      <c r="AC190" s="943"/>
      <c r="AD190" s="943"/>
      <c r="AE190" s="943"/>
    </row>
    <row r="191" spans="1:31" ht="15.75" customHeight="1">
      <c r="A191" s="943"/>
      <c r="B191" s="943"/>
      <c r="C191" s="943"/>
      <c r="D191" s="943"/>
      <c r="E191" s="943"/>
      <c r="F191" s="943"/>
      <c r="G191" s="943"/>
      <c r="H191" s="943"/>
      <c r="I191" s="943"/>
      <c r="J191" s="943"/>
      <c r="K191" s="943"/>
      <c r="L191" s="943"/>
      <c r="M191" s="943"/>
      <c r="N191" s="943"/>
      <c r="O191" s="943"/>
      <c r="P191" s="943"/>
      <c r="Q191" s="943"/>
      <c r="R191" s="943"/>
      <c r="S191" s="943"/>
      <c r="T191" s="943"/>
      <c r="U191" s="943"/>
      <c r="V191" s="943"/>
      <c r="W191" s="943"/>
      <c r="X191" s="943"/>
      <c r="Y191" s="943"/>
      <c r="Z191" s="943"/>
      <c r="AA191" s="943"/>
      <c r="AB191" s="943"/>
      <c r="AC191" s="943"/>
      <c r="AD191" s="943"/>
      <c r="AE191" s="943"/>
    </row>
    <row r="192" spans="1:31" ht="15.75" customHeight="1">
      <c r="A192" s="943"/>
      <c r="B192" s="1075" t="s">
        <v>117</v>
      </c>
      <c r="C192" s="1082" t="s">
        <v>118</v>
      </c>
      <c r="D192" s="943"/>
      <c r="E192" s="943"/>
      <c r="F192" s="943"/>
      <c r="G192" s="943"/>
      <c r="H192" s="943"/>
      <c r="I192" s="943"/>
      <c r="J192" s="943"/>
      <c r="K192" s="943"/>
      <c r="L192" s="943"/>
      <c r="M192" s="943"/>
      <c r="N192" s="943"/>
      <c r="O192" s="943"/>
      <c r="P192" s="943"/>
      <c r="Q192" s="943"/>
      <c r="R192" s="943"/>
      <c r="S192" s="943"/>
      <c r="T192" s="943"/>
      <c r="U192" s="943"/>
      <c r="V192" s="943"/>
      <c r="W192" s="943"/>
      <c r="X192" s="943"/>
      <c r="Y192" s="943"/>
      <c r="Z192" s="943"/>
      <c r="AA192" s="943"/>
      <c r="AB192" s="943"/>
      <c r="AC192" s="943"/>
      <c r="AD192" s="943"/>
      <c r="AE192" s="943"/>
    </row>
    <row r="193" spans="1:31" ht="30">
      <c r="A193" s="943"/>
      <c r="B193" s="1083" t="s">
        <v>23</v>
      </c>
      <c r="C193" s="1084" t="s">
        <v>120</v>
      </c>
      <c r="D193" s="1085" t="s">
        <v>1129</v>
      </c>
      <c r="E193" s="1086" t="s">
        <v>51</v>
      </c>
      <c r="F193" s="1086" t="s">
        <v>122</v>
      </c>
      <c r="G193" s="1086" t="s">
        <v>123</v>
      </c>
      <c r="H193" s="1086" t="s">
        <v>124</v>
      </c>
      <c r="I193" s="1086" t="s">
        <v>125</v>
      </c>
      <c r="J193" s="1086" t="s">
        <v>126</v>
      </c>
      <c r="K193" s="1086" t="s">
        <v>127</v>
      </c>
      <c r="L193" s="1086" t="s">
        <v>128</v>
      </c>
      <c r="M193" s="1086" t="s">
        <v>129</v>
      </c>
      <c r="N193" s="1086" t="s">
        <v>130</v>
      </c>
      <c r="O193" s="1086" t="s">
        <v>131</v>
      </c>
      <c r="P193" s="947" t="s">
        <v>132</v>
      </c>
      <c r="Q193" s="943"/>
      <c r="R193" s="943"/>
      <c r="S193" s="943"/>
      <c r="T193" s="943"/>
      <c r="U193" s="943"/>
      <c r="V193" s="943"/>
      <c r="W193" s="943"/>
      <c r="X193" s="943"/>
      <c r="Y193" s="943"/>
      <c r="Z193" s="943"/>
      <c r="AA193" s="943"/>
      <c r="AB193" s="943"/>
      <c r="AC193" s="943"/>
      <c r="AD193" s="943"/>
      <c r="AE193" s="943"/>
    </row>
    <row r="194" spans="1:31" ht="15.75" customHeight="1">
      <c r="A194" s="943"/>
      <c r="B194" s="1087" t="s">
        <v>24</v>
      </c>
      <c r="C194" s="1088">
        <f>+Tabla71324[[#This Row],[Horas pico de sol/dia Prom]]</f>
        <v>4.3219916666666673</v>
      </c>
      <c r="D194" s="1089">
        <f>SUM(E194:P194)/COUNTA(E194:P194)</f>
        <v>4.3219916666666673</v>
      </c>
      <c r="E194" s="1090">
        <v>4.0275999999999996</v>
      </c>
      <c r="F194" s="1090">
        <v>4.2431999999999999</v>
      </c>
      <c r="G194" s="1090">
        <v>4.1334</v>
      </c>
      <c r="H194" s="1090">
        <v>4.2271000000000001</v>
      </c>
      <c r="I194" s="1090">
        <v>4.1578999999999997</v>
      </c>
      <c r="J194" s="1090">
        <v>4.5909000000000004</v>
      </c>
      <c r="K194" s="1090">
        <v>4.7732999999999999</v>
      </c>
      <c r="L194" s="1090">
        <v>4.7489999999999997</v>
      </c>
      <c r="M194" s="1090">
        <v>4.6196999999999999</v>
      </c>
      <c r="N194" s="1090">
        <v>4.0932000000000004</v>
      </c>
      <c r="O194" s="1090">
        <v>4.0959000000000003</v>
      </c>
      <c r="P194" s="1091">
        <v>4.1527000000000003</v>
      </c>
      <c r="Q194" s="943"/>
      <c r="R194" s="943"/>
      <c r="S194" s="943"/>
      <c r="T194" s="943"/>
      <c r="U194" s="943"/>
      <c r="V194" s="943"/>
      <c r="W194" s="943"/>
      <c r="X194" s="943"/>
      <c r="Y194" s="943"/>
      <c r="Z194" s="943"/>
      <c r="AA194" s="943"/>
      <c r="AB194" s="943"/>
      <c r="AC194" s="943"/>
      <c r="AD194" s="943"/>
      <c r="AE194" s="943"/>
    </row>
    <row r="195" spans="1:31" ht="15.75" customHeight="1">
      <c r="A195" s="943"/>
      <c r="B195" s="1087" t="s">
        <v>133</v>
      </c>
      <c r="C195" s="1088">
        <f>+Tabla71324[[#This Row],[Horas pico de sol/dia Prom]]</f>
        <v>4.4184833333333327</v>
      </c>
      <c r="D195" s="1089">
        <f>SUM(E195:P195)/COUNTA(E195:P195)</f>
        <v>4.4184833333333327</v>
      </c>
      <c r="E195" s="1090">
        <v>3.8210999999999999</v>
      </c>
      <c r="F195" s="1090">
        <v>4.0025000000000004</v>
      </c>
      <c r="G195" s="1090">
        <v>3.8976999999999999</v>
      </c>
      <c r="H195" s="1090">
        <v>4.2065000000000001</v>
      </c>
      <c r="I195" s="1090">
        <v>4.6924000000000001</v>
      </c>
      <c r="J195" s="1090">
        <v>5.0246000000000004</v>
      </c>
      <c r="K195" s="1090">
        <v>5.2887000000000004</v>
      </c>
      <c r="L195" s="1090">
        <v>5.0011000000000001</v>
      </c>
      <c r="M195" s="1090">
        <v>4.5747999999999998</v>
      </c>
      <c r="N195" s="1090">
        <v>4.3080999999999996</v>
      </c>
      <c r="O195" s="1090">
        <v>4.0309999999999997</v>
      </c>
      <c r="P195" s="1091">
        <v>4.1733000000000002</v>
      </c>
      <c r="Q195" s="943"/>
      <c r="R195" s="943"/>
      <c r="S195" s="943"/>
      <c r="T195" s="943"/>
      <c r="U195" s="943"/>
      <c r="V195" s="943"/>
      <c r="W195" s="943"/>
      <c r="X195" s="943"/>
      <c r="Y195" s="943"/>
      <c r="Z195" s="943"/>
      <c r="AA195" s="943"/>
      <c r="AB195" s="943"/>
      <c r="AC195" s="943"/>
      <c r="AD195" s="943"/>
      <c r="AE195" s="943"/>
    </row>
    <row r="196" spans="1:31" ht="15.75" customHeight="1">
      <c r="A196" s="943"/>
      <c r="B196" s="1087" t="s">
        <v>134</v>
      </c>
      <c r="C196" s="1088">
        <f>+Tabla71324[[#This Row],[Horas pico de sol/dia Prom]]</f>
        <v>4.6947750000000008</v>
      </c>
      <c r="D196" s="1089">
        <f>SUM(E196:P196)/COUNTA(E196:P196)</f>
        <v>4.6947750000000008</v>
      </c>
      <c r="E196" s="1090">
        <v>4.4119000000000002</v>
      </c>
      <c r="F196" s="1090">
        <v>4.7068000000000003</v>
      </c>
      <c r="G196" s="1090">
        <v>4.6120000000000001</v>
      </c>
      <c r="H196" s="1090">
        <v>4.9051</v>
      </c>
      <c r="I196" s="1090">
        <v>4.6550000000000002</v>
      </c>
      <c r="J196" s="1090">
        <v>4.7755000000000001</v>
      </c>
      <c r="K196" s="1090">
        <v>5.0683999999999996</v>
      </c>
      <c r="L196" s="1090">
        <v>4.9827000000000004</v>
      </c>
      <c r="M196" s="1090">
        <v>4.8846999999999996</v>
      </c>
      <c r="N196" s="1090">
        <v>4.6467000000000001</v>
      </c>
      <c r="O196" s="1090">
        <v>4.4516999999999998</v>
      </c>
      <c r="P196" s="1091">
        <v>4.2367999999999997</v>
      </c>
      <c r="Q196" s="943"/>
      <c r="R196" s="943"/>
      <c r="S196" s="943"/>
      <c r="T196" s="943"/>
      <c r="U196" s="943"/>
      <c r="V196" s="943"/>
      <c r="W196" s="943"/>
      <c r="X196" s="943"/>
      <c r="Y196" s="943"/>
      <c r="Z196" s="943"/>
      <c r="AA196" s="943"/>
      <c r="AB196" s="943"/>
      <c r="AC196" s="943"/>
      <c r="AD196" s="943"/>
      <c r="AE196" s="943"/>
    </row>
    <row r="197" spans="1:31" ht="15.75" customHeight="1">
      <c r="A197" s="943"/>
      <c r="B197" s="1087" t="s">
        <v>1069</v>
      </c>
      <c r="C197" s="1088">
        <f>+Tabla71324[[#This Row],[Horas pico de sol/dia Prom]]</f>
        <v>5.5162744170708207</v>
      </c>
      <c r="D197" s="1089">
        <f>SUM(E197:P197)/COUNTA(E197:P197)</f>
        <v>5.5162744170708207</v>
      </c>
      <c r="E197" s="1092">
        <v>6.4129258360309933</v>
      </c>
      <c r="F197" s="1092">
        <v>6.378764658193548</v>
      </c>
      <c r="G197" s="1092">
        <v>6.0127855950000004</v>
      </c>
      <c r="H197" s="1092">
        <v>4.9514058103911296</v>
      </c>
      <c r="I197" s="1092">
        <v>4.9887456342784615</v>
      </c>
      <c r="J197" s="1092">
        <v>5.6442195632051293</v>
      </c>
      <c r="K197" s="1092">
        <v>5.2130673104320993</v>
      </c>
      <c r="L197" s="1092">
        <v>5.2913372822222229</v>
      </c>
      <c r="M197" s="1092">
        <v>5.0145491324937961</v>
      </c>
      <c r="N197" s="1092">
        <v>4.9881867222177343</v>
      </c>
      <c r="O197" s="1092">
        <v>5.746767274276829</v>
      </c>
      <c r="P197" s="1093">
        <v>5.5525381861078973</v>
      </c>
      <c r="Q197" s="943"/>
      <c r="R197" s="943"/>
      <c r="S197" s="943"/>
      <c r="T197" s="943"/>
      <c r="U197" s="943"/>
      <c r="V197" s="943"/>
      <c r="W197" s="943"/>
      <c r="X197" s="943"/>
      <c r="Y197" s="943"/>
      <c r="Z197" s="943"/>
      <c r="AA197" s="943"/>
      <c r="AB197" s="943"/>
      <c r="AC197" s="943"/>
      <c r="AD197" s="943"/>
      <c r="AE197" s="943"/>
    </row>
    <row r="198" spans="1:31" ht="15.75" customHeight="1">
      <c r="A198" s="943"/>
      <c r="B198" s="1087" t="s">
        <v>135</v>
      </c>
      <c r="C198" s="1088">
        <f>+Tabla71324[[#This Row],[Horas pico de sol/dia Prom]]</f>
        <v>5.5677635368663596</v>
      </c>
      <c r="D198" s="1089">
        <f t="shared" ref="D198:D204" si="6">SUM(E198:P198)/COUNTA(E198:P198)</f>
        <v>5.5677635368663596</v>
      </c>
      <c r="E198" s="943">
        <v>6.4798387096774182</v>
      </c>
      <c r="F198" s="943">
        <v>6.6651785714285712</v>
      </c>
      <c r="G198" s="943">
        <v>6.370967741935484</v>
      </c>
      <c r="H198" s="943">
        <v>5.6708333333333325</v>
      </c>
      <c r="I198" s="943">
        <v>5.008064516129032</v>
      </c>
      <c r="J198" s="943">
        <v>4.9874999999999998</v>
      </c>
      <c r="K198" s="943">
        <v>5.2096774193548381</v>
      </c>
      <c r="L198" s="943">
        <v>5.217741935483871</v>
      </c>
      <c r="M198" s="943">
        <v>5.1583333333333332</v>
      </c>
      <c r="N198" s="943">
        <v>5.020161290322581</v>
      </c>
      <c r="O198" s="943">
        <v>5.145833333333333</v>
      </c>
      <c r="P198" s="943">
        <v>5.879032258064516</v>
      </c>
      <c r="Q198" s="943"/>
      <c r="R198" s="943"/>
      <c r="S198" s="943"/>
      <c r="T198" s="943"/>
      <c r="U198" s="943"/>
      <c r="V198" s="943"/>
      <c r="W198" s="943"/>
      <c r="X198" s="943"/>
      <c r="Y198" s="943"/>
      <c r="Z198" s="943"/>
      <c r="AA198" s="943"/>
      <c r="AB198" s="943"/>
      <c r="AC198" s="943"/>
      <c r="AD198" s="943"/>
      <c r="AE198" s="943"/>
    </row>
    <row r="199" spans="1:31" ht="15.75" customHeight="1">
      <c r="A199" s="943"/>
      <c r="B199" s="1087" t="s">
        <v>1136</v>
      </c>
      <c r="C199" s="1088">
        <f>+Tabla71324[[#This Row],[Horas pico de sol/dia Prom]]</f>
        <v>4.7611028891020704</v>
      </c>
      <c r="D199" s="1089">
        <f>SUM(E199:P199)/COUNTA(E199:P199)</f>
        <v>4.7611028891020704</v>
      </c>
      <c r="E199" s="1092">
        <v>4.7643586153123376</v>
      </c>
      <c r="F199" s="1092">
        <v>4.9187829652605464</v>
      </c>
      <c r="G199" s="1092">
        <v>4.8850567724637672</v>
      </c>
      <c r="H199" s="1092">
        <v>4.5414023622887862</v>
      </c>
      <c r="I199" s="1092">
        <v>4.5275382321428568</v>
      </c>
      <c r="J199" s="1092">
        <v>5.0256796820276497</v>
      </c>
      <c r="K199" s="1092">
        <v>5.1806432182029409</v>
      </c>
      <c r="L199" s="1092">
        <v>5.239639033133944</v>
      </c>
      <c r="M199" s="1092">
        <v>4.7951750208458792</v>
      </c>
      <c r="N199" s="1092">
        <v>4.3080546149494952</v>
      </c>
      <c r="O199" s="1092">
        <v>4.2026353320276506</v>
      </c>
      <c r="P199" s="1093">
        <v>4.7442688205689922</v>
      </c>
      <c r="Q199" s="943"/>
      <c r="R199" s="943"/>
      <c r="S199" s="943"/>
      <c r="T199" s="943"/>
      <c r="U199" s="943"/>
      <c r="V199" s="943"/>
      <c r="W199" s="943"/>
      <c r="X199" s="943"/>
      <c r="Y199" s="943"/>
      <c r="Z199" s="943"/>
      <c r="AA199" s="943"/>
      <c r="AB199" s="943"/>
      <c r="AC199" s="943"/>
      <c r="AD199" s="943"/>
      <c r="AE199" s="943"/>
    </row>
    <row r="200" spans="1:31" ht="15.75" customHeight="1">
      <c r="A200" s="943"/>
      <c r="B200" s="1087" t="s">
        <v>1079</v>
      </c>
      <c r="C200" s="1088">
        <f>+Tabla71324[[#This Row],[Horas pico de sol/dia Prom]]</f>
        <v>4.2052213973454773</v>
      </c>
      <c r="D200" s="1089">
        <f t="shared" si="6"/>
        <v>4.2052213973454773</v>
      </c>
      <c r="E200" s="1092">
        <v>4.4063420021428561</v>
      </c>
      <c r="F200" s="1092">
        <v>4.2838947432258063</v>
      </c>
      <c r="G200" s="1092">
        <v>4.0997113294444452</v>
      </c>
      <c r="H200" s="1092">
        <v>3.8051290915949827</v>
      </c>
      <c r="I200" s="1092">
        <v>3.9405257044444446</v>
      </c>
      <c r="J200" s="1092">
        <v>4.2436420765830363</v>
      </c>
      <c r="K200" s="1092">
        <v>4.3620313775985666</v>
      </c>
      <c r="L200" s="1092">
        <v>4.2731979777777784</v>
      </c>
      <c r="M200" s="1092">
        <v>4.3386070509984638</v>
      </c>
      <c r="N200" s="1092">
        <v>4.1832564975041047</v>
      </c>
      <c r="O200" s="1092">
        <v>4.3153906411674354</v>
      </c>
      <c r="P200" s="1093">
        <v>4.2109282756638162</v>
      </c>
      <c r="Q200" s="943"/>
      <c r="R200" s="943"/>
      <c r="S200" s="943"/>
      <c r="T200" s="943"/>
      <c r="U200" s="943"/>
      <c r="V200" s="943"/>
      <c r="W200" s="943"/>
      <c r="X200" s="943"/>
      <c r="Y200" s="943"/>
      <c r="Z200" s="943"/>
      <c r="AA200" s="943"/>
      <c r="AB200" s="943"/>
      <c r="AC200" s="943"/>
      <c r="AD200" s="943"/>
      <c r="AE200" s="943"/>
    </row>
    <row r="201" spans="1:31" ht="15.75" customHeight="1">
      <c r="A201" s="943"/>
      <c r="B201" s="1087" t="s">
        <v>1095</v>
      </c>
      <c r="C201" s="1088">
        <f>+Tabla71324[[#This Row],[Horas pico de sol/dia Prom]]</f>
        <v>4.606978956345654</v>
      </c>
      <c r="D201" s="1089">
        <f t="shared" si="6"/>
        <v>4.606978956345654</v>
      </c>
      <c r="E201" s="1092">
        <v>4.6485626953125001</v>
      </c>
      <c r="F201" s="1092">
        <v>4.51476259765625</v>
      </c>
      <c r="G201" s="1092">
        <v>4.3484259765625</v>
      </c>
      <c r="H201" s="1092">
        <v>4.5391480468749998</v>
      </c>
      <c r="I201" s="1092">
        <v>4.6369185384114582</v>
      </c>
      <c r="J201" s="1092">
        <v>4.8681292317708333</v>
      </c>
      <c r="K201" s="1092">
        <v>5.0334386393229167</v>
      </c>
      <c r="L201" s="1092">
        <v>4.9483195800781248</v>
      </c>
      <c r="M201" s="1092">
        <v>4.6653554687499996</v>
      </c>
      <c r="N201" s="1092">
        <v>4.2695059291294646</v>
      </c>
      <c r="O201" s="1092">
        <v>4.2109449462890627</v>
      </c>
      <c r="P201" s="1093">
        <v>4.6002358259897385</v>
      </c>
      <c r="Q201" s="943"/>
      <c r="R201" s="943"/>
      <c r="S201" s="943"/>
      <c r="T201" s="943"/>
      <c r="U201" s="943"/>
      <c r="V201" s="943"/>
      <c r="W201" s="943"/>
      <c r="X201" s="943"/>
      <c r="Y201" s="943"/>
      <c r="Z201" s="943"/>
      <c r="AA201" s="943"/>
      <c r="AB201" s="943"/>
      <c r="AC201" s="943"/>
      <c r="AD201" s="943"/>
      <c r="AE201" s="943"/>
    </row>
    <row r="202" spans="1:31" ht="15.75" customHeight="1">
      <c r="A202" s="943"/>
      <c r="B202" s="1087" t="s">
        <v>1053</v>
      </c>
      <c r="C202" s="1088">
        <f>+Tabla71324[[#This Row],[Horas pico de sol/dia Prom]]</f>
        <v>4.2492776429918075</v>
      </c>
      <c r="D202" s="1089">
        <f t="shared" si="6"/>
        <v>4.2492776429918075</v>
      </c>
      <c r="E202" s="1092">
        <v>4.0168879394531247</v>
      </c>
      <c r="F202" s="1092">
        <v>4.1928060546875008</v>
      </c>
      <c r="G202" s="1092">
        <v>4.2050189208984374</v>
      </c>
      <c r="H202" s="1092">
        <v>4.0201772809709819</v>
      </c>
      <c r="I202" s="1092">
        <v>4.5555595005580356</v>
      </c>
      <c r="J202" s="1092">
        <v>4.5593042689732144</v>
      </c>
      <c r="K202" s="1092">
        <v>4.523161202566965</v>
      </c>
      <c r="L202" s="1092">
        <v>4.4968535853794647</v>
      </c>
      <c r="M202" s="1092">
        <v>4.3659069126674099</v>
      </c>
      <c r="N202" s="1092">
        <v>3.9241624930245536</v>
      </c>
      <c r="O202" s="1092">
        <v>3.8972063964843753</v>
      </c>
      <c r="P202" s="1093">
        <v>4.2342871602376295</v>
      </c>
      <c r="Q202" s="943"/>
      <c r="R202" s="943"/>
      <c r="S202" s="943"/>
      <c r="T202" s="943"/>
      <c r="U202" s="943"/>
      <c r="V202" s="943"/>
      <c r="W202" s="943"/>
      <c r="X202" s="943"/>
      <c r="Y202" s="943"/>
      <c r="Z202" s="943"/>
      <c r="AA202" s="943"/>
      <c r="AB202" s="943"/>
      <c r="AC202" s="943"/>
      <c r="AD202" s="943"/>
      <c r="AE202" s="943"/>
    </row>
    <row r="203" spans="1:31" ht="15.75" customHeight="1">
      <c r="A203" s="943"/>
      <c r="B203" s="1087" t="s">
        <v>1115</v>
      </c>
      <c r="C203" s="1088">
        <f>+Tabla71324[[#This Row],[Horas pico de sol/dia Prom]]</f>
        <v>3.6174083333333331</v>
      </c>
      <c r="D203" s="1089">
        <f t="shared" si="6"/>
        <v>3.6174083333333331</v>
      </c>
      <c r="E203" s="1092">
        <v>4.0830000000000002</v>
      </c>
      <c r="F203" s="1092">
        <v>3.9369999999999998</v>
      </c>
      <c r="G203" s="1092">
        <v>3.3496000000000001</v>
      </c>
      <c r="H203" s="1092">
        <v>3.4853000000000001</v>
      </c>
      <c r="I203" s="1092">
        <v>3.0848</v>
      </c>
      <c r="J203" s="1092">
        <v>3.2042000000000002</v>
      </c>
      <c r="K203" s="1092">
        <v>3.1377000000000002</v>
      </c>
      <c r="L203" s="1092">
        <v>3.5777000000000001</v>
      </c>
      <c r="M203" s="1092">
        <v>3.77</v>
      </c>
      <c r="N203" s="1092">
        <v>3.9098000000000002</v>
      </c>
      <c r="O203" s="1092">
        <v>3.9510999999999998</v>
      </c>
      <c r="P203" s="1093">
        <v>3.9186999999999999</v>
      </c>
      <c r="Q203" s="943"/>
      <c r="R203" s="943"/>
      <c r="S203" s="943"/>
      <c r="T203" s="943"/>
      <c r="U203" s="943"/>
      <c r="V203" s="943"/>
      <c r="W203" s="943"/>
      <c r="X203" s="943"/>
      <c r="Y203" s="943"/>
      <c r="Z203" s="943"/>
      <c r="AA203" s="943"/>
      <c r="AB203" s="943"/>
      <c r="AC203" s="943"/>
      <c r="AD203" s="943"/>
      <c r="AE203" s="943"/>
    </row>
    <row r="204" spans="1:31" ht="15.75" customHeight="1">
      <c r="A204" s="943"/>
      <c r="B204" s="1094" t="s">
        <v>137</v>
      </c>
      <c r="C204" s="1095">
        <f>+Tabla71324[[#This Row],[Horas pico de sol/dia Prom]]</f>
        <v>4.0376500000000002</v>
      </c>
      <c r="D204" s="1096">
        <f t="shared" si="6"/>
        <v>4.0376500000000002</v>
      </c>
      <c r="E204" s="1097">
        <v>4.6818999999999997</v>
      </c>
      <c r="F204" s="1097">
        <v>4.3127000000000004</v>
      </c>
      <c r="G204" s="1097">
        <v>4.3221999999999996</v>
      </c>
      <c r="H204" s="1097">
        <v>3.7166999999999999</v>
      </c>
      <c r="I204" s="1097">
        <v>3.5059999999999998</v>
      </c>
      <c r="J204" s="1097">
        <v>3.6589</v>
      </c>
      <c r="K204" s="1097">
        <v>3.9173</v>
      </c>
      <c r="L204" s="1097">
        <v>4.1681999999999997</v>
      </c>
      <c r="M204" s="1097">
        <v>3.9478</v>
      </c>
      <c r="N204" s="1097">
        <v>3.9609999999999999</v>
      </c>
      <c r="O204" s="1097">
        <v>4.0176999999999996</v>
      </c>
      <c r="P204" s="1098">
        <v>4.2413999999999996</v>
      </c>
      <c r="Q204" s="943"/>
      <c r="R204" s="943"/>
      <c r="S204" s="943"/>
      <c r="T204" s="943"/>
      <c r="U204" s="943"/>
      <c r="V204" s="943"/>
      <c r="W204" s="943"/>
      <c r="X204" s="943"/>
      <c r="Y204" s="943"/>
      <c r="Z204" s="943"/>
      <c r="AA204" s="943"/>
      <c r="AB204" s="943"/>
      <c r="AC204" s="943"/>
      <c r="AD204" s="943"/>
      <c r="AE204" s="943"/>
    </row>
    <row r="205" spans="1:31" ht="15.75" customHeight="1">
      <c r="A205" s="943"/>
      <c r="B205" s="1087" t="s">
        <v>1058</v>
      </c>
      <c r="C205" s="1088">
        <f>+Tabla71324[[#This Row],[Horas pico de sol/dia Prom]]</f>
        <v>3.7427944946369798</v>
      </c>
      <c r="D205" s="1089">
        <f>SUM(E205:P205)/COUNTA(E205:P205)</f>
        <v>3.7427944946369798</v>
      </c>
      <c r="E205" s="1092">
        <v>3.7490691731770833</v>
      </c>
      <c r="F205" s="1092">
        <v>3.4991943088107638</v>
      </c>
      <c r="G205" s="1092">
        <v>3.4973775770399307</v>
      </c>
      <c r="H205" s="1092">
        <v>3.6688100314670136</v>
      </c>
      <c r="I205" s="1092">
        <v>3.6858173339843754</v>
      </c>
      <c r="J205" s="1092">
        <v>3.7158536376953126</v>
      </c>
      <c r="K205" s="1092">
        <v>3.8974028076171874</v>
      </c>
      <c r="L205" s="1092">
        <v>4.0062673068576391</v>
      </c>
      <c r="M205" s="1092">
        <v>4.1247044372558594</v>
      </c>
      <c r="N205" s="1092">
        <v>3.8888480360243056</v>
      </c>
      <c r="O205" s="1092">
        <v>3.7651754394531247</v>
      </c>
      <c r="P205" s="1093">
        <v>3.4150138462611608</v>
      </c>
      <c r="Q205" s="943"/>
      <c r="R205" s="943"/>
      <c r="S205" s="943"/>
      <c r="T205" s="943"/>
      <c r="U205" s="943"/>
      <c r="V205" s="943"/>
      <c r="W205" s="943"/>
      <c r="X205" s="943"/>
      <c r="Y205" s="943"/>
      <c r="Z205" s="943"/>
      <c r="AA205" s="943"/>
      <c r="AB205" s="943"/>
      <c r="AC205" s="943"/>
      <c r="AD205" s="943"/>
      <c r="AE205" s="943"/>
    </row>
    <row r="206" spans="1:31" ht="15.75" customHeight="1">
      <c r="A206" s="943"/>
      <c r="B206" s="1094" t="s">
        <v>3746</v>
      </c>
      <c r="C206" s="1095">
        <v>4.0999999999999996</v>
      </c>
      <c r="D206" s="1096">
        <v>4.0999999999999996</v>
      </c>
      <c r="E206" s="1097"/>
      <c r="F206" s="1097"/>
      <c r="G206" s="1097"/>
      <c r="H206" s="1097"/>
      <c r="I206" s="1097"/>
      <c r="J206" s="1097"/>
      <c r="K206" s="1097"/>
      <c r="L206" s="1097"/>
      <c r="M206" s="1097"/>
      <c r="N206" s="1097"/>
      <c r="O206" s="1097"/>
      <c r="P206" s="1098"/>
      <c r="Q206" s="943"/>
      <c r="R206" s="943"/>
      <c r="S206" s="943"/>
      <c r="T206" s="943"/>
      <c r="U206" s="943"/>
      <c r="V206" s="943"/>
      <c r="W206" s="943"/>
      <c r="X206" s="943"/>
      <c r="Y206" s="943"/>
      <c r="Z206" s="943"/>
      <c r="AA206" s="943"/>
      <c r="AB206" s="943"/>
      <c r="AC206" s="943"/>
      <c r="AD206" s="943"/>
      <c r="AE206" s="943"/>
    </row>
    <row r="207" spans="1:31" ht="15.75" customHeight="1">
      <c r="A207" s="943"/>
      <c r="B207" s="1094" t="s">
        <v>2624</v>
      </c>
      <c r="C207" s="1095">
        <f>+Tabla71324[[#This Row],[Horas pico de sol/dia Prom]]</f>
        <v>4.08</v>
      </c>
      <c r="D207" s="1096">
        <v>4.08</v>
      </c>
      <c r="E207" s="1097"/>
      <c r="F207" s="1097"/>
      <c r="G207" s="1097"/>
      <c r="H207" s="1097"/>
      <c r="I207" s="1097"/>
      <c r="J207" s="1097"/>
      <c r="K207" s="1097"/>
      <c r="L207" s="1097"/>
      <c r="M207" s="1097"/>
      <c r="N207" s="1097"/>
      <c r="O207" s="1097"/>
      <c r="P207" s="1098"/>
      <c r="Q207" s="943"/>
      <c r="R207" s="943"/>
      <c r="S207" s="943"/>
      <c r="T207" s="943"/>
      <c r="U207" s="943"/>
      <c r="V207" s="943"/>
      <c r="W207" s="943"/>
      <c r="X207" s="943"/>
      <c r="Y207" s="943"/>
      <c r="Z207" s="943"/>
      <c r="AA207" s="943"/>
      <c r="AB207" s="943"/>
      <c r="AC207" s="943"/>
      <c r="AD207" s="943"/>
      <c r="AE207" s="943"/>
    </row>
    <row r="208" spans="1:31" ht="15.75" customHeight="1">
      <c r="A208" s="943"/>
      <c r="B208" s="945"/>
      <c r="C208" s="945"/>
      <c r="D208" s="945"/>
      <c r="E208" s="945"/>
      <c r="F208" s="945"/>
      <c r="G208" s="945"/>
      <c r="H208" s="945"/>
      <c r="I208" s="945"/>
      <c r="J208" s="945"/>
      <c r="K208" s="945"/>
      <c r="L208" s="945"/>
      <c r="M208" s="945"/>
      <c r="N208" s="945"/>
      <c r="O208" s="945"/>
      <c r="P208" s="945"/>
      <c r="Q208" s="943"/>
      <c r="R208" s="943"/>
      <c r="S208" s="943"/>
      <c r="T208" s="943"/>
      <c r="U208" s="943"/>
      <c r="V208" s="943"/>
      <c r="W208" s="943"/>
      <c r="X208" s="943"/>
      <c r="Y208" s="943"/>
      <c r="Z208" s="943"/>
      <c r="AA208" s="943"/>
      <c r="AB208" s="943"/>
      <c r="AC208" s="943"/>
      <c r="AD208" s="943"/>
      <c r="AE208" s="943"/>
    </row>
    <row r="209" spans="1:31" ht="15.75" customHeight="1">
      <c r="A209" s="943"/>
      <c r="B209" s="945"/>
      <c r="C209" s="945"/>
      <c r="D209" s="945"/>
      <c r="E209" s="945"/>
      <c r="F209" s="945"/>
      <c r="G209" s="945"/>
      <c r="H209" s="945"/>
      <c r="I209" s="945"/>
      <c r="J209" s="945"/>
      <c r="K209" s="945"/>
      <c r="L209" s="945"/>
      <c r="M209" s="945"/>
      <c r="N209" s="945"/>
      <c r="O209" s="945"/>
      <c r="P209" s="945"/>
      <c r="Q209" s="943"/>
      <c r="R209" s="943"/>
      <c r="S209" s="943"/>
      <c r="T209" s="943"/>
      <c r="U209" s="943"/>
      <c r="V209" s="943"/>
      <c r="W209" s="943"/>
      <c r="X209" s="943"/>
      <c r="Y209" s="943"/>
      <c r="Z209" s="943"/>
      <c r="AA209" s="943"/>
      <c r="AB209" s="943"/>
      <c r="AC209" s="943"/>
      <c r="AD209" s="943"/>
      <c r="AE209" s="943"/>
    </row>
    <row r="210" spans="1:31" ht="15.75" customHeight="1">
      <c r="A210" s="943"/>
      <c r="B210" s="945"/>
      <c r="C210" s="945"/>
      <c r="D210" s="945"/>
      <c r="E210" s="945"/>
      <c r="F210" s="945"/>
      <c r="G210" s="945"/>
      <c r="H210" s="945"/>
      <c r="I210" s="945"/>
      <c r="J210" s="945"/>
      <c r="K210" s="945"/>
      <c r="L210" s="945"/>
      <c r="M210" s="945"/>
      <c r="N210" s="945"/>
      <c r="O210" s="945"/>
      <c r="P210" s="945"/>
      <c r="Q210" s="943"/>
      <c r="R210" s="943"/>
      <c r="S210" s="943"/>
      <c r="T210" s="943"/>
      <c r="U210" s="943"/>
      <c r="V210" s="943"/>
      <c r="W210" s="943"/>
      <c r="X210" s="943"/>
      <c r="Y210" s="943"/>
      <c r="Z210" s="943"/>
      <c r="AA210" s="943"/>
      <c r="AB210" s="943"/>
      <c r="AC210" s="943"/>
      <c r="AD210" s="943"/>
      <c r="AE210" s="943"/>
    </row>
    <row r="211" spans="1:31" ht="15.75" customHeight="1">
      <c r="A211" s="943"/>
      <c r="B211" s="945"/>
      <c r="C211" s="945"/>
      <c r="D211" s="945"/>
      <c r="E211" s="945"/>
      <c r="F211" s="945"/>
      <c r="G211" s="945"/>
      <c r="H211" s="945"/>
      <c r="I211" s="945"/>
      <c r="J211" s="945"/>
      <c r="K211" s="945"/>
      <c r="L211" s="945"/>
      <c r="M211" s="945"/>
      <c r="N211" s="945"/>
      <c r="O211" s="945"/>
      <c r="P211" s="945"/>
      <c r="Q211" s="943"/>
      <c r="R211" s="943"/>
      <c r="S211" s="943"/>
      <c r="T211" s="943"/>
      <c r="U211" s="943"/>
      <c r="V211" s="943"/>
      <c r="W211" s="943"/>
      <c r="X211" s="943"/>
      <c r="Y211" s="943"/>
      <c r="Z211" s="943"/>
      <c r="AA211" s="943"/>
      <c r="AB211" s="943"/>
      <c r="AC211" s="943"/>
      <c r="AD211" s="943"/>
      <c r="AE211" s="943"/>
    </row>
    <row r="212" spans="1:31" ht="15.75" customHeight="1">
      <c r="A212" s="943"/>
      <c r="B212" s="945"/>
      <c r="C212" s="945"/>
      <c r="D212" s="945"/>
      <c r="E212" s="945"/>
      <c r="F212" s="945"/>
      <c r="G212" s="945"/>
      <c r="H212" s="945"/>
      <c r="I212" s="945"/>
      <c r="J212" s="945"/>
      <c r="K212" s="945"/>
      <c r="L212" s="945"/>
      <c r="M212" s="945"/>
      <c r="N212" s="945"/>
      <c r="O212" s="945"/>
      <c r="P212" s="945"/>
      <c r="Q212" s="943"/>
      <c r="R212" s="943"/>
      <c r="S212" s="943"/>
      <c r="T212" s="943"/>
      <c r="U212" s="943"/>
      <c r="V212" s="943"/>
      <c r="W212" s="943"/>
      <c r="X212" s="943"/>
      <c r="Y212" s="943"/>
      <c r="Z212" s="943"/>
      <c r="AA212" s="943"/>
      <c r="AB212" s="943"/>
      <c r="AC212" s="943"/>
      <c r="AD212" s="943"/>
      <c r="AE212" s="943"/>
    </row>
    <row r="213" spans="1:31" ht="15.75" customHeight="1">
      <c r="A213" s="943"/>
      <c r="B213" s="945"/>
      <c r="C213" s="945"/>
      <c r="D213" s="945"/>
      <c r="E213" s="945"/>
      <c r="F213" s="945"/>
      <c r="G213" s="945"/>
      <c r="H213" s="945"/>
      <c r="I213" s="945"/>
      <c r="J213" s="945"/>
      <c r="K213" s="945"/>
      <c r="L213" s="945"/>
      <c r="M213" s="945"/>
      <c r="N213" s="945"/>
      <c r="O213" s="945"/>
      <c r="P213" s="945"/>
      <c r="Q213" s="943"/>
      <c r="R213" s="943"/>
      <c r="S213" s="943"/>
      <c r="T213" s="943"/>
      <c r="U213" s="943"/>
      <c r="V213" s="943"/>
      <c r="W213" s="943"/>
      <c r="X213" s="943"/>
      <c r="Y213" s="943"/>
      <c r="Z213" s="943"/>
      <c r="AA213" s="943"/>
      <c r="AB213" s="943"/>
      <c r="AC213" s="943"/>
      <c r="AD213" s="943"/>
      <c r="AE213" s="943"/>
    </row>
    <row r="214" spans="1:31" ht="15.75" customHeight="1">
      <c r="A214" s="943"/>
      <c r="B214" s="945"/>
      <c r="C214" s="945"/>
      <c r="D214" s="945"/>
      <c r="E214" s="945"/>
      <c r="F214" s="945"/>
      <c r="G214" s="945"/>
      <c r="H214" s="945"/>
      <c r="I214" s="945"/>
      <c r="J214" s="945"/>
      <c r="K214" s="945"/>
      <c r="L214" s="945"/>
      <c r="M214" s="945"/>
      <c r="N214" s="945"/>
      <c r="O214" s="945"/>
      <c r="P214" s="945"/>
      <c r="Q214" s="943"/>
      <c r="R214" s="943"/>
      <c r="S214" s="943"/>
      <c r="T214" s="943"/>
      <c r="U214" s="943"/>
      <c r="V214" s="943"/>
      <c r="W214" s="943"/>
      <c r="X214" s="943"/>
      <c r="Y214" s="943"/>
      <c r="Z214" s="943"/>
      <c r="AA214" s="943"/>
      <c r="AB214" s="943"/>
      <c r="AC214" s="943"/>
      <c r="AD214" s="943"/>
      <c r="AE214" s="943"/>
    </row>
    <row r="215" spans="1:31" ht="15.75" customHeight="1">
      <c r="A215" s="943"/>
      <c r="B215" s="943"/>
      <c r="C215" s="943"/>
      <c r="D215" s="943"/>
      <c r="E215" s="943"/>
      <c r="F215" s="943"/>
      <c r="G215" s="943"/>
      <c r="H215" s="943"/>
      <c r="I215" s="943"/>
      <c r="J215" s="943"/>
      <c r="K215" s="943"/>
      <c r="L215" s="943"/>
      <c r="M215" s="943"/>
      <c r="N215" s="943"/>
      <c r="O215" s="943"/>
      <c r="P215" s="943"/>
      <c r="Q215" s="943"/>
      <c r="R215" s="943"/>
      <c r="S215" s="943"/>
      <c r="T215" s="943"/>
      <c r="U215" s="943"/>
      <c r="V215" s="943"/>
      <c r="W215" s="943"/>
      <c r="X215" s="943"/>
      <c r="Y215" s="943"/>
      <c r="Z215" s="943"/>
      <c r="AA215" s="943"/>
      <c r="AB215" s="943"/>
      <c r="AC215" s="943"/>
      <c r="AD215" s="943"/>
      <c r="AE215" s="943"/>
    </row>
    <row r="216" spans="1:31" ht="15.75" customHeight="1">
      <c r="A216" s="943"/>
      <c r="B216" s="1099" t="s">
        <v>889</v>
      </c>
      <c r="C216" s="943"/>
      <c r="D216" s="943"/>
      <c r="E216" s="943"/>
      <c r="F216" s="943"/>
      <c r="G216" s="943"/>
      <c r="H216" s="943"/>
      <c r="I216" s="943"/>
      <c r="J216" s="943"/>
      <c r="K216" s="943"/>
      <c r="L216" s="943"/>
      <c r="M216" s="943"/>
      <c r="N216" s="943"/>
      <c r="O216" s="943"/>
      <c r="P216" s="943"/>
      <c r="Q216" s="943"/>
      <c r="R216" s="943"/>
      <c r="S216" s="943"/>
      <c r="T216" s="943"/>
      <c r="U216" s="943"/>
      <c r="V216" s="943"/>
      <c r="W216" s="943"/>
      <c r="X216" s="943"/>
      <c r="Y216" s="943"/>
      <c r="Z216" s="943"/>
      <c r="AA216" s="943"/>
      <c r="AB216" s="943"/>
      <c r="AC216" s="943"/>
      <c r="AD216" s="943"/>
      <c r="AE216" s="943"/>
    </row>
    <row r="217" spans="1:31" ht="15.75" customHeight="1">
      <c r="A217" s="943"/>
      <c r="B217" s="1100" t="s">
        <v>61</v>
      </c>
      <c r="C217" s="1101" t="s">
        <v>62</v>
      </c>
      <c r="D217" s="943"/>
      <c r="E217" s="943"/>
      <c r="F217" s="943"/>
      <c r="G217" s="943"/>
      <c r="H217" s="943"/>
      <c r="I217" s="943"/>
      <c r="J217" s="943"/>
      <c r="K217" s="943"/>
      <c r="L217" s="943"/>
      <c r="M217" s="943"/>
      <c r="N217" s="943"/>
      <c r="O217" s="943"/>
      <c r="P217" s="943"/>
      <c r="Q217" s="943"/>
      <c r="R217" s="943"/>
      <c r="S217" s="943"/>
      <c r="T217" s="943"/>
      <c r="U217" s="943"/>
      <c r="V217" s="943"/>
      <c r="W217" s="943"/>
      <c r="X217" s="943"/>
      <c r="Y217" s="943"/>
      <c r="Z217" s="943"/>
      <c r="AA217" s="943"/>
      <c r="AB217" s="943"/>
      <c r="AC217" s="943"/>
      <c r="AD217" s="943"/>
      <c r="AE217" s="943"/>
    </row>
    <row r="218" spans="1:31" ht="15.75" customHeight="1">
      <c r="A218" s="943"/>
      <c r="B218" s="1102" t="s">
        <v>890</v>
      </c>
      <c r="C218" s="1103">
        <v>600000</v>
      </c>
      <c r="D218" s="943"/>
      <c r="E218" s="943"/>
      <c r="F218" s="943"/>
      <c r="G218" s="943"/>
      <c r="H218" s="943"/>
      <c r="I218" s="943"/>
      <c r="J218" s="943"/>
      <c r="K218" s="943"/>
      <c r="L218" s="943"/>
      <c r="M218" s="943"/>
      <c r="N218" s="943"/>
      <c r="O218" s="943"/>
      <c r="P218" s="943"/>
      <c r="Q218" s="943"/>
      <c r="R218" s="943"/>
      <c r="S218" s="943"/>
      <c r="T218" s="943"/>
      <c r="U218" s="943"/>
      <c r="V218" s="943"/>
      <c r="W218" s="943"/>
      <c r="X218" s="943"/>
      <c r="Y218" s="943"/>
      <c r="Z218" s="943"/>
      <c r="AA218" s="943"/>
      <c r="AB218" s="943"/>
      <c r="AC218" s="943"/>
      <c r="AD218" s="943"/>
      <c r="AE218" s="943"/>
    </row>
    <row r="219" spans="1:31" ht="15.75" customHeight="1">
      <c r="A219" s="943"/>
      <c r="B219" s="1102" t="s">
        <v>891</v>
      </c>
      <c r="C219" s="1103">
        <v>931908.71369294601</v>
      </c>
      <c r="D219" s="943"/>
      <c r="E219" s="943"/>
      <c r="F219" s="943"/>
      <c r="G219" s="943"/>
      <c r="H219" s="943"/>
      <c r="I219" s="943"/>
      <c r="J219" s="943"/>
      <c r="K219" s="943"/>
      <c r="L219" s="943"/>
      <c r="M219" s="943"/>
      <c r="N219" s="943"/>
      <c r="O219" s="943"/>
      <c r="P219" s="943"/>
      <c r="Q219" s="943"/>
      <c r="R219" s="943"/>
      <c r="S219" s="943"/>
      <c r="T219" s="943"/>
      <c r="U219" s="943"/>
      <c r="V219" s="943"/>
      <c r="W219" s="943"/>
      <c r="X219" s="943"/>
      <c r="Y219" s="943"/>
      <c r="Z219" s="943"/>
      <c r="AA219" s="943"/>
      <c r="AB219" s="943"/>
      <c r="AC219" s="943"/>
      <c r="AD219" s="943"/>
      <c r="AE219" s="943"/>
    </row>
    <row r="220" spans="1:31" ht="15.75" customHeight="1">
      <c r="A220" s="943"/>
      <c r="B220" s="1104" t="s">
        <v>893</v>
      </c>
      <c r="C220" s="1105">
        <f>312.35*3700</f>
        <v>1155695</v>
      </c>
      <c r="D220" s="943"/>
      <c r="E220" s="943"/>
      <c r="F220" s="943"/>
      <c r="G220" s="943"/>
      <c r="H220" s="943"/>
      <c r="I220" s="943"/>
      <c r="J220" s="943"/>
      <c r="K220" s="943"/>
      <c r="L220" s="943"/>
      <c r="M220" s="943"/>
      <c r="N220" s="943"/>
      <c r="O220" s="943"/>
      <c r="P220" s="943"/>
      <c r="Q220" s="943"/>
      <c r="R220" s="943"/>
      <c r="S220" s="943"/>
      <c r="T220" s="943"/>
      <c r="U220" s="943"/>
      <c r="V220" s="943"/>
      <c r="W220" s="943"/>
      <c r="X220" s="943"/>
      <c r="Y220" s="943"/>
      <c r="Z220" s="943"/>
      <c r="AA220" s="943"/>
      <c r="AB220" s="943"/>
      <c r="AC220" s="943"/>
      <c r="AD220" s="943"/>
      <c r="AE220" s="943"/>
    </row>
    <row r="221" spans="1:31" ht="15.75" customHeight="1">
      <c r="A221" s="943"/>
      <c r="B221" s="948"/>
      <c r="C221" s="1079"/>
      <c r="D221" s="943"/>
      <c r="E221" s="943"/>
      <c r="F221" s="943"/>
      <c r="G221" s="943"/>
      <c r="H221" s="943"/>
      <c r="I221" s="943"/>
      <c r="J221" s="943"/>
      <c r="K221" s="943"/>
      <c r="L221" s="943"/>
      <c r="M221" s="943"/>
      <c r="N221" s="943"/>
      <c r="O221" s="943"/>
      <c r="P221" s="943"/>
      <c r="Q221" s="943"/>
      <c r="R221" s="943"/>
      <c r="S221" s="943"/>
      <c r="T221" s="943"/>
      <c r="U221" s="943"/>
      <c r="V221" s="943"/>
      <c r="W221" s="943"/>
      <c r="X221" s="943"/>
      <c r="Y221" s="943"/>
      <c r="Z221" s="943"/>
      <c r="AA221" s="943"/>
      <c r="AB221" s="943"/>
      <c r="AC221" s="943"/>
      <c r="AD221" s="943"/>
      <c r="AE221" s="943"/>
    </row>
    <row r="222" spans="1:31" ht="15.75" customHeight="1">
      <c r="A222" s="943"/>
      <c r="B222" s="948"/>
      <c r="C222" s="1079"/>
      <c r="D222" s="943"/>
      <c r="E222" s="943"/>
      <c r="F222" s="943"/>
      <c r="G222" s="943"/>
      <c r="H222" s="943"/>
      <c r="I222" s="943"/>
      <c r="J222" s="943"/>
      <c r="K222" s="943"/>
      <c r="L222" s="943"/>
      <c r="M222" s="943"/>
      <c r="N222" s="943"/>
      <c r="O222" s="943"/>
      <c r="P222" s="943"/>
      <c r="Q222" s="943"/>
      <c r="R222" s="943"/>
      <c r="S222" s="943"/>
      <c r="T222" s="943"/>
      <c r="U222" s="943"/>
      <c r="V222" s="943"/>
      <c r="W222" s="943"/>
      <c r="X222" s="943"/>
      <c r="Y222" s="943"/>
      <c r="Z222" s="943"/>
      <c r="AA222" s="943"/>
      <c r="AB222" s="943"/>
      <c r="AC222" s="943"/>
      <c r="AD222" s="943"/>
      <c r="AE222" s="943"/>
    </row>
    <row r="223" spans="1:31" ht="15.75" customHeight="1">
      <c r="A223" s="943"/>
      <c r="B223" s="948"/>
      <c r="C223" s="1079"/>
      <c r="D223" s="943"/>
      <c r="E223" s="943"/>
      <c r="F223" s="943"/>
      <c r="G223" s="943"/>
      <c r="H223" s="943"/>
      <c r="I223" s="943"/>
      <c r="J223" s="943"/>
      <c r="K223" s="943"/>
      <c r="L223" s="943"/>
      <c r="M223" s="943"/>
      <c r="N223" s="943"/>
      <c r="O223" s="943"/>
      <c r="P223" s="943"/>
      <c r="Q223" s="943"/>
      <c r="R223" s="943"/>
      <c r="S223" s="943"/>
      <c r="T223" s="943"/>
      <c r="U223" s="943"/>
      <c r="V223" s="943"/>
      <c r="W223" s="943"/>
      <c r="X223" s="943"/>
      <c r="Y223" s="943"/>
      <c r="Z223" s="943"/>
      <c r="AA223" s="943"/>
      <c r="AB223" s="943"/>
      <c r="AC223" s="943"/>
      <c r="AD223" s="943"/>
      <c r="AE223" s="943"/>
    </row>
    <row r="224" spans="1:31" ht="15.75" customHeight="1">
      <c r="A224" s="943"/>
      <c r="B224" s="948"/>
      <c r="C224" s="1079"/>
      <c r="D224" s="943"/>
      <c r="E224" s="943"/>
      <c r="F224" s="943"/>
      <c r="G224" s="943"/>
      <c r="H224" s="943"/>
      <c r="I224" s="943"/>
      <c r="J224" s="943"/>
      <c r="K224" s="943"/>
      <c r="L224" s="943"/>
      <c r="M224" s="943"/>
      <c r="N224" s="943"/>
      <c r="O224" s="943"/>
      <c r="P224" s="943"/>
      <c r="Q224" s="943"/>
      <c r="R224" s="943"/>
      <c r="S224" s="943"/>
      <c r="T224" s="943"/>
      <c r="U224" s="943"/>
      <c r="V224" s="943"/>
      <c r="W224" s="943"/>
      <c r="X224" s="943"/>
      <c r="Y224" s="943"/>
      <c r="Z224" s="943"/>
      <c r="AA224" s="943"/>
      <c r="AB224" s="943"/>
      <c r="AC224" s="943"/>
      <c r="AD224" s="943"/>
      <c r="AE224" s="943"/>
    </row>
    <row r="225" spans="1:31" ht="15.75" customHeight="1">
      <c r="A225" s="943"/>
      <c r="B225" s="948"/>
      <c r="C225" s="1079"/>
      <c r="D225" s="943"/>
      <c r="E225" s="943"/>
      <c r="F225" s="943"/>
      <c r="G225" s="943"/>
      <c r="H225" s="943"/>
      <c r="I225" s="943"/>
      <c r="J225" s="943"/>
      <c r="K225" s="943"/>
      <c r="L225" s="943"/>
      <c r="M225" s="943"/>
      <c r="N225" s="943"/>
      <c r="O225" s="943"/>
      <c r="P225" s="943"/>
      <c r="Q225" s="943"/>
      <c r="R225" s="943"/>
      <c r="S225" s="943"/>
      <c r="T225" s="943"/>
      <c r="U225" s="943"/>
      <c r="V225" s="943"/>
      <c r="W225" s="943"/>
      <c r="X225" s="943"/>
      <c r="Y225" s="943"/>
      <c r="Z225" s="943"/>
      <c r="AA225" s="943"/>
      <c r="AB225" s="943"/>
      <c r="AC225" s="943"/>
      <c r="AD225" s="943"/>
      <c r="AE225" s="943"/>
    </row>
    <row r="226" spans="1:31" ht="15.75" customHeight="1">
      <c r="A226" s="943"/>
      <c r="B226" s="943"/>
      <c r="C226" s="943"/>
      <c r="D226" s="943"/>
      <c r="E226" s="943"/>
      <c r="F226" s="943"/>
      <c r="G226" s="943"/>
      <c r="H226" s="943"/>
      <c r="I226" s="943"/>
      <c r="J226" s="943"/>
      <c r="K226" s="943"/>
      <c r="L226" s="943"/>
      <c r="M226" s="943"/>
      <c r="N226" s="943"/>
      <c r="O226" s="943"/>
      <c r="P226" s="943"/>
      <c r="Q226" s="943"/>
      <c r="R226" s="943"/>
      <c r="S226" s="943"/>
      <c r="T226" s="943"/>
      <c r="U226" s="943"/>
      <c r="V226" s="943"/>
      <c r="W226" s="943"/>
      <c r="X226" s="943"/>
      <c r="Y226" s="943"/>
      <c r="Z226" s="943"/>
      <c r="AA226" s="943"/>
      <c r="AB226" s="943"/>
      <c r="AC226" s="943"/>
      <c r="AD226" s="943"/>
      <c r="AE226" s="943"/>
    </row>
    <row r="227" spans="1:31" ht="15.75" customHeight="1">
      <c r="A227" s="943"/>
      <c r="B227" s="943" t="s">
        <v>199</v>
      </c>
      <c r="C227" s="943"/>
      <c r="D227" s="943"/>
      <c r="E227" s="943"/>
      <c r="F227" s="943"/>
      <c r="G227" s="943"/>
      <c r="H227" s="943"/>
      <c r="I227" s="943"/>
      <c r="J227" s="943"/>
      <c r="K227" s="943"/>
      <c r="L227" s="943"/>
      <c r="M227" s="943"/>
      <c r="N227" s="943"/>
      <c r="O227" s="943"/>
      <c r="P227" s="943"/>
      <c r="Q227" s="943"/>
      <c r="R227" s="943"/>
      <c r="S227" s="943"/>
      <c r="T227" s="943"/>
      <c r="U227" s="943"/>
      <c r="V227" s="943"/>
      <c r="W227" s="943"/>
      <c r="X227" s="943"/>
      <c r="Y227" s="943"/>
      <c r="Z227" s="943"/>
      <c r="AA227" s="943"/>
      <c r="AB227" s="943"/>
      <c r="AC227" s="943"/>
      <c r="AD227" s="943"/>
      <c r="AE227" s="943"/>
    </row>
    <row r="228" spans="1:31" ht="15.75" customHeight="1">
      <c r="A228" s="943"/>
      <c r="B228" s="943" t="s">
        <v>27</v>
      </c>
      <c r="C228" s="943" t="s">
        <v>194</v>
      </c>
      <c r="D228" s="943" t="s">
        <v>903</v>
      </c>
      <c r="E228" s="943" t="s">
        <v>901</v>
      </c>
      <c r="F228" s="943" t="s">
        <v>902</v>
      </c>
      <c r="G228" s="943" t="s">
        <v>904</v>
      </c>
      <c r="H228" s="943"/>
      <c r="I228" s="943"/>
      <c r="J228" s="943"/>
      <c r="K228" s="943"/>
      <c r="L228" s="943"/>
      <c r="M228" s="943"/>
      <c r="N228" s="943"/>
      <c r="O228" s="943"/>
      <c r="P228" s="943"/>
      <c r="Q228" s="943"/>
      <c r="R228" s="943"/>
      <c r="S228" s="943"/>
      <c r="T228" s="943"/>
      <c r="U228" s="943"/>
      <c r="V228" s="943"/>
      <c r="W228" s="943"/>
      <c r="X228" s="943"/>
      <c r="Y228" s="943"/>
      <c r="Z228" s="943"/>
      <c r="AA228" s="943"/>
      <c r="AB228" s="943"/>
      <c r="AC228" s="943"/>
      <c r="AD228" s="943"/>
      <c r="AE228" s="943"/>
    </row>
    <row r="229" spans="1:31" ht="15.75" customHeight="1">
      <c r="A229" s="943"/>
      <c r="B229" s="943" t="s">
        <v>896</v>
      </c>
      <c r="C229" s="943">
        <v>925895</v>
      </c>
      <c r="D229" s="943">
        <f>345*E229</f>
        <v>2760</v>
      </c>
      <c r="E229" s="943">
        <v>8</v>
      </c>
      <c r="F229" s="1106">
        <f>C229/E229</f>
        <v>115736.875</v>
      </c>
      <c r="G229" s="1106">
        <f>C229/D229</f>
        <v>335.46920289855075</v>
      </c>
      <c r="H229" s="943"/>
      <c r="I229" s="943"/>
      <c r="J229" s="943"/>
      <c r="K229" s="943"/>
      <c r="L229" s="943"/>
      <c r="M229" s="943"/>
      <c r="N229" s="943"/>
      <c r="O229" s="943"/>
      <c r="P229" s="943"/>
      <c r="Q229" s="943"/>
      <c r="R229" s="943"/>
      <c r="S229" s="943"/>
      <c r="T229" s="943"/>
      <c r="U229" s="943"/>
      <c r="V229" s="943"/>
      <c r="W229" s="943"/>
      <c r="X229" s="943"/>
      <c r="Y229" s="943"/>
      <c r="Z229" s="943"/>
      <c r="AA229" s="943"/>
      <c r="AB229" s="943"/>
      <c r="AC229" s="943"/>
      <c r="AD229" s="943"/>
      <c r="AE229" s="943"/>
    </row>
    <row r="230" spans="1:31" ht="15.75" customHeight="1">
      <c r="A230" s="943"/>
      <c r="B230" s="943" t="s">
        <v>897</v>
      </c>
      <c r="C230" s="943">
        <v>1220000</v>
      </c>
      <c r="D230" s="943">
        <f>345*E230</f>
        <v>3450</v>
      </c>
      <c r="E230" s="943">
        <v>10</v>
      </c>
      <c r="F230" s="1106">
        <f>C230/E230</f>
        <v>122000</v>
      </c>
      <c r="G230" s="1106">
        <f>C230/D230</f>
        <v>353.62318840579712</v>
      </c>
      <c r="H230" s="943"/>
      <c r="I230" s="943"/>
      <c r="J230" s="943"/>
      <c r="K230" s="943"/>
      <c r="L230" s="943"/>
      <c r="M230" s="943"/>
      <c r="N230" s="943"/>
      <c r="O230" s="943"/>
      <c r="P230" s="943"/>
      <c r="Q230" s="943"/>
      <c r="R230" s="943"/>
      <c r="S230" s="943"/>
      <c r="T230" s="943"/>
      <c r="U230" s="943"/>
      <c r="V230" s="943"/>
      <c r="W230" s="943"/>
      <c r="X230" s="943"/>
      <c r="Y230" s="943"/>
      <c r="Z230" s="943"/>
      <c r="AA230" s="943"/>
      <c r="AB230" s="943"/>
      <c r="AC230" s="943"/>
      <c r="AD230" s="943"/>
      <c r="AE230" s="943"/>
    </row>
    <row r="231" spans="1:31" ht="15.75" customHeight="1">
      <c r="A231" s="943"/>
      <c r="B231" s="943" t="s">
        <v>898</v>
      </c>
      <c r="C231" s="943">
        <f>2300000+4100*50</f>
        <v>2505000</v>
      </c>
      <c r="D231" s="943">
        <f>400*E231</f>
        <v>12800</v>
      </c>
      <c r="E231" s="943">
        <v>32</v>
      </c>
      <c r="F231" s="1106">
        <f>C231/E231</f>
        <v>78281.25</v>
      </c>
      <c r="G231" s="1106">
        <f>C231/D231</f>
        <v>195.703125</v>
      </c>
      <c r="H231" s="943"/>
      <c r="I231" s="943"/>
      <c r="J231" s="943"/>
      <c r="K231" s="943"/>
      <c r="L231" s="943"/>
      <c r="M231" s="943"/>
      <c r="N231" s="943"/>
      <c r="O231" s="943"/>
      <c r="P231" s="943"/>
      <c r="Q231" s="943"/>
      <c r="R231" s="943"/>
      <c r="S231" s="943"/>
      <c r="T231" s="943"/>
      <c r="U231" s="943"/>
      <c r="V231" s="943"/>
      <c r="W231" s="943"/>
      <c r="X231" s="943"/>
      <c r="Y231" s="943"/>
      <c r="Z231" s="943"/>
      <c r="AA231" s="943"/>
      <c r="AB231" s="943"/>
      <c r="AC231" s="943"/>
      <c r="AD231" s="943"/>
      <c r="AE231" s="943"/>
    </row>
    <row r="232" spans="1:31" ht="15.75" customHeight="1">
      <c r="A232" s="943"/>
      <c r="B232" s="943" t="s">
        <v>899</v>
      </c>
      <c r="C232" s="943">
        <v>993888</v>
      </c>
      <c r="D232" s="943">
        <f>400*E232</f>
        <v>2400</v>
      </c>
      <c r="E232" s="943">
        <v>6</v>
      </c>
      <c r="F232" s="1106">
        <f>C232/E232</f>
        <v>165648</v>
      </c>
      <c r="G232" s="1106">
        <f>C232/D232</f>
        <v>414.12</v>
      </c>
      <c r="H232" s="943"/>
      <c r="I232" s="943"/>
      <c r="J232" s="943"/>
      <c r="K232" s="943"/>
      <c r="L232" s="943"/>
      <c r="M232" s="943"/>
      <c r="N232" s="943"/>
      <c r="O232" s="943"/>
      <c r="P232" s="943"/>
      <c r="Q232" s="943"/>
      <c r="R232" s="943"/>
      <c r="S232" s="943"/>
      <c r="T232" s="943"/>
      <c r="U232" s="943"/>
      <c r="V232" s="943"/>
      <c r="W232" s="943"/>
      <c r="X232" s="943"/>
      <c r="Y232" s="943"/>
      <c r="Z232" s="943"/>
      <c r="AA232" s="943"/>
      <c r="AB232" s="943"/>
      <c r="AC232" s="943"/>
      <c r="AD232" s="943"/>
      <c r="AE232" s="943"/>
    </row>
    <row r="233" spans="1:31" ht="15.75" customHeight="1">
      <c r="A233" s="943"/>
      <c r="B233" s="943" t="s">
        <v>900</v>
      </c>
      <c r="C233" s="943">
        <v>1729813</v>
      </c>
      <c r="D233" s="943">
        <f>345*E233</f>
        <v>2760</v>
      </c>
      <c r="E233" s="943">
        <v>8</v>
      </c>
      <c r="F233" s="1106">
        <f>C233/E233</f>
        <v>216226.625</v>
      </c>
      <c r="G233" s="1106">
        <f>C233/D233</f>
        <v>626.7438405797102</v>
      </c>
      <c r="H233" s="943"/>
      <c r="I233" s="943"/>
      <c r="J233" s="943"/>
      <c r="K233" s="943"/>
      <c r="L233" s="943"/>
      <c r="M233" s="943"/>
      <c r="N233" s="943"/>
      <c r="O233" s="943"/>
      <c r="P233" s="943"/>
      <c r="Q233" s="943"/>
      <c r="R233" s="943"/>
      <c r="S233" s="943"/>
      <c r="T233" s="943"/>
      <c r="U233" s="943"/>
      <c r="V233" s="943"/>
      <c r="W233" s="943"/>
      <c r="X233" s="943"/>
      <c r="Y233" s="943"/>
      <c r="Z233" s="943"/>
      <c r="AA233" s="943"/>
      <c r="AB233" s="943"/>
      <c r="AC233" s="943"/>
      <c r="AD233" s="943"/>
      <c r="AE233" s="943"/>
    </row>
    <row r="234" spans="1:31" ht="15.75" customHeight="1">
      <c r="A234" s="943"/>
      <c r="B234" s="943"/>
      <c r="C234" s="943"/>
      <c r="D234" s="943"/>
      <c r="E234" s="943" t="s">
        <v>905</v>
      </c>
      <c r="F234" s="1106">
        <f>AVERAGE(F229:F233)</f>
        <v>139578.54999999999</v>
      </c>
      <c r="G234" s="1106">
        <f>AVERAGE(G229:G233)</f>
        <v>385.1318713768116</v>
      </c>
      <c r="H234" s="943"/>
      <c r="I234" s="943"/>
      <c r="J234" s="943"/>
      <c r="K234" s="943"/>
      <c r="L234" s="943"/>
      <c r="M234" s="943"/>
      <c r="N234" s="943"/>
      <c r="O234" s="943"/>
      <c r="P234" s="943"/>
      <c r="Q234" s="943"/>
      <c r="R234" s="943"/>
      <c r="S234" s="943"/>
      <c r="T234" s="943"/>
      <c r="U234" s="943"/>
      <c r="V234" s="943"/>
      <c r="W234" s="943"/>
      <c r="X234" s="943"/>
      <c r="Y234" s="943"/>
      <c r="Z234" s="943"/>
      <c r="AA234" s="943"/>
      <c r="AB234" s="943"/>
      <c r="AC234" s="943"/>
      <c r="AD234" s="943"/>
      <c r="AE234" s="943"/>
    </row>
    <row r="235" spans="1:31" ht="15.75" customHeight="1">
      <c r="A235" s="943"/>
      <c r="B235" s="943"/>
      <c r="C235" s="943"/>
      <c r="D235" s="943"/>
      <c r="E235" s="943"/>
      <c r="F235" s="943"/>
      <c r="G235" s="943"/>
      <c r="H235" s="943"/>
      <c r="I235" s="943"/>
      <c r="J235" s="943"/>
      <c r="K235" s="943"/>
      <c r="L235" s="943"/>
      <c r="M235" s="943"/>
      <c r="N235" s="943"/>
      <c r="O235" s="943"/>
      <c r="P235" s="943"/>
      <c r="Q235" s="943"/>
      <c r="R235" s="943"/>
      <c r="S235" s="943"/>
      <c r="T235" s="943"/>
      <c r="U235" s="943"/>
      <c r="V235" s="943"/>
      <c r="W235" s="943"/>
      <c r="X235" s="943"/>
      <c r="Y235" s="943"/>
      <c r="Z235" s="943"/>
      <c r="AA235" s="943"/>
      <c r="AB235" s="943"/>
      <c r="AC235" s="943"/>
      <c r="AD235" s="943"/>
      <c r="AE235" s="943"/>
    </row>
    <row r="236" spans="1:31" ht="15.75" customHeight="1">
      <c r="A236" s="943"/>
      <c r="B236" s="943"/>
      <c r="C236" s="943"/>
      <c r="D236" s="943"/>
      <c r="E236" s="943"/>
      <c r="F236" s="943"/>
      <c r="G236" s="943"/>
      <c r="H236" s="943"/>
      <c r="I236" s="943"/>
      <c r="J236" s="943"/>
      <c r="K236" s="943"/>
      <c r="L236" s="943"/>
      <c r="M236" s="943"/>
      <c r="N236" s="943"/>
      <c r="O236" s="943"/>
      <c r="P236" s="943"/>
      <c r="Q236" s="943"/>
      <c r="R236" s="943"/>
      <c r="S236" s="943"/>
      <c r="T236" s="943"/>
      <c r="U236" s="943"/>
      <c r="V236" s="943"/>
      <c r="W236" s="943"/>
      <c r="X236" s="943"/>
      <c r="Y236" s="943"/>
      <c r="Z236" s="943"/>
      <c r="AA236" s="943"/>
      <c r="AB236" s="943"/>
      <c r="AC236" s="943"/>
      <c r="AD236" s="943"/>
      <c r="AE236" s="943"/>
    </row>
    <row r="237" spans="1:31" ht="15.75" customHeight="1">
      <c r="A237" s="943"/>
      <c r="B237" s="943"/>
      <c r="C237" s="943"/>
      <c r="D237" s="943"/>
      <c r="E237" s="943">
        <v>8</v>
      </c>
      <c r="F237" s="1106">
        <f>(F233+F229)/2</f>
        <v>165981.75</v>
      </c>
      <c r="G237" s="943"/>
      <c r="H237" s="943"/>
      <c r="I237" s="943"/>
      <c r="J237" s="943"/>
      <c r="K237" s="943"/>
      <c r="L237" s="943"/>
      <c r="M237" s="943"/>
      <c r="N237" s="943"/>
      <c r="O237" s="943"/>
      <c r="P237" s="943"/>
      <c r="Q237" s="943"/>
      <c r="R237" s="943"/>
      <c r="S237" s="943"/>
      <c r="T237" s="943"/>
      <c r="U237" s="943"/>
      <c r="V237" s="943"/>
      <c r="W237" s="943"/>
      <c r="X237" s="943"/>
      <c r="Y237" s="943"/>
      <c r="Z237" s="943"/>
      <c r="AA237" s="943"/>
      <c r="AB237" s="943"/>
      <c r="AC237" s="943"/>
      <c r="AD237" s="943"/>
      <c r="AE237" s="943"/>
    </row>
    <row r="238" spans="1:31" ht="15.75" customHeight="1">
      <c r="A238" s="943"/>
      <c r="B238" s="943"/>
      <c r="C238" s="943"/>
      <c r="D238" s="943"/>
      <c r="E238" s="943">
        <v>32</v>
      </c>
      <c r="F238" s="943">
        <v>78281.25</v>
      </c>
      <c r="G238" s="943"/>
      <c r="H238" s="943"/>
      <c r="I238" s="943"/>
      <c r="J238" s="943"/>
      <c r="K238" s="943"/>
      <c r="L238" s="943"/>
      <c r="M238" s="943"/>
      <c r="N238" s="943"/>
      <c r="O238" s="943"/>
      <c r="P238" s="943"/>
      <c r="Q238" s="943"/>
      <c r="R238" s="943"/>
      <c r="S238" s="943"/>
      <c r="T238" s="943"/>
      <c r="U238" s="943"/>
      <c r="V238" s="943"/>
      <c r="W238" s="943"/>
      <c r="X238" s="943"/>
      <c r="Y238" s="943"/>
      <c r="Z238" s="943"/>
      <c r="AA238" s="943"/>
      <c r="AB238" s="943"/>
      <c r="AC238" s="943"/>
      <c r="AD238" s="943"/>
      <c r="AE238" s="943"/>
    </row>
    <row r="239" spans="1:31" ht="15.75" customHeight="1">
      <c r="A239" s="943"/>
      <c r="B239" s="943"/>
      <c r="C239" s="943"/>
      <c r="D239" s="943"/>
      <c r="E239" s="943"/>
      <c r="F239" s="943"/>
      <c r="G239" s="943"/>
      <c r="H239" s="943"/>
      <c r="I239" s="943"/>
      <c r="J239" s="943"/>
      <c r="K239" s="943"/>
      <c r="L239" s="943"/>
      <c r="M239" s="943"/>
      <c r="N239" s="943"/>
      <c r="O239" s="943"/>
      <c r="P239" s="943"/>
      <c r="Q239" s="943"/>
      <c r="R239" s="943"/>
      <c r="S239" s="943"/>
      <c r="T239" s="943"/>
      <c r="U239" s="943"/>
      <c r="V239" s="943"/>
      <c r="W239" s="943"/>
      <c r="X239" s="943"/>
      <c r="Y239" s="943"/>
      <c r="Z239" s="943"/>
      <c r="AA239" s="943"/>
      <c r="AB239" s="943"/>
      <c r="AC239" s="943"/>
      <c r="AD239" s="943"/>
      <c r="AE239" s="943"/>
    </row>
    <row r="240" spans="1:31" ht="15.75" customHeight="1">
      <c r="A240" s="943"/>
      <c r="B240" s="943"/>
      <c r="C240" s="943"/>
      <c r="D240" s="943"/>
      <c r="E240" s="943"/>
      <c r="F240" s="943"/>
      <c r="G240" s="943"/>
      <c r="H240" s="943"/>
      <c r="I240" s="943"/>
      <c r="J240" s="943"/>
      <c r="K240" s="943"/>
      <c r="L240" s="943"/>
      <c r="M240" s="943"/>
      <c r="N240" s="943"/>
      <c r="O240" s="943"/>
      <c r="P240" s="943"/>
      <c r="Q240" s="943"/>
      <c r="R240" s="943"/>
      <c r="S240" s="943"/>
      <c r="T240" s="943"/>
      <c r="U240" s="943"/>
      <c r="V240" s="943"/>
      <c r="W240" s="943"/>
      <c r="X240" s="943"/>
      <c r="Y240" s="943"/>
      <c r="Z240" s="943"/>
      <c r="AA240" s="943"/>
      <c r="AB240" s="943"/>
      <c r="AC240" s="943"/>
      <c r="AD240" s="943"/>
      <c r="AE240" s="943"/>
    </row>
    <row r="241" spans="1:31" ht="15.75" customHeight="1">
      <c r="A241" s="943"/>
      <c r="B241" s="943"/>
      <c r="C241" s="943"/>
      <c r="D241" s="943"/>
      <c r="E241" s="943"/>
      <c r="F241" s="943"/>
      <c r="G241" s="943"/>
      <c r="H241" s="943"/>
      <c r="I241" s="943"/>
      <c r="J241" s="943"/>
      <c r="K241" s="943"/>
      <c r="L241" s="943"/>
      <c r="M241" s="943"/>
      <c r="N241" s="943"/>
      <c r="O241" s="943"/>
      <c r="P241" s="943"/>
      <c r="Q241" s="943"/>
      <c r="R241" s="943"/>
      <c r="S241" s="943"/>
      <c r="T241" s="943"/>
      <c r="U241" s="943"/>
      <c r="V241" s="943"/>
      <c r="W241" s="943"/>
      <c r="X241" s="943"/>
      <c r="Y241" s="943"/>
      <c r="Z241" s="943"/>
      <c r="AA241" s="943"/>
      <c r="AB241" s="943"/>
      <c r="AC241" s="943"/>
      <c r="AD241" s="943"/>
      <c r="AE241" s="943"/>
    </row>
    <row r="242" spans="1:31" ht="15.75" customHeight="1">
      <c r="A242" s="943"/>
      <c r="B242" s="943"/>
      <c r="C242" s="943"/>
      <c r="D242" s="943"/>
      <c r="E242" s="943"/>
      <c r="F242" s="943"/>
      <c r="G242" s="943"/>
      <c r="H242" s="943"/>
      <c r="I242" s="943"/>
      <c r="J242" s="943"/>
      <c r="K242" s="943"/>
      <c r="L242" s="943"/>
      <c r="M242" s="943"/>
      <c r="N242" s="943"/>
      <c r="O242" s="943"/>
      <c r="P242" s="943"/>
      <c r="Q242" s="943"/>
      <c r="R242" s="943"/>
      <c r="S242" s="943"/>
      <c r="T242" s="943"/>
      <c r="U242" s="943"/>
      <c r="V242" s="943"/>
      <c r="W242" s="943"/>
      <c r="X242" s="943"/>
      <c r="Y242" s="943"/>
      <c r="Z242" s="943"/>
      <c r="AA242" s="943"/>
      <c r="AB242" s="943"/>
      <c r="AC242" s="943"/>
      <c r="AD242" s="943"/>
      <c r="AE242" s="943"/>
    </row>
    <row r="243" spans="1:31" ht="15.75" customHeight="1">
      <c r="A243" s="943"/>
      <c r="B243" s="943"/>
      <c r="C243" s="943"/>
      <c r="D243" s="943"/>
      <c r="E243" s="943"/>
      <c r="F243" s="943"/>
      <c r="G243" s="943"/>
      <c r="H243" s="943"/>
      <c r="I243" s="943"/>
      <c r="J243" s="943"/>
      <c r="K243" s="943"/>
      <c r="L243" s="943"/>
      <c r="M243" s="943"/>
      <c r="N243" s="943"/>
      <c r="O243" s="943"/>
      <c r="P243" s="943"/>
      <c r="Q243" s="943"/>
      <c r="R243" s="943"/>
      <c r="S243" s="943"/>
      <c r="T243" s="943"/>
      <c r="U243" s="943"/>
      <c r="V243" s="943"/>
      <c r="W243" s="943"/>
      <c r="X243" s="943"/>
      <c r="Y243" s="943"/>
      <c r="Z243" s="943"/>
      <c r="AA243" s="943"/>
      <c r="AB243" s="943"/>
      <c r="AC243" s="943"/>
      <c r="AD243" s="943"/>
      <c r="AE243" s="943"/>
    </row>
    <row r="244" spans="1:31" ht="15.75" customHeight="1">
      <c r="A244" s="943"/>
      <c r="B244" s="943"/>
      <c r="C244" s="943"/>
      <c r="D244" s="943"/>
      <c r="E244" s="943"/>
      <c r="F244" s="943"/>
      <c r="G244" s="943"/>
      <c r="H244" s="943"/>
      <c r="I244" s="943"/>
      <c r="J244" s="943"/>
      <c r="K244" s="943"/>
      <c r="L244" s="943"/>
      <c r="M244" s="943"/>
      <c r="N244" s="943"/>
      <c r="O244" s="943"/>
      <c r="P244" s="943"/>
      <c r="Q244" s="943"/>
      <c r="R244" s="943"/>
      <c r="S244" s="943"/>
      <c r="T244" s="943"/>
      <c r="U244" s="943"/>
      <c r="V244" s="943"/>
      <c r="W244" s="943"/>
      <c r="X244" s="943"/>
      <c r="Y244" s="943"/>
      <c r="Z244" s="943"/>
      <c r="AA244" s="943"/>
      <c r="AB244" s="943"/>
      <c r="AC244" s="943"/>
      <c r="AD244" s="943"/>
      <c r="AE244" s="943"/>
    </row>
    <row r="245" spans="1:31" ht="15.75" customHeight="1">
      <c r="A245" s="943"/>
      <c r="B245" s="943"/>
      <c r="C245" s="943"/>
      <c r="D245" s="943"/>
      <c r="E245" s="943"/>
      <c r="F245" s="943"/>
      <c r="G245" s="943"/>
      <c r="H245" s="943"/>
      <c r="I245" s="943"/>
      <c r="J245" s="943"/>
      <c r="K245" s="943"/>
      <c r="L245" s="943"/>
      <c r="M245" s="943"/>
      <c r="N245" s="943"/>
      <c r="O245" s="943"/>
      <c r="P245" s="943"/>
      <c r="Q245" s="943"/>
      <c r="R245" s="943"/>
      <c r="S245" s="943"/>
      <c r="T245" s="943"/>
      <c r="U245" s="943"/>
      <c r="V245" s="943"/>
      <c r="W245" s="943"/>
      <c r="X245" s="943"/>
      <c r="Y245" s="943"/>
      <c r="Z245" s="943"/>
      <c r="AA245" s="943"/>
      <c r="AB245" s="943"/>
      <c r="AC245" s="943"/>
      <c r="AD245" s="943"/>
      <c r="AE245" s="943"/>
    </row>
    <row r="246" spans="1:31" ht="15.75" customHeight="1">
      <c r="A246" s="943"/>
      <c r="B246" s="943"/>
      <c r="C246" s="943"/>
      <c r="D246" s="943"/>
      <c r="E246" s="943"/>
      <c r="F246" s="943"/>
      <c r="G246" s="943"/>
      <c r="H246" s="943"/>
      <c r="I246" s="943"/>
      <c r="J246" s="943"/>
      <c r="K246" s="943"/>
      <c r="L246" s="943"/>
      <c r="M246" s="943"/>
      <c r="N246" s="943"/>
      <c r="O246" s="943"/>
      <c r="P246" s="943"/>
      <c r="Q246" s="943"/>
      <c r="R246" s="943"/>
      <c r="S246" s="943"/>
      <c r="T246" s="943"/>
      <c r="U246" s="943"/>
      <c r="V246" s="943"/>
      <c r="W246" s="943"/>
      <c r="X246" s="943"/>
      <c r="Y246" s="943"/>
      <c r="Z246" s="943"/>
      <c r="AA246" s="943"/>
      <c r="AB246" s="943"/>
      <c r="AC246" s="943"/>
      <c r="AD246" s="943"/>
      <c r="AE246" s="943"/>
    </row>
    <row r="247" spans="1:31" ht="15.75" customHeight="1">
      <c r="A247" s="943"/>
      <c r="B247" s="943"/>
      <c r="C247" s="943"/>
      <c r="D247" s="943"/>
      <c r="E247" s="943"/>
      <c r="F247" s="943"/>
      <c r="G247" s="943"/>
      <c r="H247" s="943"/>
      <c r="I247" s="943"/>
      <c r="J247" s="943"/>
      <c r="K247" s="943"/>
      <c r="L247" s="943"/>
      <c r="M247" s="943"/>
      <c r="N247" s="943"/>
      <c r="O247" s="943"/>
      <c r="P247" s="943"/>
      <c r="Q247" s="943"/>
      <c r="R247" s="943"/>
      <c r="S247" s="943"/>
      <c r="T247" s="943"/>
      <c r="U247" s="943"/>
      <c r="V247" s="943"/>
      <c r="W247" s="943"/>
      <c r="X247" s="943"/>
      <c r="Y247" s="943"/>
      <c r="Z247" s="943"/>
      <c r="AA247" s="943"/>
      <c r="AB247" s="943"/>
      <c r="AC247" s="943"/>
      <c r="AD247" s="943"/>
      <c r="AE247" s="943"/>
    </row>
    <row r="248" spans="1:31" ht="15.75" customHeight="1">
      <c r="A248" s="943"/>
      <c r="B248" s="943"/>
      <c r="C248" s="943"/>
      <c r="D248" s="943"/>
      <c r="E248" s="943"/>
      <c r="F248" s="943"/>
      <c r="G248" s="943"/>
      <c r="H248" s="943"/>
      <c r="I248" s="943"/>
      <c r="J248" s="943"/>
      <c r="K248" s="943"/>
      <c r="L248" s="943"/>
      <c r="M248" s="943"/>
      <c r="N248" s="943"/>
      <c r="O248" s="943"/>
      <c r="P248" s="943"/>
      <c r="Q248" s="943"/>
      <c r="R248" s="943"/>
      <c r="S248" s="943"/>
      <c r="T248" s="943"/>
      <c r="U248" s="943"/>
      <c r="V248" s="943"/>
      <c r="W248" s="943"/>
      <c r="X248" s="943"/>
      <c r="Y248" s="943"/>
      <c r="Z248" s="943"/>
      <c r="AA248" s="943"/>
      <c r="AB248" s="943"/>
      <c r="AC248" s="943"/>
      <c r="AD248" s="943"/>
      <c r="AE248" s="943"/>
    </row>
    <row r="249" spans="1:31" ht="15.75" customHeight="1">
      <c r="A249" s="943"/>
      <c r="B249" s="943"/>
      <c r="C249" s="943"/>
      <c r="D249" s="943"/>
      <c r="E249" s="943"/>
      <c r="F249" s="943"/>
      <c r="G249" s="943"/>
      <c r="H249" s="943"/>
      <c r="I249" s="943"/>
      <c r="J249" s="943"/>
      <c r="K249" s="943"/>
      <c r="L249" s="943"/>
      <c r="M249" s="943"/>
      <c r="N249" s="943"/>
      <c r="O249" s="943"/>
      <c r="P249" s="943"/>
      <c r="Q249" s="943"/>
      <c r="R249" s="943"/>
      <c r="S249" s="943"/>
      <c r="T249" s="943"/>
      <c r="U249" s="943"/>
      <c r="V249" s="943"/>
      <c r="W249" s="943"/>
      <c r="X249" s="943"/>
      <c r="Y249" s="943"/>
      <c r="Z249" s="943"/>
      <c r="AA249" s="943"/>
      <c r="AB249" s="943"/>
      <c r="AC249" s="943"/>
      <c r="AD249" s="943"/>
      <c r="AE249" s="943"/>
    </row>
    <row r="250" spans="1:31" ht="15.75" customHeight="1">
      <c r="A250" s="943"/>
      <c r="B250" s="943"/>
      <c r="C250" s="943"/>
      <c r="D250" s="943"/>
      <c r="E250" s="943"/>
      <c r="F250" s="943"/>
      <c r="G250" s="943"/>
      <c r="H250" s="943"/>
      <c r="I250" s="943"/>
      <c r="J250" s="943"/>
      <c r="K250" s="943"/>
      <c r="L250" s="943"/>
      <c r="M250" s="943"/>
      <c r="N250" s="943"/>
      <c r="O250" s="943"/>
      <c r="P250" s="943"/>
      <c r="Q250" s="943"/>
      <c r="R250" s="943"/>
      <c r="S250" s="943"/>
      <c r="T250" s="943"/>
      <c r="U250" s="943"/>
      <c r="V250" s="943"/>
      <c r="W250" s="943"/>
      <c r="X250" s="943"/>
      <c r="Y250" s="943"/>
      <c r="Z250" s="943"/>
      <c r="AA250" s="943"/>
      <c r="AB250" s="943"/>
      <c r="AC250" s="943"/>
      <c r="AD250" s="943"/>
      <c r="AE250" s="943"/>
    </row>
    <row r="251" spans="1:31" ht="15.75" customHeight="1">
      <c r="A251" s="943"/>
      <c r="B251" s="943"/>
      <c r="C251" s="943"/>
      <c r="D251" s="943"/>
      <c r="E251" s="943"/>
      <c r="F251" s="943"/>
      <c r="G251" s="943"/>
      <c r="H251" s="943"/>
      <c r="I251" s="943"/>
      <c r="J251" s="943"/>
      <c r="K251" s="943"/>
      <c r="L251" s="943"/>
      <c r="M251" s="943"/>
      <c r="N251" s="943"/>
      <c r="O251" s="943"/>
      <c r="P251" s="943"/>
      <c r="Q251" s="943"/>
      <c r="R251" s="943"/>
      <c r="S251" s="943"/>
      <c r="T251" s="943"/>
      <c r="U251" s="943"/>
      <c r="V251" s="943"/>
      <c r="W251" s="943"/>
      <c r="X251" s="943"/>
      <c r="Y251" s="943"/>
      <c r="Z251" s="943"/>
      <c r="AA251" s="943"/>
      <c r="AB251" s="943"/>
      <c r="AC251" s="943"/>
      <c r="AD251" s="943"/>
      <c r="AE251" s="943"/>
    </row>
    <row r="252" spans="1:31" ht="15.75" customHeight="1">
      <c r="A252" s="943"/>
      <c r="B252" s="943"/>
      <c r="C252" s="943"/>
      <c r="D252" s="943"/>
      <c r="E252" s="943"/>
      <c r="F252" s="943"/>
      <c r="G252" s="943"/>
      <c r="H252" s="943"/>
      <c r="I252" s="943"/>
      <c r="J252" s="943"/>
      <c r="K252" s="943"/>
      <c r="L252" s="943"/>
      <c r="M252" s="943"/>
      <c r="N252" s="943"/>
      <c r="O252" s="943"/>
      <c r="P252" s="943"/>
      <c r="Q252" s="943"/>
      <c r="R252" s="943"/>
      <c r="S252" s="943"/>
      <c r="T252" s="943"/>
      <c r="U252" s="943"/>
      <c r="V252" s="943"/>
      <c r="W252" s="943"/>
      <c r="X252" s="943"/>
      <c r="Y252" s="943"/>
      <c r="Z252" s="943"/>
      <c r="AA252" s="943"/>
      <c r="AB252" s="943"/>
      <c r="AC252" s="943"/>
      <c r="AD252" s="943"/>
      <c r="AE252" s="943"/>
    </row>
    <row r="253" spans="1:31" ht="15.75" customHeight="1">
      <c r="A253" s="943"/>
      <c r="B253" s="943"/>
      <c r="C253" s="943"/>
      <c r="D253" s="943"/>
      <c r="E253" s="943"/>
      <c r="F253" s="943"/>
      <c r="G253" s="943"/>
      <c r="H253" s="943"/>
      <c r="I253" s="943"/>
      <c r="J253" s="943"/>
      <c r="K253" s="943"/>
      <c r="L253" s="943"/>
      <c r="M253" s="943"/>
      <c r="N253" s="943"/>
      <c r="O253" s="943"/>
      <c r="P253" s="943"/>
      <c r="Q253" s="943"/>
      <c r="R253" s="943"/>
      <c r="S253" s="943"/>
      <c r="T253" s="943"/>
      <c r="U253" s="943"/>
      <c r="V253" s="943"/>
      <c r="W253" s="943"/>
      <c r="X253" s="943"/>
      <c r="Y253" s="943"/>
      <c r="Z253" s="943"/>
      <c r="AA253" s="943"/>
      <c r="AB253" s="943"/>
      <c r="AC253" s="943"/>
      <c r="AD253" s="943"/>
      <c r="AE253" s="943"/>
    </row>
    <row r="254" spans="1:31" ht="15.75" customHeight="1">
      <c r="A254" s="943"/>
      <c r="B254" s="943"/>
      <c r="C254" s="943"/>
      <c r="D254" s="943"/>
      <c r="E254" s="943"/>
      <c r="F254" s="943"/>
      <c r="G254" s="943"/>
      <c r="H254" s="943"/>
      <c r="I254" s="943"/>
      <c r="J254" s="943"/>
      <c r="K254" s="943"/>
      <c r="L254" s="943"/>
      <c r="M254" s="943"/>
      <c r="N254" s="943"/>
      <c r="O254" s="943"/>
      <c r="P254" s="943"/>
      <c r="Q254" s="943"/>
      <c r="R254" s="943"/>
      <c r="S254" s="943"/>
      <c r="T254" s="943"/>
      <c r="U254" s="943"/>
      <c r="V254" s="943"/>
      <c r="W254" s="943"/>
      <c r="X254" s="943"/>
      <c r="Y254" s="943"/>
      <c r="Z254" s="943"/>
      <c r="AA254" s="943"/>
      <c r="AB254" s="943"/>
      <c r="AC254" s="943"/>
      <c r="AD254" s="943"/>
      <c r="AE254" s="943"/>
    </row>
    <row r="255" spans="1:31" ht="15.75" customHeight="1">
      <c r="A255" s="943"/>
      <c r="B255" s="943"/>
      <c r="C255" s="943"/>
      <c r="D255" s="943"/>
      <c r="E255" s="943"/>
      <c r="F255" s="943"/>
      <c r="G255" s="943"/>
      <c r="H255" s="943"/>
      <c r="I255" s="943"/>
      <c r="J255" s="943"/>
      <c r="K255" s="943"/>
      <c r="L255" s="943"/>
      <c r="M255" s="943"/>
      <c r="N255" s="943"/>
      <c r="O255" s="943"/>
      <c r="P255" s="943"/>
      <c r="Q255" s="943"/>
      <c r="R255" s="943"/>
      <c r="S255" s="943"/>
      <c r="T255" s="943"/>
      <c r="U255" s="943"/>
      <c r="V255" s="943"/>
      <c r="W255" s="943"/>
      <c r="X255" s="943"/>
      <c r="Y255" s="943"/>
      <c r="Z255" s="943"/>
      <c r="AA255" s="943"/>
      <c r="AB255" s="943"/>
      <c r="AC255" s="943"/>
      <c r="AD255" s="943"/>
      <c r="AE255" s="943"/>
    </row>
    <row r="256" spans="1:31" ht="15.75" customHeight="1">
      <c r="A256" s="943"/>
      <c r="B256" s="943"/>
      <c r="C256" s="943"/>
      <c r="D256" s="943"/>
      <c r="E256" s="943"/>
      <c r="F256" s="943"/>
      <c r="G256" s="943"/>
      <c r="H256" s="943"/>
      <c r="I256" s="943"/>
      <c r="J256" s="943"/>
      <c r="K256" s="943"/>
      <c r="L256" s="943"/>
      <c r="M256" s="943"/>
      <c r="N256" s="943"/>
      <c r="O256" s="943"/>
      <c r="P256" s="943"/>
      <c r="Q256" s="943"/>
      <c r="R256" s="943"/>
      <c r="S256" s="943"/>
      <c r="T256" s="943"/>
      <c r="U256" s="943"/>
      <c r="V256" s="943"/>
      <c r="W256" s="943"/>
      <c r="X256" s="943"/>
      <c r="Y256" s="943"/>
      <c r="Z256" s="943"/>
      <c r="AA256" s="943"/>
      <c r="AB256" s="943"/>
      <c r="AC256" s="943"/>
      <c r="AD256" s="943"/>
      <c r="AE256" s="943"/>
    </row>
    <row r="257" spans="1:31" ht="15.75" customHeight="1">
      <c r="A257" s="943"/>
      <c r="B257" s="943"/>
      <c r="C257" s="943"/>
      <c r="D257" s="943"/>
      <c r="E257" s="943"/>
      <c r="F257" s="943"/>
      <c r="G257" s="943"/>
      <c r="H257" s="943"/>
      <c r="I257" s="943"/>
      <c r="J257" s="943"/>
      <c r="K257" s="943"/>
      <c r="L257" s="943"/>
      <c r="M257" s="943"/>
      <c r="N257" s="943"/>
      <c r="O257" s="943"/>
      <c r="P257" s="943"/>
      <c r="Q257" s="943"/>
      <c r="R257" s="943"/>
      <c r="S257" s="943"/>
      <c r="T257" s="943"/>
      <c r="U257" s="943"/>
      <c r="V257" s="943"/>
      <c r="W257" s="943"/>
      <c r="X257" s="943"/>
      <c r="Y257" s="943"/>
      <c r="Z257" s="943"/>
      <c r="AA257" s="943"/>
      <c r="AB257" s="943"/>
      <c r="AC257" s="943"/>
      <c r="AD257" s="943"/>
      <c r="AE257" s="943"/>
    </row>
    <row r="258" spans="1:31" ht="15.75" customHeight="1">
      <c r="A258" s="943"/>
      <c r="B258" s="943"/>
      <c r="C258" s="943"/>
      <c r="D258" s="943"/>
      <c r="E258" s="943"/>
      <c r="F258" s="943"/>
      <c r="G258" s="943"/>
      <c r="H258" s="943"/>
      <c r="I258" s="943"/>
      <c r="J258" s="943"/>
      <c r="K258" s="943"/>
      <c r="L258" s="943"/>
      <c r="M258" s="943"/>
      <c r="N258" s="943"/>
      <c r="O258" s="943"/>
      <c r="P258" s="943"/>
      <c r="Q258" s="943"/>
      <c r="R258" s="943"/>
      <c r="S258" s="943"/>
      <c r="T258" s="943"/>
      <c r="U258" s="943"/>
      <c r="V258" s="943"/>
      <c r="W258" s="943"/>
      <c r="X258" s="943"/>
      <c r="Y258" s="943"/>
      <c r="Z258" s="943"/>
      <c r="AA258" s="943"/>
      <c r="AB258" s="943"/>
      <c r="AC258" s="943"/>
      <c r="AD258" s="943"/>
      <c r="AE258" s="943"/>
    </row>
    <row r="259" spans="1:31" ht="15.75" customHeight="1">
      <c r="A259" s="943"/>
      <c r="B259" s="943"/>
      <c r="C259" s="943"/>
      <c r="D259" s="943"/>
      <c r="E259" s="943"/>
      <c r="F259" s="943"/>
      <c r="G259" s="943"/>
      <c r="H259" s="943"/>
      <c r="I259" s="943"/>
      <c r="J259" s="943"/>
      <c r="K259" s="943"/>
      <c r="L259" s="943"/>
      <c r="M259" s="943"/>
      <c r="N259" s="943"/>
      <c r="O259" s="943"/>
      <c r="P259" s="943"/>
      <c r="Q259" s="943"/>
      <c r="R259" s="943"/>
      <c r="S259" s="943"/>
      <c r="T259" s="943"/>
      <c r="U259" s="943"/>
      <c r="V259" s="943"/>
      <c r="W259" s="943"/>
      <c r="X259" s="943"/>
      <c r="Y259" s="943"/>
      <c r="Z259" s="943"/>
      <c r="AA259" s="943"/>
      <c r="AB259" s="943"/>
      <c r="AC259" s="943"/>
      <c r="AD259" s="943"/>
      <c r="AE259" s="943"/>
    </row>
    <row r="260" spans="1:31" ht="15.75" customHeight="1">
      <c r="A260" s="943"/>
      <c r="B260" s="943"/>
      <c r="C260" s="943"/>
      <c r="D260" s="943"/>
      <c r="E260" s="943"/>
      <c r="F260" s="943"/>
      <c r="G260" s="943"/>
      <c r="H260" s="943"/>
      <c r="I260" s="943"/>
      <c r="J260" s="943"/>
      <c r="K260" s="943"/>
      <c r="L260" s="943"/>
      <c r="M260" s="943"/>
      <c r="N260" s="943"/>
      <c r="O260" s="943"/>
      <c r="P260" s="943"/>
      <c r="Q260" s="943"/>
      <c r="R260" s="943"/>
      <c r="S260" s="943"/>
      <c r="T260" s="943"/>
      <c r="U260" s="943"/>
      <c r="V260" s="943"/>
      <c r="W260" s="943"/>
      <c r="X260" s="943"/>
      <c r="Y260" s="943"/>
      <c r="Z260" s="943"/>
      <c r="AA260" s="943"/>
      <c r="AB260" s="943"/>
      <c r="AC260" s="943"/>
      <c r="AD260" s="943"/>
      <c r="AE260" s="943"/>
    </row>
    <row r="261" spans="1:31" ht="15.75" customHeight="1">
      <c r="A261" s="943"/>
      <c r="B261" s="943"/>
      <c r="C261" s="943"/>
      <c r="D261" s="943"/>
      <c r="E261" s="943"/>
      <c r="F261" s="943"/>
      <c r="G261" s="943"/>
      <c r="H261" s="943"/>
      <c r="I261" s="943"/>
      <c r="J261" s="943"/>
      <c r="K261" s="943"/>
      <c r="L261" s="943"/>
      <c r="M261" s="943"/>
      <c r="N261" s="943"/>
      <c r="O261" s="943"/>
      <c r="P261" s="943"/>
      <c r="Q261" s="943"/>
      <c r="R261" s="943"/>
      <c r="S261" s="943"/>
      <c r="T261" s="943"/>
      <c r="U261" s="943"/>
      <c r="V261" s="943"/>
      <c r="W261" s="943"/>
      <c r="X261" s="943"/>
      <c r="Y261" s="943"/>
      <c r="Z261" s="943"/>
      <c r="AA261" s="943"/>
      <c r="AB261" s="943"/>
      <c r="AC261" s="943"/>
      <c r="AD261" s="943"/>
      <c r="AE261" s="943"/>
    </row>
    <row r="262" spans="1:31" ht="15.75" customHeight="1">
      <c r="A262" s="943"/>
      <c r="B262" s="943"/>
      <c r="C262" s="943"/>
      <c r="D262" s="943"/>
      <c r="E262" s="943"/>
      <c r="F262" s="943"/>
      <c r="G262" s="943"/>
      <c r="H262" s="943"/>
      <c r="I262" s="943"/>
      <c r="J262" s="943"/>
      <c r="K262" s="943"/>
      <c r="L262" s="943"/>
      <c r="M262" s="943"/>
      <c r="N262" s="943"/>
      <c r="O262" s="943"/>
      <c r="P262" s="943"/>
      <c r="Q262" s="943"/>
      <c r="R262" s="943"/>
      <c r="S262" s="943"/>
      <c r="T262" s="943"/>
      <c r="U262" s="943"/>
      <c r="V262" s="943"/>
      <c r="W262" s="943"/>
      <c r="X262" s="943"/>
      <c r="Y262" s="943"/>
      <c r="Z262" s="943"/>
      <c r="AA262" s="943"/>
      <c r="AB262" s="943"/>
      <c r="AC262" s="943"/>
      <c r="AD262" s="943"/>
      <c r="AE262" s="943"/>
    </row>
    <row r="263" spans="1:31" ht="15.75" customHeight="1">
      <c r="A263" s="943"/>
      <c r="B263" s="943"/>
      <c r="C263" s="943"/>
      <c r="D263" s="943"/>
      <c r="E263" s="943"/>
      <c r="F263" s="943"/>
      <c r="G263" s="943"/>
      <c r="H263" s="943"/>
      <c r="I263" s="943"/>
      <c r="J263" s="943"/>
      <c r="K263" s="943"/>
      <c r="L263" s="943"/>
      <c r="M263" s="943"/>
      <c r="N263" s="943"/>
      <c r="O263" s="943"/>
      <c r="P263" s="943"/>
      <c r="Q263" s="943"/>
      <c r="R263" s="943"/>
      <c r="S263" s="943"/>
      <c r="T263" s="943"/>
      <c r="U263" s="943"/>
      <c r="V263" s="943"/>
      <c r="W263" s="943"/>
      <c r="X263" s="943"/>
      <c r="Y263" s="943"/>
      <c r="Z263" s="943"/>
      <c r="AA263" s="943"/>
      <c r="AB263" s="943"/>
      <c r="AC263" s="943"/>
      <c r="AD263" s="943"/>
      <c r="AE263" s="943"/>
    </row>
    <row r="264" spans="1:31" ht="15.75" customHeight="1">
      <c r="A264" s="943"/>
      <c r="B264" s="943"/>
      <c r="C264" s="943"/>
      <c r="D264" s="943"/>
      <c r="E264" s="943"/>
      <c r="F264" s="943"/>
      <c r="G264" s="943"/>
      <c r="H264" s="943"/>
      <c r="I264" s="943"/>
      <c r="J264" s="943"/>
      <c r="K264" s="943"/>
      <c r="L264" s="943"/>
      <c r="M264" s="943"/>
      <c r="N264" s="943"/>
      <c r="O264" s="943"/>
      <c r="P264" s="943"/>
      <c r="Q264" s="943"/>
      <c r="R264" s="943"/>
      <c r="S264" s="943"/>
      <c r="T264" s="943"/>
      <c r="U264" s="943"/>
      <c r="V264" s="943"/>
      <c r="W264" s="943"/>
      <c r="X264" s="943"/>
      <c r="Y264" s="943"/>
      <c r="Z264" s="943"/>
      <c r="AA264" s="943"/>
      <c r="AB264" s="943"/>
      <c r="AC264" s="943"/>
      <c r="AD264" s="943"/>
      <c r="AE264" s="943"/>
    </row>
    <row r="265" spans="1:31" ht="15.75" customHeight="1">
      <c r="A265" s="943"/>
      <c r="B265" s="943"/>
      <c r="C265" s="943"/>
      <c r="D265" s="943"/>
      <c r="E265" s="943"/>
      <c r="F265" s="943"/>
      <c r="G265" s="943"/>
      <c r="H265" s="943"/>
      <c r="I265" s="943"/>
      <c r="J265" s="943"/>
      <c r="K265" s="943"/>
      <c r="L265" s="943"/>
      <c r="M265" s="943"/>
      <c r="N265" s="943"/>
      <c r="O265" s="943"/>
      <c r="P265" s="943"/>
      <c r="Q265" s="943"/>
      <c r="R265" s="943"/>
      <c r="S265" s="943"/>
      <c r="T265" s="943"/>
      <c r="U265" s="943"/>
      <c r="V265" s="943"/>
      <c r="W265" s="943"/>
      <c r="X265" s="943"/>
      <c r="Y265" s="943"/>
      <c r="Z265" s="943"/>
      <c r="AA265" s="943"/>
      <c r="AB265" s="943"/>
      <c r="AC265" s="943"/>
      <c r="AD265" s="943"/>
      <c r="AE265" s="943"/>
    </row>
    <row r="266" spans="1:31" ht="15.75" customHeight="1">
      <c r="A266" s="943"/>
      <c r="B266" s="943"/>
      <c r="C266" s="943"/>
      <c r="D266" s="943"/>
      <c r="E266" s="943"/>
      <c r="F266" s="943"/>
      <c r="G266" s="943"/>
      <c r="H266" s="943"/>
      <c r="I266" s="943"/>
      <c r="J266" s="943"/>
      <c r="K266" s="943"/>
      <c r="L266" s="943"/>
      <c r="M266" s="943"/>
      <c r="N266" s="943"/>
      <c r="O266" s="943"/>
      <c r="P266" s="943"/>
      <c r="Q266" s="943"/>
      <c r="R266" s="943"/>
      <c r="S266" s="943"/>
      <c r="T266" s="943"/>
      <c r="U266" s="943"/>
      <c r="V266" s="943"/>
      <c r="W266" s="943"/>
      <c r="X266" s="943"/>
      <c r="Y266" s="943"/>
      <c r="Z266" s="943"/>
      <c r="AA266" s="943"/>
      <c r="AB266" s="943"/>
      <c r="AC266" s="943"/>
      <c r="AD266" s="943"/>
      <c r="AE266" s="943"/>
    </row>
    <row r="267" spans="1:31" ht="15.75" customHeight="1">
      <c r="A267" s="943"/>
      <c r="B267" s="943"/>
      <c r="C267" s="943"/>
      <c r="D267" s="943"/>
      <c r="E267" s="943"/>
      <c r="F267" s="943"/>
      <c r="G267" s="943"/>
      <c r="H267" s="943"/>
      <c r="I267" s="943"/>
      <c r="J267" s="943"/>
      <c r="K267" s="943"/>
      <c r="L267" s="943"/>
      <c r="M267" s="943"/>
      <c r="N267" s="943"/>
      <c r="O267" s="943"/>
      <c r="P267" s="943"/>
      <c r="Q267" s="943"/>
      <c r="R267" s="943"/>
      <c r="S267" s="943"/>
      <c r="T267" s="943"/>
      <c r="U267" s="943"/>
      <c r="V267" s="943"/>
      <c r="W267" s="943"/>
      <c r="X267" s="943"/>
      <c r="Y267" s="943"/>
      <c r="Z267" s="943"/>
      <c r="AA267" s="943"/>
      <c r="AB267" s="943"/>
      <c r="AC267" s="943"/>
      <c r="AD267" s="943"/>
      <c r="AE267" s="943"/>
    </row>
    <row r="268" spans="1:31" ht="15.75" customHeight="1">
      <c r="A268" s="943"/>
      <c r="B268" s="943"/>
      <c r="C268" s="943"/>
      <c r="D268" s="943"/>
      <c r="E268" s="943"/>
      <c r="F268" s="943"/>
      <c r="G268" s="943"/>
      <c r="H268" s="943"/>
      <c r="I268" s="943"/>
      <c r="J268" s="943"/>
      <c r="K268" s="943"/>
      <c r="L268" s="943"/>
      <c r="M268" s="943"/>
      <c r="N268" s="943"/>
      <c r="O268" s="943"/>
      <c r="P268" s="943"/>
      <c r="Q268" s="943"/>
      <c r="R268" s="943"/>
      <c r="S268" s="943"/>
      <c r="T268" s="943"/>
      <c r="U268" s="943"/>
      <c r="V268" s="943"/>
      <c r="W268" s="943"/>
      <c r="X268" s="943"/>
      <c r="Y268" s="943"/>
      <c r="Z268" s="943"/>
      <c r="AA268" s="943"/>
      <c r="AB268" s="943"/>
      <c r="AC268" s="943"/>
      <c r="AD268" s="943"/>
      <c r="AE268" s="943"/>
    </row>
    <row r="269" spans="1:31" ht="15.75" customHeight="1">
      <c r="A269" s="943"/>
      <c r="B269" s="943"/>
      <c r="C269" s="943"/>
      <c r="D269" s="943"/>
      <c r="E269" s="943"/>
      <c r="F269" s="943"/>
      <c r="G269" s="943"/>
      <c r="H269" s="943"/>
      <c r="I269" s="943"/>
      <c r="J269" s="943"/>
      <c r="K269" s="943"/>
      <c r="L269" s="943"/>
      <c r="M269" s="943"/>
      <c r="N269" s="943"/>
      <c r="O269" s="943"/>
      <c r="P269" s="943"/>
      <c r="Q269" s="943"/>
      <c r="R269" s="943"/>
      <c r="S269" s="943"/>
      <c r="T269" s="943"/>
      <c r="U269" s="943"/>
      <c r="V269" s="943"/>
      <c r="W269" s="943"/>
      <c r="X269" s="943"/>
      <c r="Y269" s="943"/>
      <c r="Z269" s="943"/>
      <c r="AA269" s="943"/>
      <c r="AB269" s="943"/>
      <c r="AC269" s="943"/>
      <c r="AD269" s="943"/>
      <c r="AE269" s="943"/>
    </row>
    <row r="270" spans="1:31" ht="15.75" customHeight="1">
      <c r="A270" s="943"/>
      <c r="B270" s="943"/>
      <c r="C270" s="943"/>
      <c r="D270" s="943"/>
      <c r="E270" s="943"/>
      <c r="F270" s="943"/>
      <c r="G270" s="943"/>
      <c r="H270" s="943"/>
      <c r="I270" s="943"/>
      <c r="J270" s="943"/>
      <c r="K270" s="943"/>
      <c r="L270" s="943"/>
      <c r="M270" s="943"/>
      <c r="N270" s="943"/>
      <c r="O270" s="943"/>
      <c r="P270" s="943"/>
      <c r="Q270" s="943"/>
      <c r="R270" s="943"/>
      <c r="S270" s="943"/>
      <c r="T270" s="943"/>
      <c r="U270" s="943"/>
      <c r="V270" s="943"/>
      <c r="W270" s="943"/>
      <c r="X270" s="943"/>
      <c r="Y270" s="943"/>
      <c r="Z270" s="943"/>
      <c r="AA270" s="943"/>
      <c r="AB270" s="943"/>
      <c r="AC270" s="943"/>
      <c r="AD270" s="943"/>
      <c r="AE270" s="943"/>
    </row>
    <row r="271" spans="1:31" ht="15.75" customHeight="1">
      <c r="A271" s="943"/>
      <c r="B271" s="943"/>
      <c r="C271" s="943"/>
      <c r="D271" s="943"/>
      <c r="E271" s="943"/>
      <c r="F271" s="943"/>
      <c r="G271" s="943"/>
      <c r="H271" s="943"/>
      <c r="I271" s="943"/>
      <c r="J271" s="943"/>
      <c r="K271" s="943"/>
      <c r="L271" s="943"/>
      <c r="M271" s="943"/>
      <c r="N271" s="943"/>
      <c r="O271" s="943"/>
      <c r="P271" s="943"/>
      <c r="Q271" s="943"/>
      <c r="R271" s="943"/>
      <c r="S271" s="943"/>
      <c r="T271" s="943"/>
      <c r="U271" s="943"/>
      <c r="V271" s="943"/>
      <c r="W271" s="943"/>
      <c r="X271" s="943"/>
      <c r="Y271" s="943"/>
      <c r="Z271" s="943"/>
      <c r="AA271" s="943"/>
      <c r="AB271" s="943"/>
      <c r="AC271" s="943"/>
      <c r="AD271" s="943"/>
      <c r="AE271" s="943"/>
    </row>
    <row r="272" spans="1:31" ht="15.75" customHeight="1">
      <c r="A272" s="943"/>
      <c r="B272" s="943"/>
      <c r="C272" s="943"/>
      <c r="D272" s="943"/>
      <c r="E272" s="943"/>
      <c r="F272" s="943"/>
      <c r="G272" s="943"/>
      <c r="H272" s="943"/>
      <c r="I272" s="943"/>
      <c r="J272" s="943"/>
      <c r="K272" s="943"/>
      <c r="L272" s="943"/>
      <c r="M272" s="943"/>
      <c r="N272" s="943"/>
      <c r="O272" s="943"/>
      <c r="P272" s="943"/>
      <c r="Q272" s="943"/>
      <c r="R272" s="943"/>
      <c r="S272" s="943"/>
      <c r="T272" s="943"/>
      <c r="U272" s="943"/>
      <c r="V272" s="943"/>
      <c r="W272" s="943"/>
      <c r="X272" s="943"/>
      <c r="Y272" s="943"/>
      <c r="Z272" s="943"/>
      <c r="AA272" s="943"/>
      <c r="AB272" s="943"/>
      <c r="AC272" s="943"/>
      <c r="AD272" s="943"/>
      <c r="AE272" s="943"/>
    </row>
    <row r="273" spans="1:31" ht="15.75" customHeight="1">
      <c r="A273" s="943"/>
      <c r="B273" s="943"/>
      <c r="C273" s="943"/>
      <c r="D273" s="943"/>
      <c r="E273" s="943"/>
      <c r="F273" s="943"/>
      <c r="G273" s="943"/>
      <c r="H273" s="943"/>
      <c r="I273" s="943"/>
      <c r="J273" s="943"/>
      <c r="K273" s="943"/>
      <c r="L273" s="943"/>
      <c r="M273" s="943"/>
      <c r="N273" s="943"/>
      <c r="O273" s="943"/>
      <c r="P273" s="943"/>
      <c r="Q273" s="943"/>
      <c r="R273" s="943"/>
      <c r="S273" s="943"/>
      <c r="T273" s="943"/>
      <c r="U273" s="943"/>
      <c r="V273" s="943"/>
      <c r="W273" s="943"/>
      <c r="X273" s="943"/>
      <c r="Y273" s="943"/>
      <c r="Z273" s="943"/>
      <c r="AA273" s="943"/>
      <c r="AB273" s="943"/>
      <c r="AC273" s="943"/>
      <c r="AD273" s="943"/>
      <c r="AE273" s="943"/>
    </row>
    <row r="274" spans="1:31" ht="15.75" customHeight="1">
      <c r="A274" s="943"/>
      <c r="B274" s="943"/>
      <c r="C274" s="943"/>
      <c r="D274" s="943"/>
      <c r="E274" s="943"/>
      <c r="F274" s="943"/>
      <c r="G274" s="943"/>
      <c r="H274" s="943"/>
      <c r="I274" s="943"/>
      <c r="J274" s="943"/>
      <c r="K274" s="943"/>
      <c r="L274" s="943"/>
      <c r="M274" s="943"/>
      <c r="N274" s="943"/>
      <c r="O274" s="943"/>
      <c r="P274" s="943"/>
      <c r="Q274" s="943"/>
      <c r="R274" s="943"/>
      <c r="S274" s="943"/>
      <c r="T274" s="943"/>
      <c r="U274" s="943"/>
      <c r="V274" s="943"/>
      <c r="W274" s="943"/>
      <c r="X274" s="943"/>
      <c r="Y274" s="943"/>
      <c r="Z274" s="943"/>
      <c r="AA274" s="943"/>
      <c r="AB274" s="943"/>
      <c r="AC274" s="943"/>
      <c r="AD274" s="943"/>
      <c r="AE274" s="943"/>
    </row>
    <row r="275" spans="1:31" ht="15.75" customHeight="1">
      <c r="A275" s="943"/>
      <c r="B275" s="943"/>
      <c r="C275" s="943"/>
      <c r="D275" s="943"/>
      <c r="E275" s="943"/>
      <c r="F275" s="943"/>
      <c r="G275" s="943"/>
      <c r="H275" s="943"/>
      <c r="I275" s="943"/>
      <c r="J275" s="943"/>
      <c r="K275" s="943"/>
      <c r="L275" s="943"/>
      <c r="M275" s="943"/>
      <c r="N275" s="943"/>
      <c r="O275" s="943"/>
      <c r="P275" s="943"/>
      <c r="Q275" s="943"/>
      <c r="R275" s="943"/>
      <c r="S275" s="943"/>
      <c r="T275" s="943"/>
      <c r="U275" s="943"/>
      <c r="V275" s="943"/>
      <c r="W275" s="943"/>
      <c r="X275" s="943"/>
      <c r="Y275" s="943"/>
      <c r="Z275" s="943"/>
      <c r="AA275" s="943"/>
      <c r="AB275" s="943"/>
      <c r="AC275" s="943"/>
      <c r="AD275" s="943"/>
      <c r="AE275" s="943"/>
    </row>
    <row r="276" spans="1:31" ht="15.75" customHeight="1">
      <c r="A276" s="943"/>
      <c r="B276" s="943"/>
      <c r="C276" s="943"/>
      <c r="D276" s="943"/>
      <c r="E276" s="943"/>
      <c r="F276" s="943"/>
      <c r="G276" s="943"/>
      <c r="H276" s="943"/>
      <c r="I276" s="943"/>
      <c r="J276" s="943"/>
      <c r="K276" s="943"/>
      <c r="L276" s="943"/>
      <c r="M276" s="943"/>
      <c r="N276" s="943"/>
      <c r="O276" s="943"/>
      <c r="P276" s="943"/>
      <c r="Q276" s="943"/>
      <c r="R276" s="943"/>
      <c r="S276" s="943"/>
      <c r="T276" s="943"/>
      <c r="U276" s="943"/>
      <c r="V276" s="943"/>
      <c r="W276" s="943"/>
      <c r="X276" s="943"/>
      <c r="Y276" s="943"/>
      <c r="Z276" s="943"/>
      <c r="AA276" s="943"/>
      <c r="AB276" s="943"/>
      <c r="AC276" s="943"/>
      <c r="AD276" s="943"/>
      <c r="AE276" s="943"/>
    </row>
    <row r="277" spans="1:31" ht="15.75" customHeight="1">
      <c r="A277" s="943"/>
      <c r="B277" s="943"/>
      <c r="C277" s="943"/>
      <c r="D277" s="943"/>
      <c r="E277" s="943"/>
      <c r="F277" s="943"/>
      <c r="G277" s="943"/>
      <c r="H277" s="943"/>
      <c r="I277" s="943"/>
      <c r="J277" s="943"/>
      <c r="K277" s="943"/>
      <c r="L277" s="943"/>
      <c r="M277" s="943"/>
      <c r="N277" s="943"/>
      <c r="O277" s="943"/>
      <c r="P277" s="943"/>
      <c r="Q277" s="943"/>
      <c r="R277" s="943"/>
      <c r="S277" s="943"/>
      <c r="T277" s="943"/>
      <c r="U277" s="943"/>
      <c r="V277" s="943"/>
      <c r="W277" s="943"/>
      <c r="X277" s="943"/>
      <c r="Y277" s="943"/>
      <c r="Z277" s="943"/>
      <c r="AA277" s="943"/>
      <c r="AB277" s="943"/>
      <c r="AC277" s="943"/>
      <c r="AD277" s="943"/>
      <c r="AE277" s="943"/>
    </row>
    <row r="278" spans="1:31" ht="15.75" customHeight="1">
      <c r="A278" s="943"/>
      <c r="B278" s="943"/>
      <c r="C278" s="943"/>
      <c r="D278" s="943"/>
      <c r="E278" s="943"/>
      <c r="F278" s="943"/>
      <c r="G278" s="943"/>
      <c r="H278" s="943"/>
      <c r="I278" s="943"/>
      <c r="J278" s="943"/>
      <c r="K278" s="943"/>
      <c r="L278" s="943"/>
      <c r="M278" s="943"/>
      <c r="N278" s="943"/>
      <c r="O278" s="943"/>
      <c r="P278" s="943"/>
      <c r="Q278" s="943"/>
      <c r="R278" s="943"/>
      <c r="S278" s="943"/>
      <c r="T278" s="943"/>
      <c r="U278" s="943"/>
      <c r="V278" s="943"/>
      <c r="W278" s="943"/>
      <c r="X278" s="943"/>
      <c r="Y278" s="943"/>
      <c r="Z278" s="943"/>
      <c r="AA278" s="943"/>
      <c r="AB278" s="943"/>
      <c r="AC278" s="943"/>
      <c r="AD278" s="943"/>
      <c r="AE278" s="943"/>
    </row>
    <row r="279" spans="1:31" ht="15.75" customHeight="1">
      <c r="A279" s="943"/>
      <c r="B279" s="943"/>
      <c r="C279" s="943"/>
      <c r="D279" s="943"/>
      <c r="E279" s="943"/>
      <c r="F279" s="943"/>
      <c r="G279" s="943"/>
      <c r="H279" s="943"/>
      <c r="I279" s="943"/>
      <c r="J279" s="943"/>
      <c r="K279" s="943"/>
      <c r="L279" s="943"/>
      <c r="M279" s="943"/>
      <c r="N279" s="943"/>
      <c r="O279" s="943"/>
      <c r="P279" s="943"/>
      <c r="Q279" s="943"/>
      <c r="R279" s="943"/>
      <c r="S279" s="943"/>
      <c r="T279" s="943"/>
      <c r="U279" s="943"/>
      <c r="V279" s="943"/>
      <c r="W279" s="943"/>
      <c r="X279" s="943"/>
      <c r="Y279" s="943"/>
      <c r="Z279" s="943"/>
      <c r="AA279" s="943"/>
      <c r="AB279" s="943"/>
      <c r="AC279" s="943"/>
      <c r="AD279" s="943"/>
      <c r="AE279" s="943"/>
    </row>
    <row r="280" spans="1:31" ht="15.75" customHeight="1">
      <c r="A280" s="943"/>
      <c r="B280" s="943"/>
      <c r="C280" s="943"/>
      <c r="D280" s="943"/>
      <c r="E280" s="943"/>
      <c r="F280" s="943"/>
      <c r="G280" s="943"/>
      <c r="H280" s="943"/>
      <c r="I280" s="943"/>
      <c r="J280" s="943"/>
      <c r="K280" s="943"/>
      <c r="L280" s="943"/>
      <c r="M280" s="943"/>
      <c r="N280" s="943"/>
      <c r="O280" s="943"/>
      <c r="P280" s="943"/>
      <c r="Q280" s="943"/>
      <c r="R280" s="943"/>
      <c r="S280" s="943"/>
      <c r="T280" s="943"/>
      <c r="U280" s="943"/>
      <c r="V280" s="943"/>
      <c r="W280" s="943"/>
      <c r="X280" s="943"/>
      <c r="Y280" s="943"/>
      <c r="Z280" s="943"/>
      <c r="AA280" s="943"/>
      <c r="AB280" s="943"/>
      <c r="AC280" s="943"/>
      <c r="AD280" s="943"/>
      <c r="AE280" s="943"/>
    </row>
    <row r="281" spans="1:31" ht="15.75" customHeight="1">
      <c r="A281" s="943"/>
      <c r="B281" s="943"/>
      <c r="C281" s="943"/>
      <c r="D281" s="943"/>
      <c r="E281" s="943"/>
      <c r="F281" s="943"/>
      <c r="G281" s="943"/>
      <c r="H281" s="943"/>
      <c r="I281" s="943"/>
      <c r="J281" s="943"/>
      <c r="K281" s="943"/>
      <c r="L281" s="943"/>
      <c r="M281" s="943"/>
      <c r="N281" s="943"/>
      <c r="O281" s="943"/>
      <c r="P281" s="943"/>
      <c r="Q281" s="943"/>
      <c r="R281" s="943"/>
      <c r="S281" s="943"/>
      <c r="T281" s="943"/>
      <c r="U281" s="943"/>
      <c r="V281" s="943"/>
      <c r="W281" s="943"/>
      <c r="X281" s="943"/>
      <c r="Y281" s="943"/>
      <c r="Z281" s="943"/>
      <c r="AA281" s="943"/>
      <c r="AB281" s="943"/>
      <c r="AC281" s="943"/>
      <c r="AD281" s="943"/>
      <c r="AE281" s="943"/>
    </row>
    <row r="282" spans="1:31" ht="15.75" customHeight="1">
      <c r="A282" s="943"/>
      <c r="B282" s="943"/>
      <c r="C282" s="943"/>
      <c r="D282" s="943"/>
      <c r="E282" s="943"/>
      <c r="F282" s="943"/>
      <c r="G282" s="943"/>
      <c r="H282" s="943"/>
      <c r="I282" s="943"/>
      <c r="J282" s="943"/>
      <c r="K282" s="943"/>
      <c r="L282" s="943"/>
      <c r="M282" s="943"/>
      <c r="N282" s="943"/>
      <c r="O282" s="943"/>
      <c r="P282" s="943"/>
      <c r="Q282" s="943"/>
      <c r="R282" s="943"/>
      <c r="S282" s="943"/>
      <c r="T282" s="943"/>
      <c r="U282" s="943"/>
      <c r="V282" s="943"/>
      <c r="W282" s="943"/>
      <c r="X282" s="943"/>
      <c r="Y282" s="943"/>
      <c r="Z282" s="943"/>
      <c r="AA282" s="943"/>
      <c r="AB282" s="943"/>
      <c r="AC282" s="943"/>
      <c r="AD282" s="943"/>
      <c r="AE282" s="943"/>
    </row>
    <row r="283" spans="1:31" ht="15.75" customHeight="1">
      <c r="A283" s="943"/>
      <c r="B283" s="943"/>
      <c r="C283" s="943"/>
      <c r="D283" s="943"/>
      <c r="E283" s="943"/>
      <c r="F283" s="943"/>
      <c r="G283" s="943"/>
      <c r="H283" s="943"/>
      <c r="I283" s="943"/>
      <c r="J283" s="943"/>
      <c r="K283" s="943"/>
      <c r="L283" s="943"/>
      <c r="M283" s="943"/>
      <c r="N283" s="943"/>
      <c r="O283" s="943"/>
      <c r="P283" s="943"/>
      <c r="Q283" s="943"/>
      <c r="R283" s="943"/>
      <c r="S283" s="943"/>
      <c r="T283" s="943"/>
      <c r="U283" s="943"/>
      <c r="V283" s="943"/>
      <c r="W283" s="943"/>
      <c r="X283" s="943"/>
      <c r="Y283" s="943"/>
      <c r="Z283" s="943"/>
      <c r="AA283" s="943"/>
      <c r="AB283" s="943"/>
      <c r="AC283" s="943"/>
      <c r="AD283" s="943"/>
      <c r="AE283" s="943"/>
    </row>
    <row r="284" spans="1:31" ht="15.75" customHeight="1">
      <c r="A284" s="943"/>
      <c r="B284" s="943"/>
      <c r="C284" s="943"/>
      <c r="D284" s="943"/>
      <c r="E284" s="943"/>
      <c r="F284" s="943"/>
      <c r="G284" s="943"/>
      <c r="H284" s="943"/>
      <c r="I284" s="943"/>
      <c r="J284" s="943"/>
      <c r="K284" s="943"/>
      <c r="L284" s="943"/>
      <c r="M284" s="943"/>
      <c r="N284" s="943"/>
      <c r="O284" s="943"/>
      <c r="P284" s="943"/>
      <c r="Q284" s="943"/>
      <c r="R284" s="943"/>
      <c r="S284" s="943"/>
      <c r="T284" s="943"/>
      <c r="U284" s="943"/>
      <c r="V284" s="943"/>
      <c r="W284" s="943"/>
      <c r="X284" s="943"/>
      <c r="Y284" s="943"/>
      <c r="Z284" s="943"/>
      <c r="AA284" s="943"/>
      <c r="AB284" s="943"/>
      <c r="AC284" s="943"/>
      <c r="AD284" s="943"/>
      <c r="AE284" s="943"/>
    </row>
    <row r="285" spans="1:31" ht="15.75" customHeight="1">
      <c r="A285" s="943"/>
      <c r="B285" s="943"/>
      <c r="C285" s="943"/>
      <c r="D285" s="943"/>
      <c r="E285" s="943"/>
      <c r="F285" s="943"/>
      <c r="G285" s="943"/>
      <c r="H285" s="943"/>
      <c r="I285" s="943"/>
      <c r="J285" s="943"/>
      <c r="K285" s="943"/>
      <c r="L285" s="943"/>
      <c r="M285" s="943"/>
      <c r="N285" s="943"/>
      <c r="O285" s="943"/>
      <c r="P285" s="943"/>
      <c r="Q285" s="943"/>
      <c r="R285" s="943"/>
      <c r="S285" s="943"/>
      <c r="T285" s="943"/>
      <c r="U285" s="943"/>
      <c r="V285" s="943"/>
      <c r="W285" s="943"/>
      <c r="X285" s="943"/>
      <c r="Y285" s="943"/>
      <c r="Z285" s="943"/>
      <c r="AA285" s="943"/>
      <c r="AB285" s="943"/>
      <c r="AC285" s="943"/>
      <c r="AD285" s="943"/>
      <c r="AE285" s="943"/>
    </row>
    <row r="286" spans="1:31" ht="15.75" customHeight="1">
      <c r="A286" s="943"/>
      <c r="B286" s="943"/>
      <c r="C286" s="943"/>
      <c r="D286" s="943"/>
      <c r="E286" s="943"/>
      <c r="F286" s="943"/>
      <c r="G286" s="943"/>
      <c r="H286" s="943"/>
      <c r="I286" s="943"/>
      <c r="J286" s="943"/>
      <c r="K286" s="943"/>
      <c r="L286" s="943"/>
      <c r="M286" s="943"/>
      <c r="N286" s="943"/>
      <c r="O286" s="943"/>
      <c r="P286" s="943"/>
      <c r="Q286" s="943"/>
      <c r="R286" s="943"/>
      <c r="S286" s="943"/>
      <c r="T286" s="943"/>
      <c r="U286" s="943"/>
      <c r="V286" s="943"/>
      <c r="W286" s="943"/>
      <c r="X286" s="943"/>
      <c r="Y286" s="943"/>
      <c r="Z286" s="943"/>
      <c r="AA286" s="943"/>
      <c r="AB286" s="943"/>
      <c r="AC286" s="943"/>
      <c r="AD286" s="943"/>
      <c r="AE286" s="943"/>
    </row>
    <row r="287" spans="1:31" ht="15.75" customHeight="1">
      <c r="A287" s="943"/>
      <c r="B287" s="943"/>
      <c r="C287" s="943"/>
      <c r="D287" s="943"/>
      <c r="E287" s="943"/>
      <c r="F287" s="943"/>
      <c r="G287" s="943"/>
      <c r="H287" s="943"/>
      <c r="I287" s="943"/>
      <c r="J287" s="943"/>
      <c r="K287" s="943"/>
      <c r="L287" s="943"/>
      <c r="M287" s="943"/>
      <c r="N287" s="943"/>
      <c r="O287" s="943"/>
      <c r="P287" s="943"/>
      <c r="Q287" s="943"/>
      <c r="R287" s="943"/>
      <c r="S287" s="943"/>
      <c r="T287" s="943"/>
      <c r="U287" s="943"/>
      <c r="V287" s="943"/>
      <c r="W287" s="943"/>
      <c r="X287" s="943"/>
      <c r="Y287" s="943"/>
      <c r="Z287" s="943"/>
      <c r="AA287" s="943"/>
      <c r="AB287" s="943"/>
      <c r="AC287" s="943"/>
      <c r="AD287" s="943"/>
      <c r="AE287" s="943"/>
    </row>
    <row r="288" spans="1:31" ht="15.75" customHeight="1">
      <c r="A288" s="943"/>
      <c r="B288" s="943"/>
      <c r="C288" s="943"/>
      <c r="D288" s="943"/>
      <c r="E288" s="943"/>
      <c r="F288" s="943"/>
      <c r="G288" s="943"/>
      <c r="H288" s="943"/>
      <c r="I288" s="943"/>
      <c r="J288" s="943"/>
      <c r="K288" s="943"/>
      <c r="L288" s="943"/>
      <c r="M288" s="943"/>
      <c r="N288" s="943"/>
      <c r="O288" s="943"/>
      <c r="P288" s="943"/>
      <c r="Q288" s="943"/>
      <c r="R288" s="943"/>
      <c r="S288" s="943"/>
      <c r="T288" s="943"/>
      <c r="U288" s="943"/>
      <c r="V288" s="943"/>
      <c r="W288" s="943"/>
      <c r="X288" s="943"/>
      <c r="Y288" s="943"/>
      <c r="Z288" s="943"/>
      <c r="AA288" s="943"/>
      <c r="AB288" s="943"/>
      <c r="AC288" s="943"/>
      <c r="AD288" s="943"/>
      <c r="AE288" s="943"/>
    </row>
    <row r="289" spans="1:31" ht="15.75" customHeight="1">
      <c r="A289" s="943"/>
      <c r="B289" s="943"/>
      <c r="C289" s="943"/>
      <c r="D289" s="943"/>
      <c r="E289" s="943"/>
      <c r="F289" s="943"/>
      <c r="G289" s="943"/>
      <c r="H289" s="943"/>
      <c r="I289" s="943"/>
      <c r="J289" s="943"/>
      <c r="K289" s="943"/>
      <c r="L289" s="943"/>
      <c r="M289" s="943"/>
      <c r="N289" s="943"/>
      <c r="O289" s="943"/>
      <c r="P289" s="943"/>
      <c r="Q289" s="943"/>
      <c r="R289" s="943"/>
      <c r="S289" s="943"/>
      <c r="T289" s="943"/>
      <c r="U289" s="943"/>
      <c r="V289" s="943"/>
      <c r="W289" s="943"/>
      <c r="X289" s="943"/>
      <c r="Y289" s="943"/>
      <c r="Z289" s="943"/>
      <c r="AA289" s="943"/>
      <c r="AB289" s="943"/>
      <c r="AC289" s="943"/>
      <c r="AD289" s="943"/>
      <c r="AE289" s="943"/>
    </row>
    <row r="290" spans="1:31" ht="15.75" customHeight="1">
      <c r="A290" s="943"/>
      <c r="B290" s="943"/>
      <c r="C290" s="943"/>
      <c r="D290" s="943"/>
      <c r="E290" s="943"/>
      <c r="F290" s="943"/>
      <c r="G290" s="943"/>
      <c r="H290" s="943"/>
      <c r="I290" s="943"/>
      <c r="J290" s="943"/>
      <c r="K290" s="943"/>
      <c r="L290" s="943"/>
      <c r="M290" s="943"/>
      <c r="N290" s="943"/>
      <c r="O290" s="943"/>
      <c r="P290" s="943"/>
      <c r="Q290" s="943"/>
      <c r="R290" s="943"/>
      <c r="S290" s="943"/>
      <c r="T290" s="943"/>
      <c r="U290" s="943"/>
      <c r="V290" s="943"/>
      <c r="W290" s="943"/>
      <c r="X290" s="943"/>
      <c r="Y290" s="943"/>
      <c r="Z290" s="943"/>
      <c r="AA290" s="943"/>
      <c r="AB290" s="943"/>
      <c r="AC290" s="943"/>
      <c r="AD290" s="943"/>
      <c r="AE290" s="943"/>
    </row>
    <row r="291" spans="1:31" ht="15.75" customHeight="1">
      <c r="A291" s="943"/>
      <c r="B291" s="943"/>
      <c r="C291" s="943"/>
      <c r="D291" s="943"/>
      <c r="E291" s="943"/>
      <c r="F291" s="943"/>
      <c r="G291" s="943"/>
      <c r="H291" s="943"/>
      <c r="I291" s="943"/>
      <c r="J291" s="943"/>
      <c r="K291" s="943"/>
      <c r="L291" s="943"/>
      <c r="M291" s="943"/>
      <c r="N291" s="943"/>
      <c r="O291" s="943"/>
      <c r="P291" s="943"/>
      <c r="Q291" s="943"/>
      <c r="R291" s="943"/>
      <c r="S291" s="943"/>
      <c r="T291" s="943"/>
      <c r="U291" s="943"/>
      <c r="V291" s="943"/>
      <c r="W291" s="943"/>
      <c r="X291" s="943"/>
      <c r="Y291" s="943"/>
      <c r="Z291" s="943"/>
      <c r="AA291" s="943"/>
      <c r="AB291" s="943"/>
      <c r="AC291" s="943"/>
      <c r="AD291" s="943"/>
      <c r="AE291" s="943"/>
    </row>
    <row r="292" spans="1:31" ht="15.75" customHeight="1">
      <c r="A292" s="943"/>
      <c r="B292" s="943"/>
      <c r="C292" s="943"/>
      <c r="D292" s="943"/>
      <c r="E292" s="943"/>
      <c r="F292" s="943"/>
      <c r="G292" s="943"/>
      <c r="H292" s="943"/>
      <c r="I292" s="943"/>
      <c r="J292" s="943"/>
      <c r="K292" s="943"/>
      <c r="L292" s="943"/>
      <c r="M292" s="943"/>
      <c r="N292" s="943"/>
      <c r="O292" s="943"/>
      <c r="P292" s="943"/>
      <c r="Q292" s="943"/>
      <c r="R292" s="943"/>
      <c r="S292" s="943"/>
      <c r="T292" s="943"/>
      <c r="U292" s="943"/>
      <c r="V292" s="943"/>
      <c r="W292" s="943"/>
      <c r="X292" s="943"/>
      <c r="Y292" s="943"/>
      <c r="Z292" s="943"/>
      <c r="AA292" s="943"/>
      <c r="AB292" s="943"/>
      <c r="AC292" s="943"/>
      <c r="AD292" s="943"/>
      <c r="AE292" s="943"/>
    </row>
    <row r="293" spans="1:31" ht="15.75" customHeight="1">
      <c r="A293" s="943"/>
      <c r="B293" s="943"/>
      <c r="C293" s="943"/>
      <c r="D293" s="943"/>
      <c r="E293" s="943"/>
      <c r="F293" s="943"/>
      <c r="G293" s="943"/>
      <c r="H293" s="943"/>
      <c r="I293" s="943"/>
      <c r="J293" s="943"/>
      <c r="K293" s="943"/>
      <c r="L293" s="943"/>
      <c r="M293" s="943"/>
      <c r="N293" s="943"/>
      <c r="O293" s="943"/>
      <c r="P293" s="943"/>
      <c r="Q293" s="943"/>
      <c r="R293" s="943"/>
      <c r="S293" s="943"/>
      <c r="T293" s="943"/>
      <c r="U293" s="943"/>
      <c r="V293" s="943"/>
      <c r="W293" s="943"/>
      <c r="X293" s="943"/>
      <c r="Y293" s="943"/>
      <c r="Z293" s="943"/>
      <c r="AA293" s="943"/>
      <c r="AB293" s="943"/>
      <c r="AC293" s="943"/>
      <c r="AD293" s="943"/>
      <c r="AE293" s="943"/>
    </row>
    <row r="294" spans="1:31" ht="15.75" customHeight="1">
      <c r="A294" s="943"/>
      <c r="B294" s="943"/>
      <c r="C294" s="943"/>
      <c r="D294" s="943"/>
      <c r="E294" s="943"/>
      <c r="F294" s="943"/>
      <c r="G294" s="943"/>
      <c r="H294" s="943"/>
      <c r="I294" s="943"/>
      <c r="J294" s="943"/>
      <c r="K294" s="943"/>
      <c r="L294" s="943"/>
      <c r="M294" s="943"/>
      <c r="N294" s="943"/>
      <c r="O294" s="943"/>
      <c r="P294" s="943"/>
      <c r="Q294" s="943"/>
      <c r="R294" s="943"/>
      <c r="S294" s="943"/>
      <c r="T294" s="943"/>
      <c r="U294" s="943"/>
      <c r="V294" s="943"/>
      <c r="W294" s="943"/>
      <c r="X294" s="943"/>
      <c r="Y294" s="943"/>
      <c r="Z294" s="943"/>
      <c r="AA294" s="943"/>
      <c r="AB294" s="943"/>
      <c r="AC294" s="943"/>
      <c r="AD294" s="943"/>
      <c r="AE294" s="943"/>
    </row>
    <row r="295" spans="1:31" ht="15.75" customHeight="1">
      <c r="A295" s="943"/>
      <c r="B295" s="943"/>
      <c r="C295" s="943"/>
      <c r="D295" s="943"/>
      <c r="E295" s="943"/>
      <c r="F295" s="943"/>
      <c r="G295" s="943"/>
      <c r="H295" s="943"/>
      <c r="I295" s="943"/>
      <c r="J295" s="943"/>
      <c r="K295" s="943"/>
      <c r="L295" s="943"/>
      <c r="M295" s="943"/>
      <c r="N295" s="943"/>
      <c r="O295" s="943"/>
      <c r="P295" s="943"/>
      <c r="Q295" s="943"/>
      <c r="R295" s="943"/>
      <c r="S295" s="943"/>
      <c r="T295" s="943"/>
      <c r="U295" s="943"/>
      <c r="V295" s="943"/>
      <c r="W295" s="943"/>
      <c r="X295" s="943"/>
      <c r="Y295" s="943"/>
      <c r="Z295" s="943"/>
      <c r="AA295" s="943"/>
      <c r="AB295" s="943"/>
      <c r="AC295" s="943"/>
      <c r="AD295" s="943"/>
      <c r="AE295" s="943"/>
    </row>
    <row r="296" spans="1:31" ht="15.75" customHeight="1">
      <c r="A296" s="943"/>
      <c r="B296" s="943"/>
      <c r="C296" s="943"/>
      <c r="D296" s="943"/>
      <c r="E296" s="943"/>
      <c r="F296" s="943"/>
      <c r="G296" s="943"/>
      <c r="H296" s="943"/>
      <c r="I296" s="943"/>
      <c r="J296" s="943"/>
      <c r="K296" s="943"/>
      <c r="L296" s="943"/>
      <c r="M296" s="943"/>
      <c r="N296" s="943"/>
      <c r="O296" s="943"/>
      <c r="P296" s="943"/>
      <c r="Q296" s="943"/>
      <c r="R296" s="943"/>
      <c r="S296" s="943"/>
      <c r="T296" s="943"/>
      <c r="U296" s="943"/>
      <c r="V296" s="943"/>
      <c r="W296" s="943"/>
      <c r="X296" s="943"/>
      <c r="Y296" s="943"/>
      <c r="Z296" s="943"/>
      <c r="AA296" s="943"/>
      <c r="AB296" s="943"/>
      <c r="AC296" s="943"/>
      <c r="AD296" s="943"/>
      <c r="AE296" s="943"/>
    </row>
    <row r="297" spans="1:31" ht="15.75" customHeight="1">
      <c r="A297" s="943"/>
      <c r="B297" s="943"/>
      <c r="C297" s="943"/>
      <c r="D297" s="943"/>
      <c r="E297" s="943"/>
      <c r="F297" s="943"/>
      <c r="G297" s="943"/>
      <c r="H297" s="943"/>
      <c r="I297" s="943"/>
      <c r="J297" s="943"/>
      <c r="K297" s="943"/>
      <c r="L297" s="943"/>
      <c r="M297" s="943"/>
      <c r="N297" s="943"/>
      <c r="O297" s="943"/>
      <c r="P297" s="943"/>
      <c r="Q297" s="943"/>
      <c r="R297" s="943"/>
      <c r="S297" s="943"/>
      <c r="T297" s="943"/>
      <c r="U297" s="943"/>
      <c r="V297" s="943"/>
      <c r="W297" s="943"/>
      <c r="X297" s="943"/>
      <c r="Y297" s="943"/>
      <c r="Z297" s="943"/>
      <c r="AA297" s="943"/>
      <c r="AB297" s="943"/>
      <c r="AC297" s="943"/>
      <c r="AD297" s="943"/>
      <c r="AE297" s="943"/>
    </row>
    <row r="298" spans="1:31" ht="15.75" customHeight="1">
      <c r="A298" s="943"/>
      <c r="B298" s="943"/>
      <c r="C298" s="943"/>
      <c r="D298" s="943"/>
      <c r="E298" s="943"/>
      <c r="F298" s="943"/>
      <c r="G298" s="943"/>
      <c r="H298" s="943"/>
      <c r="I298" s="943"/>
      <c r="J298" s="943"/>
      <c r="K298" s="943"/>
      <c r="L298" s="943"/>
      <c r="M298" s="943"/>
      <c r="N298" s="943"/>
      <c r="O298" s="943"/>
      <c r="P298" s="943"/>
      <c r="Q298" s="943"/>
      <c r="R298" s="943"/>
      <c r="S298" s="943"/>
      <c r="T298" s="943"/>
      <c r="U298" s="943"/>
      <c r="V298" s="943"/>
      <c r="W298" s="943"/>
      <c r="X298" s="943"/>
      <c r="Y298" s="943"/>
      <c r="Z298" s="943"/>
      <c r="AA298" s="943"/>
      <c r="AB298" s="943"/>
      <c r="AC298" s="943"/>
      <c r="AD298" s="943"/>
      <c r="AE298" s="943"/>
    </row>
    <row r="299" spans="1:31" ht="15.75" customHeight="1">
      <c r="A299" s="943"/>
      <c r="B299" s="943"/>
      <c r="C299" s="943"/>
      <c r="D299" s="943"/>
      <c r="E299" s="943"/>
      <c r="F299" s="943"/>
      <c r="G299" s="943"/>
      <c r="H299" s="943"/>
      <c r="I299" s="943"/>
      <c r="J299" s="943"/>
      <c r="K299" s="943"/>
      <c r="L299" s="943"/>
      <c r="M299" s="943"/>
      <c r="N299" s="943"/>
      <c r="O299" s="943"/>
      <c r="P299" s="943"/>
      <c r="Q299" s="943"/>
      <c r="R299" s="943"/>
      <c r="S299" s="943"/>
      <c r="T299" s="943"/>
      <c r="U299" s="943"/>
      <c r="V299" s="943"/>
      <c r="W299" s="943"/>
      <c r="X299" s="943"/>
      <c r="Y299" s="943"/>
      <c r="Z299" s="943"/>
      <c r="AA299" s="943"/>
      <c r="AB299" s="943"/>
      <c r="AC299" s="943"/>
      <c r="AD299" s="943"/>
      <c r="AE299" s="943"/>
    </row>
    <row r="300" spans="1:31" ht="15.75" customHeight="1">
      <c r="A300" s="943"/>
      <c r="B300" s="943"/>
      <c r="C300" s="943"/>
      <c r="D300" s="943"/>
      <c r="E300" s="943"/>
      <c r="F300" s="943"/>
      <c r="G300" s="943"/>
      <c r="H300" s="943"/>
      <c r="I300" s="943"/>
      <c r="J300" s="943"/>
      <c r="K300" s="943"/>
      <c r="L300" s="943"/>
      <c r="M300" s="943"/>
      <c r="N300" s="943"/>
      <c r="O300" s="943"/>
      <c r="P300" s="943"/>
      <c r="Q300" s="943"/>
      <c r="R300" s="943"/>
      <c r="S300" s="943"/>
      <c r="T300" s="943"/>
      <c r="U300" s="943"/>
      <c r="V300" s="943"/>
      <c r="W300" s="943"/>
      <c r="X300" s="943"/>
      <c r="Y300" s="943"/>
      <c r="Z300" s="943"/>
      <c r="AA300" s="943"/>
      <c r="AB300" s="943"/>
      <c r="AC300" s="943"/>
      <c r="AD300" s="943"/>
      <c r="AE300" s="943"/>
    </row>
    <row r="301" spans="1:31" ht="15.75" customHeight="1">
      <c r="A301" s="943"/>
      <c r="B301" s="943"/>
      <c r="C301" s="943"/>
      <c r="D301" s="943"/>
      <c r="E301" s="943"/>
      <c r="F301" s="943"/>
      <c r="G301" s="943"/>
      <c r="H301" s="943"/>
      <c r="I301" s="943"/>
      <c r="J301" s="943"/>
      <c r="K301" s="943"/>
      <c r="L301" s="943"/>
      <c r="M301" s="943"/>
      <c r="N301" s="943"/>
      <c r="O301" s="943"/>
      <c r="P301" s="943"/>
      <c r="Q301" s="943"/>
      <c r="R301" s="943"/>
      <c r="S301" s="943"/>
      <c r="T301" s="943"/>
      <c r="U301" s="943"/>
      <c r="V301" s="943"/>
      <c r="W301" s="943"/>
      <c r="X301" s="943"/>
      <c r="Y301" s="943"/>
      <c r="Z301" s="943"/>
      <c r="AA301" s="943"/>
      <c r="AB301" s="943"/>
      <c r="AC301" s="943"/>
      <c r="AD301" s="943"/>
      <c r="AE301" s="943"/>
    </row>
    <row r="302" spans="1:31" ht="15.75" customHeight="1">
      <c r="A302" s="943"/>
      <c r="B302" s="943"/>
      <c r="C302" s="943"/>
      <c r="D302" s="943"/>
      <c r="E302" s="943"/>
      <c r="F302" s="943"/>
      <c r="G302" s="943"/>
      <c r="H302" s="943"/>
      <c r="I302" s="943"/>
      <c r="J302" s="943"/>
      <c r="K302" s="943"/>
      <c r="L302" s="943"/>
      <c r="M302" s="943"/>
      <c r="N302" s="943"/>
      <c r="O302" s="943"/>
      <c r="P302" s="943"/>
      <c r="Q302" s="943"/>
      <c r="R302" s="943"/>
      <c r="S302" s="943"/>
      <c r="T302" s="943"/>
      <c r="U302" s="943"/>
      <c r="V302" s="943"/>
      <c r="W302" s="943"/>
      <c r="X302" s="943"/>
      <c r="Y302" s="943"/>
      <c r="Z302" s="943"/>
      <c r="AA302" s="943"/>
      <c r="AB302" s="943"/>
      <c r="AC302" s="943"/>
      <c r="AD302" s="943"/>
      <c r="AE302" s="943"/>
    </row>
    <row r="303" spans="1:31" ht="15.75" customHeight="1">
      <c r="A303" s="943"/>
      <c r="B303" s="943"/>
      <c r="C303" s="943"/>
      <c r="D303" s="943"/>
      <c r="E303" s="943"/>
      <c r="F303" s="943"/>
      <c r="G303" s="943"/>
      <c r="H303" s="943"/>
      <c r="I303" s="943"/>
      <c r="J303" s="943"/>
      <c r="K303" s="943"/>
      <c r="L303" s="943"/>
      <c r="M303" s="943"/>
      <c r="N303" s="943"/>
      <c r="O303" s="943"/>
      <c r="P303" s="943"/>
      <c r="Q303" s="943"/>
      <c r="R303" s="943"/>
      <c r="S303" s="943"/>
      <c r="T303" s="943"/>
      <c r="U303" s="943"/>
      <c r="V303" s="943"/>
      <c r="W303" s="943"/>
      <c r="X303" s="943"/>
      <c r="Y303" s="943"/>
      <c r="Z303" s="943"/>
      <c r="AA303" s="943"/>
      <c r="AB303" s="943"/>
      <c r="AC303" s="943"/>
      <c r="AD303" s="943"/>
      <c r="AE303" s="943"/>
    </row>
    <row r="304" spans="1:31" ht="15.75" customHeight="1">
      <c r="A304" s="943"/>
      <c r="B304" s="943"/>
      <c r="C304" s="943"/>
      <c r="D304" s="943"/>
      <c r="E304" s="943"/>
      <c r="F304" s="943"/>
      <c r="G304" s="943"/>
      <c r="H304" s="943"/>
      <c r="I304" s="943"/>
      <c r="J304" s="943"/>
      <c r="K304" s="943"/>
      <c r="L304" s="943"/>
      <c r="M304" s="943"/>
      <c r="N304" s="943"/>
      <c r="O304" s="943"/>
      <c r="P304" s="943"/>
      <c r="Q304" s="943"/>
      <c r="R304" s="943"/>
      <c r="S304" s="943"/>
      <c r="T304" s="943"/>
      <c r="U304" s="943"/>
      <c r="V304" s="943"/>
      <c r="W304" s="943"/>
      <c r="X304" s="943"/>
      <c r="Y304" s="943"/>
      <c r="Z304" s="943"/>
      <c r="AA304" s="943"/>
      <c r="AB304" s="943"/>
      <c r="AC304" s="943"/>
      <c r="AD304" s="943"/>
      <c r="AE304" s="943"/>
    </row>
    <row r="305" spans="1:31" ht="15.75" customHeight="1">
      <c r="A305" s="943"/>
      <c r="B305" s="943"/>
      <c r="C305" s="943"/>
      <c r="D305" s="943"/>
      <c r="E305" s="943"/>
      <c r="F305" s="943"/>
      <c r="G305" s="943"/>
      <c r="H305" s="943"/>
      <c r="I305" s="943"/>
      <c r="J305" s="943"/>
      <c r="K305" s="943"/>
      <c r="L305" s="943"/>
      <c r="M305" s="943"/>
      <c r="N305" s="943"/>
      <c r="O305" s="943"/>
      <c r="P305" s="943"/>
      <c r="Q305" s="943"/>
      <c r="R305" s="943"/>
      <c r="S305" s="943"/>
      <c r="T305" s="943"/>
      <c r="U305" s="943"/>
      <c r="V305" s="943"/>
      <c r="W305" s="943"/>
      <c r="X305" s="943"/>
      <c r="Y305" s="943"/>
      <c r="Z305" s="943"/>
      <c r="AA305" s="943"/>
      <c r="AB305" s="943"/>
      <c r="AC305" s="943"/>
      <c r="AD305" s="943"/>
      <c r="AE305" s="943"/>
    </row>
    <row r="306" spans="1:31" ht="15.75" customHeight="1">
      <c r="A306" s="943"/>
      <c r="B306" s="943"/>
      <c r="C306" s="943"/>
      <c r="D306" s="943"/>
      <c r="E306" s="943"/>
      <c r="F306" s="943"/>
      <c r="G306" s="943"/>
      <c r="H306" s="943"/>
      <c r="I306" s="943"/>
      <c r="J306" s="943"/>
      <c r="K306" s="943"/>
      <c r="L306" s="943"/>
      <c r="M306" s="943"/>
      <c r="N306" s="943"/>
      <c r="O306" s="943"/>
      <c r="P306" s="943"/>
      <c r="Q306" s="943"/>
      <c r="R306" s="943"/>
      <c r="S306" s="943"/>
      <c r="T306" s="943"/>
      <c r="U306" s="943"/>
      <c r="V306" s="943"/>
      <c r="W306" s="943"/>
      <c r="X306" s="943"/>
      <c r="Y306" s="943"/>
      <c r="Z306" s="943"/>
      <c r="AA306" s="943"/>
      <c r="AB306" s="943"/>
      <c r="AC306" s="943"/>
      <c r="AD306" s="943"/>
      <c r="AE306" s="943"/>
    </row>
    <row r="307" spans="1:31" ht="15.75" customHeight="1">
      <c r="A307" s="943"/>
      <c r="B307" s="943"/>
      <c r="C307" s="943"/>
      <c r="D307" s="943"/>
      <c r="E307" s="943"/>
      <c r="F307" s="943"/>
      <c r="G307" s="943"/>
      <c r="H307" s="943"/>
      <c r="I307" s="943"/>
      <c r="J307" s="943"/>
      <c r="K307" s="943"/>
      <c r="L307" s="943"/>
      <c r="M307" s="943"/>
      <c r="N307" s="943"/>
      <c r="O307" s="943"/>
      <c r="P307" s="943"/>
      <c r="Q307" s="943"/>
      <c r="R307" s="943"/>
      <c r="S307" s="943"/>
      <c r="T307" s="943"/>
      <c r="U307" s="943"/>
      <c r="V307" s="943"/>
      <c r="W307" s="943"/>
      <c r="X307" s="943"/>
      <c r="Y307" s="943"/>
      <c r="Z307" s="943"/>
      <c r="AA307" s="943"/>
      <c r="AB307" s="943"/>
      <c r="AC307" s="943"/>
      <c r="AD307" s="943"/>
      <c r="AE307" s="943"/>
    </row>
    <row r="308" spans="1:31" ht="15.75" customHeight="1">
      <c r="A308" s="943"/>
      <c r="B308" s="943"/>
      <c r="C308" s="943"/>
      <c r="D308" s="943"/>
      <c r="E308" s="943"/>
      <c r="F308" s="943"/>
      <c r="G308" s="943"/>
      <c r="H308" s="943"/>
      <c r="I308" s="943"/>
      <c r="J308" s="943"/>
      <c r="K308" s="943"/>
      <c r="L308" s="943"/>
      <c r="M308" s="943"/>
      <c r="N308" s="943"/>
      <c r="O308" s="943"/>
      <c r="P308" s="943"/>
      <c r="Q308" s="943"/>
      <c r="R308" s="943"/>
      <c r="S308" s="943"/>
      <c r="T308" s="943"/>
      <c r="U308" s="943"/>
      <c r="V308" s="943"/>
      <c r="W308" s="943"/>
      <c r="X308" s="943"/>
      <c r="Y308" s="943"/>
      <c r="Z308" s="943"/>
      <c r="AA308" s="943"/>
      <c r="AB308" s="943"/>
      <c r="AC308" s="943"/>
      <c r="AD308" s="943"/>
      <c r="AE308" s="943"/>
    </row>
    <row r="309" spans="1:31" ht="15.75" customHeight="1">
      <c r="A309" s="943"/>
      <c r="B309" s="943"/>
      <c r="C309" s="943"/>
      <c r="D309" s="943"/>
      <c r="E309" s="943"/>
      <c r="F309" s="943"/>
      <c r="G309" s="943"/>
      <c r="H309" s="943"/>
      <c r="I309" s="943"/>
      <c r="J309" s="943"/>
      <c r="K309" s="943"/>
      <c r="L309" s="943"/>
      <c r="M309" s="943"/>
      <c r="N309" s="943"/>
      <c r="O309" s="943"/>
      <c r="P309" s="943"/>
      <c r="Q309" s="943"/>
      <c r="R309" s="943"/>
      <c r="S309" s="943"/>
      <c r="T309" s="943"/>
      <c r="U309" s="943"/>
      <c r="V309" s="943"/>
      <c r="W309" s="943"/>
      <c r="X309" s="943"/>
      <c r="Y309" s="943"/>
      <c r="Z309" s="943"/>
      <c r="AA309" s="943"/>
      <c r="AB309" s="943"/>
      <c r="AC309" s="943"/>
      <c r="AD309" s="943"/>
      <c r="AE309" s="943"/>
    </row>
    <row r="310" spans="1:31" ht="15.75" customHeight="1">
      <c r="A310" s="943"/>
      <c r="B310" s="943"/>
      <c r="C310" s="943"/>
      <c r="D310" s="943"/>
      <c r="E310" s="943"/>
      <c r="F310" s="943"/>
      <c r="G310" s="943"/>
      <c r="H310" s="943"/>
      <c r="I310" s="943"/>
      <c r="J310" s="943"/>
      <c r="K310" s="943"/>
      <c r="L310" s="943"/>
      <c r="M310" s="943"/>
      <c r="N310" s="943"/>
      <c r="O310" s="943"/>
      <c r="P310" s="943"/>
      <c r="Q310" s="943"/>
      <c r="R310" s="943"/>
      <c r="S310" s="943"/>
      <c r="T310" s="943"/>
      <c r="U310" s="943"/>
      <c r="V310" s="943"/>
      <c r="W310" s="943"/>
      <c r="X310" s="943"/>
      <c r="Y310" s="943"/>
      <c r="Z310" s="943"/>
      <c r="AA310" s="943"/>
      <c r="AB310" s="943"/>
      <c r="AC310" s="943"/>
      <c r="AD310" s="943"/>
      <c r="AE310" s="943"/>
    </row>
    <row r="311" spans="1:31" ht="15.75" customHeight="1">
      <c r="A311" s="943"/>
      <c r="B311" s="943"/>
      <c r="C311" s="943"/>
      <c r="D311" s="943"/>
      <c r="E311" s="943"/>
      <c r="F311" s="943"/>
      <c r="G311" s="943"/>
      <c r="H311" s="943"/>
      <c r="I311" s="943"/>
      <c r="J311" s="943"/>
      <c r="K311" s="943"/>
      <c r="L311" s="943"/>
      <c r="M311" s="943"/>
      <c r="N311" s="943"/>
      <c r="O311" s="943"/>
      <c r="P311" s="943"/>
      <c r="Q311" s="943"/>
      <c r="R311" s="943"/>
      <c r="S311" s="943"/>
      <c r="T311" s="943"/>
      <c r="U311" s="943"/>
      <c r="V311" s="943"/>
      <c r="W311" s="943"/>
      <c r="X311" s="943"/>
      <c r="Y311" s="943"/>
      <c r="Z311" s="943"/>
      <c r="AA311" s="943"/>
      <c r="AB311" s="943"/>
      <c r="AC311" s="943"/>
      <c r="AD311" s="943"/>
      <c r="AE311" s="943"/>
    </row>
    <row r="312" spans="1:31" ht="15.75" customHeight="1">
      <c r="A312" s="943"/>
      <c r="B312" s="943"/>
      <c r="C312" s="943"/>
      <c r="D312" s="943"/>
      <c r="E312" s="943"/>
      <c r="F312" s="943"/>
      <c r="G312" s="943"/>
      <c r="H312" s="943"/>
      <c r="I312" s="943"/>
      <c r="J312" s="943"/>
      <c r="K312" s="943"/>
      <c r="L312" s="943"/>
      <c r="M312" s="943"/>
      <c r="N312" s="943"/>
      <c r="O312" s="943"/>
      <c r="P312" s="943"/>
      <c r="Q312" s="943"/>
      <c r="R312" s="943"/>
      <c r="S312" s="943"/>
      <c r="T312" s="943"/>
      <c r="U312" s="943"/>
      <c r="V312" s="943"/>
      <c r="W312" s="943"/>
      <c r="X312" s="943"/>
      <c r="Y312" s="943"/>
      <c r="Z312" s="943"/>
      <c r="AA312" s="943"/>
      <c r="AB312" s="943"/>
      <c r="AC312" s="943"/>
      <c r="AD312" s="943"/>
      <c r="AE312" s="943"/>
    </row>
    <row r="313" spans="1:31" ht="15.75" customHeight="1">
      <c r="A313" s="943"/>
      <c r="B313" s="943"/>
      <c r="C313" s="943"/>
      <c r="D313" s="943"/>
      <c r="E313" s="943"/>
      <c r="F313" s="943"/>
      <c r="G313" s="943"/>
      <c r="H313" s="943"/>
      <c r="I313" s="943"/>
      <c r="J313" s="943"/>
      <c r="K313" s="943"/>
      <c r="L313" s="943"/>
      <c r="M313" s="943"/>
      <c r="N313" s="943"/>
      <c r="O313" s="943"/>
      <c r="P313" s="943"/>
      <c r="Q313" s="943"/>
      <c r="R313" s="943"/>
      <c r="S313" s="943"/>
      <c r="T313" s="943"/>
      <c r="U313" s="943"/>
      <c r="V313" s="943"/>
      <c r="W313" s="943"/>
      <c r="X313" s="943"/>
      <c r="Y313" s="943"/>
      <c r="Z313" s="943"/>
      <c r="AA313" s="943"/>
      <c r="AB313" s="943"/>
      <c r="AC313" s="943"/>
      <c r="AD313" s="943"/>
      <c r="AE313" s="943"/>
    </row>
    <row r="314" spans="1:31" ht="15.75" customHeight="1">
      <c r="A314" s="943"/>
      <c r="B314" s="943"/>
      <c r="C314" s="943"/>
      <c r="D314" s="943"/>
      <c r="E314" s="943"/>
      <c r="F314" s="943"/>
      <c r="G314" s="943"/>
      <c r="H314" s="943"/>
      <c r="I314" s="943"/>
      <c r="J314" s="943"/>
      <c r="K314" s="943"/>
      <c r="L314" s="943"/>
      <c r="M314" s="943"/>
      <c r="N314" s="943"/>
      <c r="O314" s="943"/>
      <c r="P314" s="943"/>
      <c r="Q314" s="943"/>
      <c r="R314" s="943"/>
      <c r="S314" s="943"/>
      <c r="T314" s="943"/>
      <c r="U314" s="943"/>
      <c r="V314" s="943"/>
      <c r="W314" s="943"/>
      <c r="X314" s="943"/>
      <c r="Y314" s="943"/>
      <c r="Z314" s="943"/>
      <c r="AA314" s="943"/>
      <c r="AB314" s="943"/>
      <c r="AC314" s="943"/>
      <c r="AD314" s="943"/>
      <c r="AE314" s="943"/>
    </row>
    <row r="315" spans="1:31" ht="15.75" customHeight="1">
      <c r="A315" s="943"/>
      <c r="B315" s="943"/>
      <c r="C315" s="943"/>
      <c r="D315" s="943"/>
      <c r="E315" s="943"/>
      <c r="F315" s="943"/>
      <c r="G315" s="943"/>
      <c r="H315" s="943"/>
      <c r="I315" s="943"/>
      <c r="J315" s="943"/>
      <c r="K315" s="943"/>
      <c r="L315" s="943"/>
      <c r="M315" s="943"/>
      <c r="N315" s="943"/>
      <c r="O315" s="943"/>
      <c r="P315" s="943"/>
      <c r="Q315" s="943"/>
      <c r="R315" s="943"/>
      <c r="S315" s="943"/>
      <c r="T315" s="943"/>
      <c r="U315" s="943"/>
      <c r="V315" s="943"/>
      <c r="W315" s="943"/>
      <c r="X315" s="943"/>
      <c r="Y315" s="943"/>
      <c r="Z315" s="943"/>
      <c r="AA315" s="943"/>
      <c r="AB315" s="943"/>
      <c r="AC315" s="943"/>
      <c r="AD315" s="943"/>
      <c r="AE315" s="943"/>
    </row>
    <row r="316" spans="1:31" ht="15.75" customHeight="1">
      <c r="A316" s="943"/>
      <c r="B316" s="943"/>
      <c r="C316" s="943"/>
      <c r="D316" s="943"/>
      <c r="E316" s="943"/>
      <c r="F316" s="943"/>
      <c r="G316" s="943"/>
      <c r="H316" s="943"/>
      <c r="I316" s="943"/>
      <c r="J316" s="943"/>
      <c r="K316" s="943"/>
      <c r="L316" s="943"/>
      <c r="M316" s="943"/>
      <c r="N316" s="943"/>
      <c r="O316" s="943"/>
      <c r="P316" s="943"/>
      <c r="Q316" s="943"/>
      <c r="R316" s="943"/>
      <c r="S316" s="943"/>
      <c r="T316" s="943"/>
      <c r="U316" s="943"/>
      <c r="V316" s="943"/>
      <c r="W316" s="943"/>
      <c r="X316" s="943"/>
      <c r="Y316" s="943"/>
      <c r="Z316" s="943"/>
      <c r="AA316" s="943"/>
      <c r="AB316" s="943"/>
      <c r="AC316" s="943"/>
      <c r="AD316" s="943"/>
      <c r="AE316" s="943"/>
    </row>
    <row r="317" spans="1:31" ht="15.75" customHeight="1">
      <c r="A317" s="943"/>
      <c r="B317" s="943"/>
      <c r="C317" s="943"/>
      <c r="D317" s="943"/>
      <c r="E317" s="943"/>
      <c r="F317" s="943"/>
      <c r="G317" s="943"/>
      <c r="H317" s="943"/>
      <c r="I317" s="943"/>
      <c r="J317" s="943"/>
      <c r="K317" s="943"/>
      <c r="L317" s="943"/>
      <c r="M317" s="943"/>
      <c r="N317" s="943"/>
      <c r="O317" s="943"/>
      <c r="P317" s="943"/>
      <c r="Q317" s="943"/>
      <c r="R317" s="943"/>
      <c r="S317" s="943"/>
      <c r="T317" s="943"/>
      <c r="U317" s="943"/>
      <c r="V317" s="943"/>
      <c r="W317" s="943"/>
      <c r="X317" s="943"/>
      <c r="Y317" s="943"/>
      <c r="Z317" s="943"/>
      <c r="AA317" s="943"/>
      <c r="AB317" s="943"/>
      <c r="AC317" s="943"/>
      <c r="AD317" s="943"/>
      <c r="AE317" s="943"/>
    </row>
    <row r="318" spans="1:31" ht="15.75" customHeight="1">
      <c r="A318" s="943"/>
      <c r="B318" s="943"/>
      <c r="C318" s="943"/>
      <c r="D318" s="943"/>
      <c r="E318" s="943"/>
      <c r="F318" s="943"/>
      <c r="G318" s="943"/>
      <c r="H318" s="943"/>
      <c r="I318" s="943"/>
      <c r="J318" s="943"/>
      <c r="K318" s="943"/>
      <c r="L318" s="943"/>
      <c r="M318" s="943"/>
      <c r="N318" s="943"/>
      <c r="O318" s="943"/>
      <c r="P318" s="943"/>
      <c r="Q318" s="943"/>
      <c r="R318" s="943"/>
      <c r="S318" s="943"/>
      <c r="T318" s="943"/>
      <c r="U318" s="943"/>
      <c r="V318" s="943"/>
      <c r="W318" s="943"/>
      <c r="X318" s="943"/>
      <c r="Y318" s="943"/>
      <c r="Z318" s="943"/>
      <c r="AA318" s="943"/>
      <c r="AB318" s="943"/>
      <c r="AC318" s="943"/>
      <c r="AD318" s="943"/>
      <c r="AE318" s="943"/>
    </row>
    <row r="319" spans="1:31" ht="15.75" customHeight="1">
      <c r="A319" s="943"/>
      <c r="B319" s="943"/>
      <c r="C319" s="943"/>
      <c r="D319" s="943"/>
      <c r="E319" s="943"/>
      <c r="F319" s="943"/>
      <c r="G319" s="943"/>
      <c r="H319" s="943"/>
      <c r="I319" s="943"/>
      <c r="J319" s="943"/>
      <c r="K319" s="943"/>
      <c r="L319" s="943"/>
      <c r="M319" s="943"/>
      <c r="N319" s="943"/>
      <c r="O319" s="943"/>
      <c r="P319" s="943"/>
      <c r="Q319" s="943"/>
      <c r="R319" s="943"/>
      <c r="S319" s="943"/>
      <c r="T319" s="943"/>
      <c r="U319" s="943"/>
      <c r="V319" s="943"/>
      <c r="W319" s="943"/>
      <c r="X319" s="943"/>
      <c r="Y319" s="943"/>
      <c r="Z319" s="943"/>
      <c r="AA319" s="943"/>
      <c r="AB319" s="943"/>
      <c r="AC319" s="943"/>
      <c r="AD319" s="943"/>
      <c r="AE319" s="943"/>
    </row>
    <row r="320" spans="1:31" ht="15.75" customHeight="1">
      <c r="A320" s="943"/>
      <c r="B320" s="943"/>
      <c r="C320" s="943"/>
      <c r="D320" s="943"/>
      <c r="E320" s="943"/>
      <c r="F320" s="943"/>
      <c r="G320" s="943"/>
      <c r="H320" s="943"/>
      <c r="I320" s="943"/>
      <c r="J320" s="943"/>
      <c r="K320" s="943"/>
      <c r="L320" s="943"/>
      <c r="M320" s="943"/>
      <c r="N320" s="943"/>
      <c r="O320" s="943"/>
      <c r="P320" s="943"/>
      <c r="Q320" s="943"/>
      <c r="R320" s="943"/>
      <c r="S320" s="943"/>
      <c r="T320" s="943"/>
      <c r="U320" s="943"/>
      <c r="V320" s="943"/>
      <c r="W320" s="943"/>
      <c r="X320" s="943"/>
      <c r="Y320" s="943"/>
      <c r="Z320" s="943"/>
      <c r="AA320" s="943"/>
      <c r="AB320" s="943"/>
      <c r="AC320" s="943"/>
      <c r="AD320" s="943"/>
      <c r="AE320" s="943"/>
    </row>
    <row r="321" spans="1:31" ht="15.75" customHeight="1">
      <c r="A321" s="943"/>
      <c r="B321" s="943"/>
      <c r="C321" s="943"/>
      <c r="D321" s="943"/>
      <c r="E321" s="943"/>
      <c r="F321" s="943"/>
      <c r="G321" s="943"/>
      <c r="H321" s="943"/>
      <c r="I321" s="943"/>
      <c r="J321" s="943"/>
      <c r="K321" s="943"/>
      <c r="L321" s="943"/>
      <c r="M321" s="943"/>
      <c r="N321" s="943"/>
      <c r="O321" s="943"/>
      <c r="P321" s="943"/>
      <c r="Q321" s="943"/>
      <c r="R321" s="943"/>
      <c r="S321" s="943"/>
      <c r="T321" s="943"/>
      <c r="U321" s="943"/>
      <c r="V321" s="943"/>
      <c r="W321" s="943"/>
      <c r="X321" s="943"/>
      <c r="Y321" s="943"/>
      <c r="Z321" s="943"/>
      <c r="AA321" s="943"/>
      <c r="AB321" s="943"/>
      <c r="AC321" s="943"/>
      <c r="AD321" s="943"/>
      <c r="AE321" s="943"/>
    </row>
    <row r="322" spans="1:31" ht="15.75" customHeight="1">
      <c r="A322" s="943"/>
      <c r="B322" s="943"/>
      <c r="C322" s="943"/>
      <c r="D322" s="943"/>
      <c r="E322" s="943"/>
      <c r="F322" s="943"/>
      <c r="G322" s="943"/>
      <c r="H322" s="943"/>
      <c r="I322" s="943"/>
      <c r="J322" s="943"/>
      <c r="K322" s="943"/>
      <c r="L322" s="943"/>
      <c r="M322" s="943"/>
      <c r="N322" s="943"/>
      <c r="O322" s="943"/>
      <c r="P322" s="943"/>
      <c r="Q322" s="943"/>
      <c r="R322" s="943"/>
      <c r="S322" s="943"/>
      <c r="T322" s="943"/>
      <c r="U322" s="943"/>
      <c r="V322" s="943"/>
      <c r="W322" s="943"/>
      <c r="X322" s="943"/>
      <c r="Y322" s="943"/>
      <c r="Z322" s="943"/>
      <c r="AA322" s="943"/>
      <c r="AB322" s="943"/>
      <c r="AC322" s="943"/>
      <c r="AD322" s="943"/>
      <c r="AE322" s="943"/>
    </row>
    <row r="323" spans="1:31" ht="15.75" customHeight="1">
      <c r="A323" s="943"/>
      <c r="B323" s="943"/>
      <c r="C323" s="943"/>
      <c r="D323" s="943"/>
      <c r="E323" s="943"/>
      <c r="F323" s="943"/>
      <c r="G323" s="943"/>
      <c r="H323" s="943"/>
      <c r="I323" s="943"/>
      <c r="J323" s="943"/>
      <c r="K323" s="943"/>
      <c r="L323" s="943"/>
      <c r="M323" s="943"/>
      <c r="N323" s="943"/>
      <c r="O323" s="943"/>
      <c r="P323" s="943"/>
      <c r="Q323" s="943"/>
      <c r="R323" s="943"/>
      <c r="S323" s="943"/>
      <c r="T323" s="943"/>
      <c r="U323" s="943"/>
      <c r="V323" s="943"/>
      <c r="W323" s="943"/>
      <c r="X323" s="943"/>
      <c r="Y323" s="943"/>
      <c r="Z323" s="943"/>
      <c r="AA323" s="943"/>
      <c r="AB323" s="943"/>
      <c r="AC323" s="943"/>
      <c r="AD323" s="943"/>
      <c r="AE323" s="943"/>
    </row>
    <row r="324" spans="1:31" ht="15.75" customHeight="1">
      <c r="A324" s="943"/>
      <c r="B324" s="943"/>
      <c r="C324" s="943"/>
      <c r="D324" s="943"/>
      <c r="E324" s="943"/>
      <c r="F324" s="943"/>
      <c r="G324" s="943"/>
      <c r="H324" s="943"/>
      <c r="I324" s="943"/>
      <c r="J324" s="943"/>
      <c r="K324" s="943"/>
      <c r="L324" s="943"/>
      <c r="M324" s="943"/>
      <c r="N324" s="943"/>
      <c r="O324" s="943"/>
      <c r="P324" s="943"/>
      <c r="Q324" s="943"/>
      <c r="R324" s="943"/>
      <c r="S324" s="943"/>
      <c r="T324" s="943"/>
      <c r="U324" s="943"/>
      <c r="V324" s="943"/>
      <c r="W324" s="943"/>
      <c r="X324" s="943"/>
      <c r="Y324" s="943"/>
      <c r="Z324" s="943"/>
      <c r="AA324" s="943"/>
      <c r="AB324" s="943"/>
      <c r="AC324" s="943"/>
      <c r="AD324" s="943"/>
      <c r="AE324" s="943"/>
    </row>
    <row r="325" spans="1:31" ht="15.75" customHeight="1">
      <c r="A325" s="943"/>
      <c r="B325" s="943"/>
      <c r="C325" s="943"/>
      <c r="D325" s="943"/>
      <c r="E325" s="943"/>
      <c r="F325" s="943"/>
      <c r="G325" s="943"/>
      <c r="H325" s="943"/>
      <c r="I325" s="943"/>
      <c r="J325" s="943"/>
      <c r="K325" s="943"/>
      <c r="L325" s="943"/>
      <c r="M325" s="943"/>
      <c r="N325" s="943"/>
      <c r="O325" s="943"/>
      <c r="P325" s="943"/>
      <c r="Q325" s="943"/>
      <c r="R325" s="943"/>
      <c r="S325" s="943"/>
      <c r="T325" s="943"/>
      <c r="U325" s="943"/>
      <c r="V325" s="943"/>
      <c r="W325" s="943"/>
      <c r="X325" s="943"/>
      <c r="Y325" s="943"/>
      <c r="Z325" s="943"/>
      <c r="AA325" s="943"/>
      <c r="AB325" s="943"/>
      <c r="AC325" s="943"/>
      <c r="AD325" s="943"/>
      <c r="AE325" s="943"/>
    </row>
    <row r="326" spans="1:31" ht="15.75" customHeight="1">
      <c r="A326" s="943"/>
      <c r="B326" s="943"/>
      <c r="C326" s="943"/>
      <c r="D326" s="943"/>
      <c r="E326" s="943"/>
      <c r="F326" s="943"/>
      <c r="G326" s="943"/>
      <c r="H326" s="943"/>
      <c r="I326" s="943"/>
      <c r="J326" s="943"/>
      <c r="K326" s="943"/>
      <c r="L326" s="943"/>
      <c r="M326" s="943"/>
      <c r="N326" s="943"/>
      <c r="O326" s="943"/>
      <c r="P326" s="943"/>
      <c r="Q326" s="943"/>
      <c r="R326" s="943"/>
      <c r="S326" s="943"/>
      <c r="T326" s="943"/>
      <c r="U326" s="943"/>
      <c r="V326" s="943"/>
      <c r="W326" s="943"/>
      <c r="X326" s="943"/>
      <c r="Y326" s="943"/>
      <c r="Z326" s="943"/>
      <c r="AA326" s="943"/>
      <c r="AB326" s="943"/>
      <c r="AC326" s="943"/>
      <c r="AD326" s="943"/>
      <c r="AE326" s="943"/>
    </row>
    <row r="327" spans="1:31" ht="15.75" customHeight="1">
      <c r="A327" s="943"/>
      <c r="B327" s="943"/>
      <c r="C327" s="943"/>
      <c r="D327" s="943"/>
      <c r="E327" s="943"/>
      <c r="F327" s="943"/>
      <c r="G327" s="943"/>
      <c r="H327" s="943"/>
      <c r="I327" s="943"/>
      <c r="J327" s="943"/>
      <c r="K327" s="943"/>
      <c r="L327" s="943"/>
      <c r="M327" s="943"/>
      <c r="N327" s="943"/>
      <c r="O327" s="943"/>
      <c r="P327" s="943"/>
      <c r="Q327" s="943"/>
      <c r="R327" s="943"/>
      <c r="S327" s="943"/>
      <c r="T327" s="943"/>
      <c r="U327" s="943"/>
      <c r="V327" s="943"/>
      <c r="W327" s="943"/>
      <c r="X327" s="943"/>
      <c r="Y327" s="943"/>
      <c r="Z327" s="943"/>
      <c r="AA327" s="943"/>
      <c r="AB327" s="943"/>
      <c r="AC327" s="943"/>
      <c r="AD327" s="943"/>
      <c r="AE327" s="943"/>
    </row>
    <row r="328" spans="1:31" ht="15.75" customHeight="1">
      <c r="A328" s="943"/>
      <c r="B328" s="943"/>
      <c r="C328" s="943"/>
      <c r="D328" s="943"/>
      <c r="E328" s="943"/>
      <c r="F328" s="943"/>
      <c r="G328" s="943"/>
      <c r="H328" s="943"/>
      <c r="I328" s="943"/>
      <c r="J328" s="943"/>
      <c r="K328" s="943"/>
      <c r="L328" s="943"/>
      <c r="M328" s="943"/>
      <c r="N328" s="943"/>
      <c r="O328" s="943"/>
      <c r="P328" s="943"/>
      <c r="Q328" s="943"/>
      <c r="R328" s="943"/>
      <c r="S328" s="943"/>
      <c r="T328" s="943"/>
      <c r="U328" s="943"/>
      <c r="V328" s="943"/>
      <c r="W328" s="943"/>
      <c r="X328" s="943"/>
      <c r="Y328" s="943"/>
      <c r="Z328" s="943"/>
      <c r="AA328" s="943"/>
      <c r="AB328" s="943"/>
      <c r="AC328" s="943"/>
      <c r="AD328" s="943"/>
      <c r="AE328" s="943"/>
    </row>
    <row r="329" spans="1:31" ht="15.75" customHeight="1">
      <c r="A329" s="943"/>
      <c r="B329" s="943"/>
      <c r="C329" s="943"/>
      <c r="D329" s="943"/>
      <c r="E329" s="943"/>
      <c r="F329" s="943"/>
      <c r="G329" s="943"/>
      <c r="H329" s="943"/>
      <c r="I329" s="943"/>
      <c r="J329" s="943"/>
      <c r="K329" s="943"/>
      <c r="L329" s="943"/>
      <c r="M329" s="943"/>
      <c r="N329" s="943"/>
      <c r="O329" s="943"/>
      <c r="P329" s="943"/>
      <c r="Q329" s="943"/>
      <c r="R329" s="943"/>
      <c r="S329" s="943"/>
      <c r="T329" s="943"/>
      <c r="U329" s="943"/>
      <c r="V329" s="943"/>
      <c r="W329" s="943"/>
      <c r="X329" s="943"/>
      <c r="Y329" s="943"/>
      <c r="Z329" s="943"/>
      <c r="AA329" s="943"/>
      <c r="AB329" s="943"/>
      <c r="AC329" s="943"/>
      <c r="AD329" s="943"/>
      <c r="AE329" s="943"/>
    </row>
    <row r="330" spans="1:31" ht="15.75" customHeight="1">
      <c r="A330" s="943"/>
      <c r="B330" s="943"/>
      <c r="C330" s="943"/>
      <c r="D330" s="943"/>
      <c r="E330" s="943"/>
      <c r="F330" s="943"/>
      <c r="G330" s="943"/>
      <c r="H330" s="943"/>
      <c r="I330" s="943"/>
      <c r="J330" s="943"/>
      <c r="K330" s="943"/>
      <c r="L330" s="943"/>
      <c r="M330" s="943"/>
      <c r="N330" s="943"/>
      <c r="O330" s="943"/>
      <c r="P330" s="943"/>
      <c r="Q330" s="943"/>
      <c r="R330" s="943"/>
      <c r="S330" s="943"/>
      <c r="T330" s="943"/>
      <c r="U330" s="943"/>
      <c r="V330" s="943"/>
      <c r="W330" s="943"/>
      <c r="X330" s="943"/>
      <c r="Y330" s="943"/>
      <c r="Z330" s="943"/>
      <c r="AA330" s="943"/>
      <c r="AB330" s="943"/>
      <c r="AC330" s="943"/>
      <c r="AD330" s="943"/>
      <c r="AE330" s="943"/>
    </row>
    <row r="331" spans="1:31" ht="15.75" customHeight="1">
      <c r="A331" s="943"/>
      <c r="B331" s="943"/>
      <c r="C331" s="943"/>
      <c r="D331" s="943"/>
      <c r="E331" s="943"/>
      <c r="F331" s="943"/>
      <c r="G331" s="943"/>
      <c r="H331" s="943"/>
      <c r="I331" s="943"/>
      <c r="J331" s="943"/>
      <c r="K331" s="943"/>
      <c r="L331" s="943"/>
      <c r="M331" s="943"/>
      <c r="N331" s="943"/>
      <c r="O331" s="943"/>
      <c r="P331" s="943"/>
      <c r="Q331" s="943"/>
      <c r="R331" s="943"/>
      <c r="S331" s="943"/>
      <c r="T331" s="943"/>
      <c r="U331" s="943"/>
      <c r="V331" s="943"/>
      <c r="W331" s="943"/>
      <c r="X331" s="943"/>
      <c r="Y331" s="943"/>
      <c r="Z331" s="943"/>
      <c r="AA331" s="943"/>
      <c r="AB331" s="943"/>
      <c r="AC331" s="943"/>
      <c r="AD331" s="943"/>
      <c r="AE331" s="943"/>
    </row>
    <row r="332" spans="1:31" ht="15.75" customHeight="1">
      <c r="A332" s="943"/>
      <c r="B332" s="943"/>
      <c r="C332" s="943"/>
      <c r="D332" s="943"/>
      <c r="E332" s="943"/>
      <c r="F332" s="943"/>
      <c r="G332" s="943"/>
      <c r="H332" s="943"/>
      <c r="I332" s="943"/>
      <c r="J332" s="943"/>
      <c r="K332" s="943"/>
      <c r="L332" s="943"/>
      <c r="M332" s="943"/>
      <c r="N332" s="943"/>
      <c r="O332" s="943"/>
      <c r="P332" s="943"/>
      <c r="Q332" s="943"/>
      <c r="R332" s="943"/>
      <c r="S332" s="943"/>
      <c r="T332" s="943"/>
      <c r="U332" s="943"/>
      <c r="V332" s="943"/>
      <c r="W332" s="943"/>
      <c r="X332" s="943"/>
      <c r="Y332" s="943"/>
      <c r="Z332" s="943"/>
      <c r="AA332" s="943"/>
      <c r="AB332" s="943"/>
      <c r="AC332" s="943"/>
      <c r="AD332" s="943"/>
      <c r="AE332" s="943"/>
    </row>
    <row r="333" spans="1:31" ht="15.75" customHeight="1">
      <c r="A333" s="943"/>
      <c r="B333" s="943"/>
      <c r="C333" s="943"/>
      <c r="D333" s="943"/>
      <c r="E333" s="943"/>
      <c r="F333" s="943"/>
      <c r="G333" s="943"/>
      <c r="H333" s="943"/>
      <c r="I333" s="943"/>
      <c r="J333" s="943"/>
      <c r="K333" s="943"/>
      <c r="L333" s="943"/>
      <c r="M333" s="943"/>
      <c r="N333" s="943"/>
      <c r="O333" s="943"/>
      <c r="P333" s="943"/>
      <c r="Q333" s="943"/>
      <c r="R333" s="943"/>
      <c r="S333" s="943"/>
      <c r="T333" s="943"/>
      <c r="U333" s="943"/>
      <c r="V333" s="943"/>
      <c r="W333" s="943"/>
      <c r="X333" s="943"/>
      <c r="Y333" s="943"/>
      <c r="Z333" s="943"/>
      <c r="AA333" s="943"/>
      <c r="AB333" s="943"/>
      <c r="AC333" s="943"/>
      <c r="AD333" s="943"/>
      <c r="AE333" s="943"/>
    </row>
    <row r="334" spans="1:31" ht="15.75" customHeight="1">
      <c r="A334" s="943"/>
      <c r="B334" s="943"/>
      <c r="C334" s="943"/>
      <c r="D334" s="943"/>
      <c r="E334" s="943"/>
      <c r="F334" s="943"/>
      <c r="G334" s="943"/>
      <c r="H334" s="943"/>
      <c r="I334" s="943"/>
      <c r="J334" s="943"/>
      <c r="K334" s="943"/>
      <c r="L334" s="943"/>
      <c r="M334" s="943"/>
      <c r="N334" s="943"/>
      <c r="O334" s="943"/>
      <c r="P334" s="943"/>
      <c r="Q334" s="943"/>
      <c r="R334" s="943"/>
      <c r="S334" s="943"/>
      <c r="T334" s="943"/>
      <c r="U334" s="943"/>
      <c r="V334" s="943"/>
      <c r="W334" s="943"/>
      <c r="X334" s="943"/>
      <c r="Y334" s="943"/>
      <c r="Z334" s="943"/>
      <c r="AA334" s="943"/>
      <c r="AB334" s="943"/>
      <c r="AC334" s="943"/>
      <c r="AD334" s="943"/>
      <c r="AE334" s="943"/>
    </row>
    <row r="335" spans="1:31" ht="15.75" customHeight="1">
      <c r="A335" s="943"/>
      <c r="B335" s="943"/>
      <c r="C335" s="943"/>
      <c r="D335" s="943"/>
      <c r="E335" s="943"/>
      <c r="F335" s="943"/>
      <c r="G335" s="943"/>
      <c r="H335" s="943"/>
      <c r="I335" s="943"/>
      <c r="J335" s="943"/>
      <c r="K335" s="943"/>
      <c r="L335" s="943"/>
      <c r="M335" s="943"/>
      <c r="N335" s="943"/>
      <c r="O335" s="943"/>
      <c r="P335" s="943"/>
      <c r="Q335" s="943"/>
      <c r="R335" s="943"/>
      <c r="S335" s="943"/>
      <c r="T335" s="943"/>
      <c r="U335" s="943"/>
      <c r="V335" s="943"/>
      <c r="W335" s="943"/>
      <c r="X335" s="943"/>
      <c r="Y335" s="943"/>
      <c r="Z335" s="943"/>
      <c r="AA335" s="943"/>
      <c r="AB335" s="943"/>
      <c r="AC335" s="943"/>
      <c r="AD335" s="943"/>
      <c r="AE335" s="943"/>
    </row>
    <row r="336" spans="1:31" ht="15.75" customHeight="1">
      <c r="A336" s="943"/>
      <c r="B336" s="943"/>
      <c r="C336" s="943"/>
      <c r="D336" s="943"/>
      <c r="E336" s="943"/>
      <c r="F336" s="943"/>
      <c r="G336" s="943"/>
      <c r="H336" s="943"/>
      <c r="I336" s="943"/>
      <c r="J336" s="943"/>
      <c r="K336" s="943"/>
      <c r="L336" s="943"/>
      <c r="M336" s="943"/>
      <c r="N336" s="943"/>
      <c r="O336" s="943"/>
      <c r="P336" s="943"/>
      <c r="Q336" s="943"/>
      <c r="R336" s="943"/>
      <c r="S336" s="943"/>
      <c r="T336" s="943"/>
      <c r="U336" s="943"/>
      <c r="V336" s="943"/>
      <c r="W336" s="943"/>
      <c r="X336" s="943"/>
      <c r="Y336" s="943"/>
      <c r="Z336" s="943"/>
      <c r="AA336" s="943"/>
      <c r="AB336" s="943"/>
      <c r="AC336" s="943"/>
      <c r="AD336" s="943"/>
      <c r="AE336" s="943"/>
    </row>
    <row r="337" spans="1:31" ht="15.75" customHeight="1">
      <c r="A337" s="943"/>
      <c r="B337" s="943"/>
      <c r="C337" s="943"/>
      <c r="D337" s="943"/>
      <c r="E337" s="943"/>
      <c r="F337" s="943"/>
      <c r="G337" s="943"/>
      <c r="H337" s="943"/>
      <c r="I337" s="943"/>
      <c r="J337" s="943"/>
      <c r="K337" s="943"/>
      <c r="L337" s="943"/>
      <c r="M337" s="943"/>
      <c r="N337" s="943"/>
      <c r="O337" s="943"/>
      <c r="P337" s="943"/>
      <c r="Q337" s="943"/>
      <c r="R337" s="943"/>
      <c r="S337" s="943"/>
      <c r="T337" s="943"/>
      <c r="U337" s="943"/>
      <c r="V337" s="943"/>
      <c r="W337" s="943"/>
      <c r="X337" s="943"/>
      <c r="Y337" s="943"/>
      <c r="Z337" s="943"/>
      <c r="AA337" s="943"/>
      <c r="AB337" s="943"/>
      <c r="AC337" s="943"/>
      <c r="AD337" s="943"/>
      <c r="AE337" s="943"/>
    </row>
    <row r="338" spans="1:31" ht="15.75" customHeight="1">
      <c r="A338" s="943"/>
      <c r="B338" s="943"/>
      <c r="C338" s="943"/>
      <c r="D338" s="943"/>
      <c r="E338" s="943"/>
      <c r="F338" s="943"/>
      <c r="G338" s="943"/>
      <c r="H338" s="943"/>
      <c r="I338" s="943"/>
      <c r="J338" s="943"/>
      <c r="K338" s="943"/>
      <c r="L338" s="943"/>
      <c r="M338" s="943"/>
      <c r="N338" s="943"/>
      <c r="O338" s="943"/>
      <c r="P338" s="943"/>
      <c r="Q338" s="943"/>
      <c r="R338" s="943"/>
      <c r="S338" s="943"/>
      <c r="T338" s="943"/>
      <c r="U338" s="943"/>
      <c r="V338" s="943"/>
      <c r="W338" s="943"/>
      <c r="X338" s="943"/>
      <c r="Y338" s="943"/>
      <c r="Z338" s="943"/>
      <c r="AA338" s="943"/>
      <c r="AB338" s="943"/>
      <c r="AC338" s="943"/>
      <c r="AD338" s="943"/>
      <c r="AE338" s="943"/>
    </row>
    <row r="339" spans="1:31" ht="15.75" customHeight="1">
      <c r="A339" s="943"/>
      <c r="B339" s="943"/>
      <c r="C339" s="943"/>
      <c r="D339" s="943"/>
      <c r="E339" s="943"/>
      <c r="F339" s="943"/>
      <c r="G339" s="943"/>
      <c r="H339" s="943"/>
      <c r="I339" s="943"/>
      <c r="J339" s="943"/>
      <c r="K339" s="943"/>
      <c r="L339" s="943"/>
      <c r="M339" s="943"/>
      <c r="N339" s="943"/>
      <c r="O339" s="943"/>
      <c r="P339" s="943"/>
      <c r="Q339" s="943"/>
      <c r="R339" s="943"/>
      <c r="S339" s="943"/>
      <c r="T339" s="943"/>
      <c r="U339" s="943"/>
      <c r="V339" s="943"/>
      <c r="W339" s="943"/>
      <c r="X339" s="943"/>
      <c r="Y339" s="943"/>
      <c r="Z339" s="943"/>
      <c r="AA339" s="943"/>
      <c r="AB339" s="943"/>
      <c r="AC339" s="943"/>
      <c r="AD339" s="943"/>
      <c r="AE339" s="943"/>
    </row>
    <row r="340" spans="1:31" ht="15.75" customHeight="1">
      <c r="A340" s="943"/>
      <c r="B340" s="943"/>
      <c r="C340" s="943"/>
      <c r="D340" s="943"/>
      <c r="E340" s="943"/>
      <c r="F340" s="943"/>
      <c r="G340" s="943"/>
      <c r="H340" s="943"/>
      <c r="I340" s="943"/>
      <c r="J340" s="943"/>
      <c r="K340" s="943"/>
      <c r="L340" s="943"/>
      <c r="M340" s="943"/>
      <c r="N340" s="943"/>
      <c r="O340" s="943"/>
      <c r="P340" s="943"/>
      <c r="Q340" s="943"/>
      <c r="R340" s="943"/>
      <c r="S340" s="943"/>
      <c r="T340" s="943"/>
      <c r="U340" s="943"/>
      <c r="V340" s="943"/>
      <c r="W340" s="943"/>
      <c r="X340" s="943"/>
      <c r="Y340" s="943"/>
      <c r="Z340" s="943"/>
      <c r="AA340" s="943"/>
      <c r="AB340" s="943"/>
      <c r="AC340" s="943"/>
      <c r="AD340" s="943"/>
      <c r="AE340" s="943"/>
    </row>
    <row r="341" spans="1:31" ht="15.75" customHeight="1">
      <c r="A341" s="943"/>
      <c r="B341" s="943"/>
      <c r="C341" s="943"/>
      <c r="D341" s="943"/>
      <c r="E341" s="943"/>
      <c r="F341" s="943"/>
      <c r="G341" s="943"/>
      <c r="H341" s="943"/>
      <c r="I341" s="943"/>
      <c r="J341" s="943"/>
      <c r="K341" s="943"/>
      <c r="L341" s="943"/>
      <c r="M341" s="943"/>
      <c r="N341" s="943"/>
      <c r="O341" s="943"/>
      <c r="P341" s="943"/>
      <c r="Q341" s="943"/>
      <c r="R341" s="943"/>
      <c r="S341" s="943"/>
      <c r="T341" s="943"/>
      <c r="U341" s="943"/>
      <c r="V341" s="943"/>
      <c r="W341" s="943"/>
      <c r="X341" s="943"/>
      <c r="Y341" s="943"/>
      <c r="Z341" s="943"/>
      <c r="AA341" s="943"/>
      <c r="AB341" s="943"/>
      <c r="AC341" s="943"/>
      <c r="AD341" s="943"/>
      <c r="AE341" s="943"/>
    </row>
    <row r="342" spans="1:31" ht="15.75" customHeight="1">
      <c r="A342" s="943"/>
      <c r="B342" s="943"/>
      <c r="C342" s="943"/>
      <c r="D342" s="943"/>
      <c r="E342" s="943"/>
      <c r="F342" s="943"/>
      <c r="G342" s="943"/>
      <c r="H342" s="943"/>
      <c r="I342" s="943"/>
      <c r="J342" s="943"/>
      <c r="K342" s="943"/>
      <c r="L342" s="943"/>
      <c r="M342" s="943"/>
      <c r="N342" s="943"/>
      <c r="O342" s="943"/>
      <c r="P342" s="943"/>
      <c r="Q342" s="943"/>
      <c r="R342" s="943"/>
      <c r="S342" s="943"/>
      <c r="T342" s="943"/>
      <c r="U342" s="943"/>
      <c r="V342" s="943"/>
      <c r="W342" s="943"/>
      <c r="X342" s="943"/>
      <c r="Y342" s="943"/>
      <c r="Z342" s="943"/>
      <c r="AA342" s="943"/>
      <c r="AB342" s="943"/>
      <c r="AC342" s="943"/>
      <c r="AD342" s="943"/>
      <c r="AE342" s="943"/>
    </row>
    <row r="343" spans="1:31" ht="15.75" customHeight="1">
      <c r="A343" s="943"/>
      <c r="B343" s="943"/>
      <c r="C343" s="943"/>
      <c r="D343" s="943"/>
      <c r="E343" s="943"/>
      <c r="F343" s="943"/>
      <c r="G343" s="943"/>
      <c r="H343" s="943"/>
      <c r="I343" s="943"/>
      <c r="J343" s="943"/>
      <c r="K343" s="943"/>
      <c r="L343" s="943"/>
      <c r="M343" s="943"/>
      <c r="N343" s="943"/>
      <c r="O343" s="943"/>
      <c r="P343" s="943"/>
      <c r="Q343" s="943"/>
      <c r="R343" s="943"/>
      <c r="S343" s="943"/>
      <c r="T343" s="943"/>
      <c r="U343" s="943"/>
      <c r="V343" s="943"/>
      <c r="W343" s="943"/>
      <c r="X343" s="943"/>
      <c r="Y343" s="943"/>
      <c r="Z343" s="943"/>
      <c r="AA343" s="943"/>
      <c r="AB343" s="943"/>
      <c r="AC343" s="943"/>
      <c r="AD343" s="943"/>
      <c r="AE343" s="943"/>
    </row>
    <row r="344" spans="1:31" ht="15.75" customHeight="1">
      <c r="A344" s="943"/>
      <c r="B344" s="943"/>
      <c r="C344" s="943"/>
      <c r="D344" s="943"/>
      <c r="E344" s="943"/>
      <c r="F344" s="943"/>
      <c r="G344" s="943"/>
      <c r="H344" s="943"/>
      <c r="I344" s="943"/>
      <c r="J344" s="943"/>
      <c r="K344" s="943"/>
      <c r="L344" s="943"/>
      <c r="M344" s="943"/>
      <c r="N344" s="943"/>
      <c r="O344" s="943"/>
      <c r="P344" s="943"/>
      <c r="Q344" s="943"/>
      <c r="R344" s="943"/>
      <c r="S344" s="943"/>
      <c r="T344" s="943"/>
      <c r="U344" s="943"/>
      <c r="V344" s="943"/>
      <c r="W344" s="943"/>
      <c r="X344" s="943"/>
      <c r="Y344" s="943"/>
      <c r="Z344" s="943"/>
      <c r="AA344" s="943"/>
      <c r="AB344" s="943"/>
      <c r="AC344" s="943"/>
      <c r="AD344" s="943"/>
      <c r="AE344" s="943"/>
    </row>
    <row r="345" spans="1:31" ht="15.75" customHeight="1">
      <c r="A345" s="943"/>
      <c r="B345" s="943"/>
      <c r="C345" s="943"/>
      <c r="D345" s="943"/>
      <c r="E345" s="943"/>
      <c r="F345" s="943"/>
      <c r="G345" s="943"/>
      <c r="H345" s="943"/>
      <c r="I345" s="943"/>
      <c r="J345" s="943"/>
      <c r="K345" s="943"/>
      <c r="L345" s="943"/>
      <c r="M345" s="943"/>
      <c r="N345" s="943"/>
      <c r="O345" s="943"/>
      <c r="P345" s="943"/>
      <c r="Q345" s="943"/>
      <c r="R345" s="943"/>
      <c r="S345" s="943"/>
      <c r="T345" s="943"/>
      <c r="U345" s="943"/>
      <c r="V345" s="943"/>
      <c r="W345" s="943"/>
      <c r="X345" s="943"/>
      <c r="Y345" s="943"/>
      <c r="Z345" s="943"/>
      <c r="AA345" s="943"/>
      <c r="AB345" s="943"/>
      <c r="AC345" s="943"/>
      <c r="AD345" s="943"/>
      <c r="AE345" s="943"/>
    </row>
    <row r="346" spans="1:31" ht="15.75" customHeight="1">
      <c r="A346" s="943"/>
      <c r="B346" s="943"/>
      <c r="C346" s="943"/>
      <c r="D346" s="943"/>
      <c r="E346" s="943"/>
      <c r="F346" s="943"/>
      <c r="G346" s="943"/>
      <c r="H346" s="943"/>
      <c r="I346" s="943"/>
      <c r="J346" s="943"/>
      <c r="K346" s="943"/>
      <c r="L346" s="943"/>
      <c r="M346" s="943"/>
      <c r="N346" s="943"/>
      <c r="O346" s="943"/>
      <c r="P346" s="943"/>
      <c r="Q346" s="943"/>
      <c r="R346" s="943"/>
      <c r="S346" s="943"/>
      <c r="T346" s="943"/>
      <c r="U346" s="943"/>
      <c r="V346" s="943"/>
      <c r="W346" s="943"/>
      <c r="X346" s="943"/>
      <c r="Y346" s="943"/>
      <c r="Z346" s="943"/>
      <c r="AA346" s="943"/>
      <c r="AB346" s="943"/>
      <c r="AC346" s="943"/>
      <c r="AD346" s="943"/>
      <c r="AE346" s="943"/>
    </row>
    <row r="347" spans="1:31" ht="15.75" customHeight="1">
      <c r="A347" s="943"/>
      <c r="B347" s="943"/>
      <c r="C347" s="943"/>
      <c r="D347" s="943"/>
      <c r="E347" s="943"/>
      <c r="F347" s="943"/>
      <c r="G347" s="943"/>
      <c r="H347" s="943"/>
      <c r="I347" s="943"/>
      <c r="J347" s="943"/>
      <c r="K347" s="943"/>
      <c r="L347" s="943"/>
      <c r="M347" s="943"/>
      <c r="N347" s="943"/>
      <c r="O347" s="943"/>
      <c r="P347" s="943"/>
      <c r="Q347" s="943"/>
      <c r="R347" s="943"/>
      <c r="S347" s="943"/>
      <c r="T347" s="943"/>
      <c r="U347" s="943"/>
      <c r="V347" s="943"/>
      <c r="W347" s="943"/>
      <c r="X347" s="943"/>
      <c r="Y347" s="943"/>
      <c r="Z347" s="943"/>
      <c r="AA347" s="943"/>
      <c r="AB347" s="943"/>
      <c r="AC347" s="943"/>
      <c r="AD347" s="943"/>
      <c r="AE347" s="943"/>
    </row>
    <row r="348" spans="1:31" ht="15.75" customHeight="1">
      <c r="A348" s="943"/>
      <c r="B348" s="943"/>
      <c r="C348" s="943"/>
      <c r="D348" s="943"/>
      <c r="E348" s="943"/>
      <c r="F348" s="943"/>
      <c r="G348" s="943"/>
      <c r="H348" s="943"/>
      <c r="I348" s="943"/>
      <c r="J348" s="943"/>
      <c r="K348" s="943"/>
      <c r="L348" s="943"/>
      <c r="M348" s="943"/>
      <c r="N348" s="943"/>
      <c r="O348" s="943"/>
      <c r="P348" s="943"/>
      <c r="Q348" s="943"/>
      <c r="R348" s="943"/>
      <c r="S348" s="943"/>
      <c r="T348" s="943"/>
      <c r="U348" s="943"/>
      <c r="V348" s="943"/>
      <c r="W348" s="943"/>
      <c r="X348" s="943"/>
      <c r="Y348" s="943"/>
      <c r="Z348" s="943"/>
      <c r="AA348" s="943"/>
      <c r="AB348" s="943"/>
      <c r="AC348" s="943"/>
      <c r="AD348" s="943"/>
      <c r="AE348" s="943"/>
    </row>
    <row r="349" spans="1:31" ht="15.75" customHeight="1">
      <c r="A349" s="943"/>
      <c r="B349" s="943"/>
      <c r="C349" s="943"/>
      <c r="D349" s="943"/>
      <c r="E349" s="943"/>
      <c r="F349" s="943"/>
      <c r="G349" s="943"/>
      <c r="H349" s="943"/>
      <c r="I349" s="943"/>
      <c r="J349" s="943"/>
      <c r="K349" s="943"/>
      <c r="L349" s="943"/>
      <c r="M349" s="943"/>
      <c r="N349" s="943"/>
      <c r="O349" s="943"/>
      <c r="P349" s="943"/>
      <c r="Q349" s="943"/>
      <c r="R349" s="943"/>
      <c r="S349" s="943"/>
      <c r="T349" s="943"/>
      <c r="U349" s="943"/>
      <c r="V349" s="943"/>
      <c r="W349" s="943"/>
      <c r="X349" s="943"/>
      <c r="Y349" s="943"/>
      <c r="Z349" s="943"/>
      <c r="AA349" s="943"/>
      <c r="AB349" s="943"/>
      <c r="AC349" s="943"/>
      <c r="AD349" s="943"/>
      <c r="AE349" s="943"/>
    </row>
    <row r="350" spans="1:31" ht="15.75" customHeight="1">
      <c r="A350" s="943"/>
      <c r="B350" s="943"/>
      <c r="C350" s="943"/>
      <c r="D350" s="943"/>
      <c r="E350" s="943"/>
      <c r="F350" s="943"/>
      <c r="G350" s="943"/>
      <c r="H350" s="943"/>
      <c r="I350" s="943"/>
      <c r="J350" s="943"/>
      <c r="K350" s="943"/>
      <c r="L350" s="943"/>
      <c r="M350" s="943"/>
      <c r="N350" s="943"/>
      <c r="O350" s="943"/>
      <c r="P350" s="943"/>
      <c r="Q350" s="943"/>
      <c r="R350" s="943"/>
      <c r="S350" s="943"/>
      <c r="T350" s="943"/>
      <c r="U350" s="943"/>
      <c r="V350" s="943"/>
      <c r="W350" s="943"/>
      <c r="X350" s="943"/>
      <c r="Y350" s="943"/>
      <c r="Z350" s="943"/>
      <c r="AA350" s="943"/>
      <c r="AB350" s="943"/>
      <c r="AC350" s="943"/>
      <c r="AD350" s="943"/>
      <c r="AE350" s="943"/>
    </row>
    <row r="351" spans="1:31" ht="15.75" customHeight="1">
      <c r="A351" s="943"/>
      <c r="B351" s="943"/>
      <c r="C351" s="943"/>
      <c r="D351" s="943"/>
      <c r="E351" s="943"/>
      <c r="F351" s="943"/>
      <c r="G351" s="943"/>
      <c r="H351" s="943"/>
      <c r="I351" s="943"/>
      <c r="J351" s="943"/>
      <c r="K351" s="943"/>
      <c r="L351" s="943"/>
      <c r="M351" s="943"/>
      <c r="N351" s="943"/>
      <c r="O351" s="943"/>
      <c r="P351" s="943"/>
      <c r="Q351" s="943"/>
      <c r="R351" s="943"/>
      <c r="S351" s="943"/>
      <c r="T351" s="943"/>
      <c r="U351" s="943"/>
      <c r="V351" s="943"/>
      <c r="W351" s="943"/>
      <c r="X351" s="943"/>
      <c r="Y351" s="943"/>
      <c r="Z351" s="943"/>
      <c r="AA351" s="943"/>
      <c r="AB351" s="943"/>
      <c r="AC351" s="943"/>
      <c r="AD351" s="943"/>
      <c r="AE351" s="943"/>
    </row>
    <row r="352" spans="1:31" ht="15.75" customHeight="1">
      <c r="A352" s="943"/>
      <c r="B352" s="943"/>
      <c r="C352" s="943"/>
      <c r="D352" s="943"/>
      <c r="E352" s="943"/>
      <c r="F352" s="943"/>
      <c r="G352" s="943"/>
      <c r="H352" s="943"/>
      <c r="I352" s="943"/>
      <c r="J352" s="943"/>
      <c r="K352" s="943"/>
      <c r="L352" s="943"/>
      <c r="M352" s="943"/>
      <c r="N352" s="943"/>
      <c r="O352" s="943"/>
      <c r="P352" s="943"/>
      <c r="Q352" s="943"/>
      <c r="R352" s="943"/>
      <c r="S352" s="943"/>
      <c r="T352" s="943"/>
      <c r="U352" s="943"/>
      <c r="V352" s="943"/>
      <c r="W352" s="943"/>
      <c r="X352" s="943"/>
      <c r="Y352" s="943"/>
      <c r="Z352" s="943"/>
      <c r="AA352" s="943"/>
      <c r="AB352" s="943"/>
      <c r="AC352" s="943"/>
      <c r="AD352" s="943"/>
      <c r="AE352" s="943"/>
    </row>
    <row r="353" spans="1:31" ht="15.75" customHeight="1">
      <c r="A353" s="943"/>
      <c r="B353" s="943"/>
      <c r="C353" s="943"/>
      <c r="D353" s="943"/>
      <c r="E353" s="943"/>
      <c r="F353" s="943"/>
      <c r="G353" s="943"/>
      <c r="H353" s="943"/>
      <c r="I353" s="943"/>
      <c r="J353" s="943"/>
      <c r="K353" s="943"/>
      <c r="L353" s="943"/>
      <c r="M353" s="943"/>
      <c r="N353" s="943"/>
      <c r="O353" s="943"/>
      <c r="P353" s="943"/>
      <c r="Q353" s="943"/>
      <c r="R353" s="943"/>
      <c r="S353" s="943"/>
      <c r="T353" s="943"/>
      <c r="U353" s="943"/>
      <c r="V353" s="943"/>
      <c r="W353" s="943"/>
      <c r="X353" s="943"/>
      <c r="Y353" s="943"/>
      <c r="Z353" s="943"/>
      <c r="AA353" s="943"/>
      <c r="AB353" s="943"/>
      <c r="AC353" s="943"/>
      <c r="AD353" s="943"/>
      <c r="AE353" s="943"/>
    </row>
    <row r="354" spans="1:31" ht="15.75" customHeight="1">
      <c r="A354" s="943"/>
      <c r="B354" s="943"/>
      <c r="C354" s="943"/>
      <c r="D354" s="943"/>
      <c r="E354" s="943"/>
      <c r="F354" s="943"/>
      <c r="G354" s="943"/>
      <c r="H354" s="943"/>
      <c r="I354" s="943"/>
      <c r="J354" s="943"/>
      <c r="K354" s="943"/>
      <c r="L354" s="943"/>
      <c r="M354" s="943"/>
      <c r="N354" s="943"/>
      <c r="O354" s="943"/>
      <c r="P354" s="943"/>
      <c r="Q354" s="943"/>
      <c r="R354" s="943"/>
      <c r="S354" s="943"/>
      <c r="T354" s="943"/>
      <c r="U354" s="943"/>
      <c r="V354" s="943"/>
      <c r="W354" s="943"/>
      <c r="X354" s="943"/>
      <c r="Y354" s="943"/>
      <c r="Z354" s="943"/>
      <c r="AA354" s="943"/>
      <c r="AB354" s="943"/>
      <c r="AC354" s="943"/>
      <c r="AD354" s="943"/>
      <c r="AE354" s="943"/>
    </row>
    <row r="355" spans="1:31" ht="15.75" customHeight="1">
      <c r="A355" s="943"/>
      <c r="B355" s="943"/>
      <c r="C355" s="943"/>
      <c r="D355" s="943"/>
      <c r="E355" s="943"/>
      <c r="F355" s="943"/>
      <c r="G355" s="943"/>
      <c r="H355" s="943"/>
      <c r="I355" s="943"/>
      <c r="J355" s="943"/>
      <c r="K355" s="943"/>
      <c r="L355" s="943"/>
      <c r="M355" s="943"/>
      <c r="N355" s="943"/>
      <c r="O355" s="943"/>
      <c r="P355" s="943"/>
      <c r="Q355" s="943"/>
      <c r="R355" s="943"/>
      <c r="S355" s="943"/>
      <c r="T355" s="943"/>
      <c r="U355" s="943"/>
      <c r="V355" s="943"/>
      <c r="W355" s="943"/>
      <c r="X355" s="943"/>
      <c r="Y355" s="943"/>
      <c r="Z355" s="943"/>
      <c r="AA355" s="943"/>
      <c r="AB355" s="943"/>
      <c r="AC355" s="943"/>
      <c r="AD355" s="943"/>
      <c r="AE355" s="943"/>
    </row>
    <row r="356" spans="1:31" ht="15.75" customHeight="1">
      <c r="A356" s="943"/>
      <c r="B356" s="943"/>
      <c r="C356" s="943"/>
      <c r="D356" s="943"/>
      <c r="E356" s="943"/>
      <c r="F356" s="943"/>
      <c r="G356" s="943"/>
      <c r="H356" s="943"/>
      <c r="I356" s="943"/>
      <c r="J356" s="943"/>
      <c r="K356" s="943"/>
      <c r="L356" s="943"/>
      <c r="M356" s="943"/>
      <c r="N356" s="943"/>
      <c r="O356" s="943"/>
      <c r="P356" s="943"/>
      <c r="Q356" s="943"/>
      <c r="R356" s="943"/>
      <c r="S356" s="943"/>
      <c r="T356" s="943"/>
      <c r="U356" s="943"/>
      <c r="V356" s="943"/>
      <c r="W356" s="943"/>
      <c r="X356" s="943"/>
      <c r="Y356" s="943"/>
      <c r="Z356" s="943"/>
      <c r="AA356" s="943"/>
      <c r="AB356" s="943"/>
      <c r="AC356" s="943"/>
      <c r="AD356" s="943"/>
      <c r="AE356" s="943"/>
    </row>
    <row r="357" spans="1:31" ht="15.75" customHeight="1">
      <c r="A357" s="943"/>
      <c r="B357" s="943"/>
      <c r="C357" s="943"/>
      <c r="D357" s="943"/>
      <c r="E357" s="943"/>
      <c r="F357" s="943"/>
      <c r="G357" s="943"/>
      <c r="H357" s="943"/>
      <c r="I357" s="943"/>
      <c r="J357" s="943"/>
      <c r="K357" s="943"/>
      <c r="L357" s="943"/>
      <c r="M357" s="943"/>
      <c r="N357" s="943"/>
      <c r="O357" s="943"/>
      <c r="P357" s="943"/>
      <c r="Q357" s="943"/>
      <c r="R357" s="943"/>
      <c r="S357" s="943"/>
      <c r="T357" s="943"/>
      <c r="U357" s="943"/>
      <c r="V357" s="943"/>
      <c r="W357" s="943"/>
      <c r="X357" s="943"/>
      <c r="Y357" s="943"/>
      <c r="Z357" s="943"/>
      <c r="AA357" s="943"/>
      <c r="AB357" s="943"/>
      <c r="AC357" s="943"/>
      <c r="AD357" s="943"/>
      <c r="AE357" s="943"/>
    </row>
    <row r="358" spans="1:31" ht="15.75" customHeight="1">
      <c r="A358" s="943"/>
      <c r="B358" s="943"/>
      <c r="C358" s="943"/>
      <c r="D358" s="943"/>
      <c r="E358" s="943"/>
      <c r="F358" s="943"/>
      <c r="G358" s="943"/>
      <c r="H358" s="943"/>
      <c r="I358" s="943"/>
      <c r="J358" s="943"/>
      <c r="K358" s="943"/>
      <c r="L358" s="943"/>
      <c r="M358" s="943"/>
      <c r="N358" s="943"/>
      <c r="O358" s="943"/>
      <c r="P358" s="943"/>
      <c r="Q358" s="943"/>
      <c r="R358" s="943"/>
      <c r="S358" s="943"/>
      <c r="T358" s="943"/>
      <c r="U358" s="943"/>
      <c r="V358" s="943"/>
      <c r="W358" s="943"/>
      <c r="X358" s="943"/>
      <c r="Y358" s="943"/>
      <c r="Z358" s="943"/>
      <c r="AA358" s="943"/>
      <c r="AB358" s="943"/>
      <c r="AC358" s="943"/>
      <c r="AD358" s="943"/>
      <c r="AE358" s="943"/>
    </row>
    <row r="359" spans="1:31" ht="15.75" customHeight="1">
      <c r="A359" s="943"/>
      <c r="B359" s="943"/>
      <c r="C359" s="943"/>
      <c r="D359" s="943"/>
      <c r="E359" s="943"/>
      <c r="F359" s="943"/>
      <c r="G359" s="943"/>
      <c r="H359" s="943"/>
      <c r="I359" s="943"/>
      <c r="J359" s="943"/>
      <c r="K359" s="943"/>
      <c r="L359" s="943"/>
      <c r="M359" s="943"/>
      <c r="N359" s="943"/>
      <c r="O359" s="943"/>
      <c r="P359" s="943"/>
      <c r="Q359" s="943"/>
      <c r="R359" s="943"/>
      <c r="S359" s="943"/>
      <c r="T359" s="943"/>
      <c r="U359" s="943"/>
      <c r="V359" s="943"/>
      <c r="W359" s="943"/>
      <c r="X359" s="943"/>
      <c r="Y359" s="943"/>
      <c r="Z359" s="943"/>
      <c r="AA359" s="943"/>
      <c r="AB359" s="943"/>
      <c r="AC359" s="943"/>
      <c r="AD359" s="943"/>
      <c r="AE359" s="943"/>
    </row>
    <row r="360" spans="1:31" ht="15.75" customHeight="1">
      <c r="A360" s="943"/>
      <c r="B360" s="943"/>
      <c r="C360" s="943"/>
      <c r="D360" s="943"/>
      <c r="E360" s="943"/>
      <c r="F360" s="943"/>
      <c r="G360" s="943"/>
      <c r="H360" s="943"/>
      <c r="I360" s="943"/>
      <c r="J360" s="943"/>
      <c r="K360" s="943"/>
      <c r="L360" s="943"/>
      <c r="M360" s="943"/>
      <c r="N360" s="943"/>
      <c r="O360" s="943"/>
      <c r="P360" s="943"/>
      <c r="Q360" s="943"/>
      <c r="R360" s="943"/>
      <c r="S360" s="943"/>
      <c r="T360" s="943"/>
      <c r="U360" s="943"/>
      <c r="V360" s="943"/>
      <c r="W360" s="943"/>
      <c r="X360" s="943"/>
      <c r="Y360" s="943"/>
      <c r="Z360" s="943"/>
      <c r="AA360" s="943"/>
      <c r="AB360" s="943"/>
      <c r="AC360" s="943"/>
      <c r="AD360" s="943"/>
      <c r="AE360" s="943"/>
    </row>
    <row r="361" spans="1:31" ht="15.75" customHeight="1">
      <c r="A361" s="943"/>
      <c r="B361" s="943"/>
      <c r="C361" s="943"/>
      <c r="D361" s="943"/>
      <c r="E361" s="943"/>
      <c r="F361" s="943"/>
      <c r="G361" s="943"/>
      <c r="H361" s="943"/>
      <c r="I361" s="943"/>
      <c r="J361" s="943"/>
      <c r="K361" s="943"/>
      <c r="L361" s="943"/>
      <c r="M361" s="943"/>
      <c r="N361" s="943"/>
      <c r="O361" s="943"/>
      <c r="P361" s="943"/>
      <c r="Q361" s="943"/>
      <c r="R361" s="943"/>
      <c r="S361" s="943"/>
      <c r="T361" s="943"/>
      <c r="U361" s="943"/>
      <c r="V361" s="943"/>
      <c r="W361" s="943"/>
      <c r="X361" s="943"/>
      <c r="Y361" s="943"/>
      <c r="Z361" s="943"/>
      <c r="AA361" s="943"/>
      <c r="AB361" s="943"/>
      <c r="AC361" s="943"/>
      <c r="AD361" s="943"/>
      <c r="AE361" s="943"/>
    </row>
    <row r="362" spans="1:31" ht="15.75" customHeight="1">
      <c r="A362" s="943"/>
      <c r="B362" s="943"/>
      <c r="C362" s="943"/>
      <c r="D362" s="943"/>
      <c r="E362" s="943"/>
      <c r="F362" s="943"/>
      <c r="G362" s="943"/>
      <c r="H362" s="943"/>
      <c r="I362" s="943"/>
      <c r="J362" s="943"/>
      <c r="K362" s="943"/>
      <c r="L362" s="943"/>
      <c r="M362" s="943"/>
      <c r="N362" s="943"/>
      <c r="O362" s="943"/>
      <c r="P362" s="943"/>
      <c r="Q362" s="943"/>
      <c r="R362" s="943"/>
      <c r="S362" s="943"/>
      <c r="T362" s="943"/>
      <c r="U362" s="943"/>
      <c r="V362" s="943"/>
      <c r="W362" s="943"/>
      <c r="X362" s="943"/>
      <c r="Y362" s="943"/>
      <c r="Z362" s="943"/>
      <c r="AA362" s="943"/>
      <c r="AB362" s="943"/>
      <c r="AC362" s="943"/>
      <c r="AD362" s="943"/>
      <c r="AE362" s="943"/>
    </row>
    <row r="363" spans="1:31" ht="15.75" customHeight="1">
      <c r="A363" s="943"/>
      <c r="B363" s="943"/>
      <c r="C363" s="943"/>
      <c r="D363" s="943"/>
      <c r="E363" s="943"/>
      <c r="F363" s="943"/>
      <c r="G363" s="943"/>
      <c r="H363" s="943"/>
      <c r="I363" s="943"/>
      <c r="J363" s="943"/>
      <c r="K363" s="943"/>
      <c r="L363" s="943"/>
      <c r="M363" s="943"/>
      <c r="N363" s="943"/>
      <c r="O363" s="943"/>
      <c r="P363" s="943"/>
      <c r="Q363" s="943"/>
      <c r="R363" s="943"/>
      <c r="S363" s="943"/>
      <c r="T363" s="943"/>
      <c r="U363" s="943"/>
      <c r="V363" s="943"/>
      <c r="W363" s="943"/>
      <c r="X363" s="943"/>
      <c r="Y363" s="943"/>
      <c r="Z363" s="943"/>
      <c r="AA363" s="943"/>
      <c r="AB363" s="943"/>
      <c r="AC363" s="943"/>
      <c r="AD363" s="943"/>
      <c r="AE363" s="943"/>
    </row>
    <row r="364" spans="1:31" ht="15.75" customHeight="1">
      <c r="A364" s="943"/>
      <c r="B364" s="943"/>
      <c r="C364" s="943"/>
      <c r="D364" s="943"/>
      <c r="E364" s="943"/>
      <c r="F364" s="943"/>
      <c r="G364" s="943"/>
      <c r="H364" s="943"/>
      <c r="I364" s="943"/>
      <c r="J364" s="943"/>
      <c r="K364" s="943"/>
      <c r="L364" s="943"/>
      <c r="M364" s="943"/>
      <c r="N364" s="943"/>
      <c r="O364" s="943"/>
      <c r="P364" s="943"/>
      <c r="Q364" s="943"/>
      <c r="R364" s="943"/>
      <c r="S364" s="943"/>
      <c r="T364" s="943"/>
      <c r="U364" s="943"/>
      <c r="V364" s="943"/>
      <c r="W364" s="943"/>
      <c r="X364" s="943"/>
      <c r="Y364" s="943"/>
      <c r="Z364" s="943"/>
      <c r="AA364" s="943"/>
      <c r="AB364" s="943"/>
      <c r="AC364" s="943"/>
      <c r="AD364" s="943"/>
      <c r="AE364" s="943"/>
    </row>
    <row r="365" spans="1:31" ht="15.75" customHeight="1">
      <c r="A365" s="943"/>
      <c r="B365" s="943"/>
      <c r="C365" s="943"/>
      <c r="D365" s="943"/>
      <c r="E365" s="943"/>
      <c r="F365" s="943"/>
      <c r="G365" s="943"/>
      <c r="H365" s="943"/>
      <c r="I365" s="943"/>
      <c r="J365" s="943"/>
      <c r="K365" s="943"/>
      <c r="L365" s="943"/>
      <c r="M365" s="943"/>
      <c r="N365" s="943"/>
      <c r="O365" s="943"/>
      <c r="P365" s="943"/>
      <c r="Q365" s="943"/>
      <c r="R365" s="943"/>
      <c r="S365" s="943"/>
      <c r="T365" s="943"/>
      <c r="U365" s="943"/>
      <c r="V365" s="943"/>
      <c r="W365" s="943"/>
      <c r="X365" s="943"/>
      <c r="Y365" s="943"/>
      <c r="Z365" s="943"/>
      <c r="AA365" s="943"/>
      <c r="AB365" s="943"/>
      <c r="AC365" s="943"/>
      <c r="AD365" s="943"/>
      <c r="AE365" s="943"/>
    </row>
    <row r="366" spans="1:31" ht="15.75" customHeight="1">
      <c r="A366" s="943"/>
      <c r="B366" s="943"/>
      <c r="C366" s="943"/>
      <c r="D366" s="943"/>
      <c r="E366" s="943"/>
      <c r="F366" s="943"/>
      <c r="G366" s="943"/>
      <c r="H366" s="943"/>
      <c r="I366" s="943"/>
      <c r="J366" s="943"/>
      <c r="K366" s="943"/>
      <c r="L366" s="943"/>
      <c r="M366" s="943"/>
      <c r="N366" s="943"/>
      <c r="O366" s="943"/>
      <c r="P366" s="943"/>
      <c r="Q366" s="943"/>
      <c r="R366" s="943"/>
      <c r="S366" s="943"/>
      <c r="T366" s="943"/>
      <c r="U366" s="943"/>
      <c r="V366" s="943"/>
      <c r="W366" s="943"/>
      <c r="X366" s="943"/>
      <c r="Y366" s="943"/>
      <c r="Z366" s="943"/>
      <c r="AA366" s="943"/>
      <c r="AB366" s="943"/>
      <c r="AC366" s="943"/>
      <c r="AD366" s="943"/>
      <c r="AE366" s="943"/>
    </row>
    <row r="367" spans="1:31" ht="15.75" customHeight="1">
      <c r="A367" s="943"/>
      <c r="B367" s="943"/>
      <c r="C367" s="943"/>
      <c r="D367" s="943"/>
      <c r="E367" s="943"/>
      <c r="F367" s="943"/>
      <c r="G367" s="943"/>
      <c r="H367" s="943"/>
      <c r="I367" s="943"/>
      <c r="J367" s="943"/>
      <c r="K367" s="943"/>
      <c r="L367" s="943"/>
      <c r="M367" s="943"/>
      <c r="N367" s="943"/>
      <c r="O367" s="943"/>
      <c r="P367" s="943"/>
      <c r="Q367" s="943"/>
      <c r="R367" s="943"/>
      <c r="S367" s="943"/>
      <c r="T367" s="943"/>
      <c r="U367" s="943"/>
      <c r="V367" s="943"/>
      <c r="W367" s="943"/>
      <c r="X367" s="943"/>
      <c r="Y367" s="943"/>
      <c r="Z367" s="943"/>
      <c r="AA367" s="943"/>
      <c r="AB367" s="943"/>
      <c r="AC367" s="943"/>
      <c r="AD367" s="943"/>
      <c r="AE367" s="943"/>
    </row>
    <row r="368" spans="1:31" ht="15.75" customHeight="1">
      <c r="A368" s="943"/>
      <c r="B368" s="943"/>
      <c r="C368" s="943"/>
      <c r="D368" s="943"/>
      <c r="E368" s="943"/>
      <c r="F368" s="943"/>
      <c r="G368" s="943"/>
      <c r="H368" s="943"/>
      <c r="I368" s="943"/>
      <c r="J368" s="943"/>
      <c r="K368" s="943"/>
      <c r="L368" s="943"/>
      <c r="M368" s="943"/>
      <c r="N368" s="943"/>
      <c r="O368" s="943"/>
      <c r="P368" s="943"/>
      <c r="Q368" s="943"/>
      <c r="R368" s="943"/>
      <c r="S368" s="943"/>
      <c r="T368" s="943"/>
      <c r="U368" s="943"/>
      <c r="V368" s="943"/>
      <c r="W368" s="943"/>
      <c r="X368" s="943"/>
      <c r="Y368" s="943"/>
      <c r="Z368" s="943"/>
      <c r="AA368" s="943"/>
      <c r="AB368" s="943"/>
      <c r="AC368" s="943"/>
      <c r="AD368" s="943"/>
      <c r="AE368" s="943"/>
    </row>
    <row r="369" spans="1:31" ht="15.75" customHeight="1">
      <c r="A369" s="943"/>
      <c r="B369" s="943"/>
      <c r="C369" s="943"/>
      <c r="D369" s="943"/>
      <c r="E369" s="943"/>
      <c r="F369" s="943"/>
      <c r="G369" s="943"/>
      <c r="H369" s="943"/>
      <c r="I369" s="943"/>
      <c r="J369" s="943"/>
      <c r="K369" s="943"/>
      <c r="L369" s="943"/>
      <c r="M369" s="943"/>
      <c r="N369" s="943"/>
      <c r="O369" s="943"/>
      <c r="P369" s="943"/>
      <c r="Q369" s="943"/>
      <c r="R369" s="943"/>
      <c r="S369" s="943"/>
      <c r="T369" s="943"/>
      <c r="U369" s="943"/>
      <c r="V369" s="943"/>
      <c r="W369" s="943"/>
      <c r="X369" s="943"/>
      <c r="Y369" s="943"/>
      <c r="Z369" s="943"/>
      <c r="AA369" s="943"/>
      <c r="AB369" s="943"/>
      <c r="AC369" s="943"/>
      <c r="AD369" s="943"/>
      <c r="AE369" s="943"/>
    </row>
    <row r="370" spans="1:31" ht="15.75" customHeight="1">
      <c r="A370" s="943"/>
      <c r="B370" s="943"/>
      <c r="C370" s="943"/>
      <c r="D370" s="943"/>
      <c r="E370" s="943"/>
      <c r="F370" s="943"/>
      <c r="G370" s="943"/>
      <c r="H370" s="943"/>
      <c r="I370" s="943"/>
      <c r="J370" s="943"/>
      <c r="K370" s="943"/>
      <c r="L370" s="943"/>
      <c r="M370" s="943"/>
      <c r="N370" s="943"/>
      <c r="O370" s="943"/>
      <c r="P370" s="943"/>
      <c r="Q370" s="943"/>
      <c r="R370" s="943"/>
      <c r="S370" s="943"/>
      <c r="T370" s="943"/>
      <c r="U370" s="943"/>
      <c r="V370" s="943"/>
      <c r="W370" s="943"/>
      <c r="X370" s="943"/>
      <c r="Y370" s="943"/>
      <c r="Z370" s="943"/>
      <c r="AA370" s="943"/>
      <c r="AB370" s="943"/>
      <c r="AC370" s="943"/>
      <c r="AD370" s="943"/>
      <c r="AE370" s="943"/>
    </row>
    <row r="371" spans="1:31" ht="15.75" customHeight="1">
      <c r="A371" s="943"/>
      <c r="B371" s="943"/>
      <c r="C371" s="943"/>
      <c r="D371" s="943"/>
      <c r="E371" s="943"/>
      <c r="F371" s="943"/>
      <c r="G371" s="943"/>
      <c r="H371" s="943"/>
      <c r="I371" s="943"/>
      <c r="J371" s="943"/>
      <c r="K371" s="943"/>
      <c r="L371" s="943"/>
      <c r="M371" s="943"/>
      <c r="N371" s="943"/>
      <c r="O371" s="943"/>
      <c r="P371" s="943"/>
      <c r="Q371" s="943"/>
      <c r="R371" s="943"/>
      <c r="S371" s="943"/>
      <c r="T371" s="943"/>
      <c r="U371" s="943"/>
      <c r="V371" s="943"/>
      <c r="W371" s="943"/>
      <c r="X371" s="943"/>
      <c r="Y371" s="943"/>
      <c r="Z371" s="943"/>
      <c r="AA371" s="943"/>
      <c r="AB371" s="943"/>
      <c r="AC371" s="943"/>
      <c r="AD371" s="943"/>
      <c r="AE371" s="943"/>
    </row>
    <row r="372" spans="1:31" ht="15.75" customHeight="1">
      <c r="A372" s="943"/>
      <c r="B372" s="943"/>
      <c r="C372" s="943"/>
      <c r="D372" s="943"/>
      <c r="E372" s="943"/>
      <c r="F372" s="943"/>
      <c r="G372" s="943"/>
      <c r="H372" s="943"/>
      <c r="I372" s="943"/>
      <c r="J372" s="943"/>
      <c r="K372" s="943"/>
      <c r="L372" s="943"/>
      <c r="M372" s="943"/>
      <c r="N372" s="943"/>
      <c r="O372" s="943"/>
      <c r="P372" s="943"/>
      <c r="Q372" s="943"/>
      <c r="R372" s="943"/>
      <c r="S372" s="943"/>
      <c r="T372" s="943"/>
      <c r="U372" s="943"/>
      <c r="V372" s="943"/>
      <c r="W372" s="943"/>
      <c r="X372" s="943"/>
      <c r="Y372" s="943"/>
      <c r="Z372" s="943"/>
      <c r="AA372" s="943"/>
      <c r="AB372" s="943"/>
      <c r="AC372" s="943"/>
      <c r="AD372" s="943"/>
      <c r="AE372" s="943"/>
    </row>
    <row r="373" spans="1:31" ht="15.75" customHeight="1">
      <c r="A373" s="943"/>
      <c r="B373" s="943"/>
      <c r="C373" s="943"/>
      <c r="D373" s="943"/>
      <c r="E373" s="943"/>
      <c r="F373" s="943"/>
      <c r="G373" s="943"/>
      <c r="H373" s="943"/>
      <c r="I373" s="943"/>
      <c r="J373" s="943"/>
      <c r="K373" s="943"/>
      <c r="L373" s="943"/>
      <c r="M373" s="943"/>
      <c r="N373" s="943"/>
      <c r="O373" s="943"/>
      <c r="P373" s="943"/>
      <c r="Q373" s="943"/>
      <c r="R373" s="943"/>
      <c r="S373" s="943"/>
      <c r="T373" s="943"/>
      <c r="U373" s="943"/>
      <c r="V373" s="943"/>
      <c r="W373" s="943"/>
      <c r="X373" s="943"/>
      <c r="Y373" s="943"/>
      <c r="Z373" s="943"/>
      <c r="AA373" s="943"/>
      <c r="AB373" s="943"/>
      <c r="AC373" s="943"/>
      <c r="AD373" s="943"/>
      <c r="AE373" s="943"/>
    </row>
    <row r="374" spans="1:31" ht="15.75" customHeight="1">
      <c r="A374" s="943"/>
      <c r="B374" s="943"/>
      <c r="C374" s="943"/>
      <c r="D374" s="943"/>
      <c r="E374" s="943"/>
      <c r="F374" s="943"/>
      <c r="G374" s="943"/>
      <c r="H374" s="943"/>
      <c r="I374" s="943"/>
      <c r="J374" s="943"/>
      <c r="K374" s="943"/>
      <c r="L374" s="943"/>
      <c r="M374" s="943"/>
      <c r="N374" s="943"/>
      <c r="O374" s="943"/>
      <c r="P374" s="943"/>
      <c r="Q374" s="943"/>
      <c r="R374" s="943"/>
      <c r="S374" s="943"/>
      <c r="T374" s="943"/>
      <c r="U374" s="943"/>
      <c r="V374" s="943"/>
      <c r="W374" s="943"/>
      <c r="X374" s="943"/>
      <c r="Y374" s="943"/>
      <c r="Z374" s="943"/>
      <c r="AA374" s="943"/>
      <c r="AB374" s="943"/>
      <c r="AC374" s="943"/>
      <c r="AD374" s="943"/>
      <c r="AE374" s="943"/>
    </row>
    <row r="375" spans="1:31" ht="15.75" customHeight="1">
      <c r="A375" s="943"/>
      <c r="B375" s="943"/>
      <c r="C375" s="943"/>
      <c r="D375" s="943"/>
      <c r="E375" s="943"/>
      <c r="F375" s="943"/>
      <c r="G375" s="943"/>
      <c r="H375" s="943"/>
      <c r="I375" s="943"/>
      <c r="J375" s="943"/>
      <c r="K375" s="943"/>
      <c r="L375" s="943"/>
      <c r="M375" s="943"/>
      <c r="N375" s="943"/>
      <c r="O375" s="943"/>
      <c r="P375" s="943"/>
      <c r="Q375" s="943"/>
      <c r="R375" s="943"/>
      <c r="S375" s="943"/>
      <c r="T375" s="943"/>
      <c r="U375" s="943"/>
      <c r="V375" s="943"/>
      <c r="W375" s="943"/>
      <c r="X375" s="943"/>
      <c r="Y375" s="943"/>
      <c r="Z375" s="943"/>
      <c r="AA375" s="943"/>
      <c r="AB375" s="943"/>
      <c r="AC375" s="943"/>
      <c r="AD375" s="943"/>
      <c r="AE375" s="943"/>
    </row>
    <row r="376" spans="1:31" ht="15.75" customHeight="1">
      <c r="A376" s="943"/>
      <c r="B376" s="943"/>
      <c r="C376" s="943"/>
      <c r="D376" s="943"/>
      <c r="E376" s="943"/>
      <c r="F376" s="943"/>
      <c r="G376" s="943"/>
      <c r="H376" s="943"/>
      <c r="I376" s="943"/>
      <c r="J376" s="943"/>
      <c r="K376" s="943"/>
      <c r="L376" s="943"/>
      <c r="M376" s="943"/>
      <c r="N376" s="943"/>
      <c r="O376" s="943"/>
      <c r="P376" s="943"/>
      <c r="Q376" s="943"/>
      <c r="R376" s="943"/>
      <c r="S376" s="943"/>
      <c r="T376" s="943"/>
      <c r="U376" s="943"/>
      <c r="V376" s="943"/>
      <c r="W376" s="943"/>
      <c r="X376" s="943"/>
      <c r="Y376" s="943"/>
      <c r="Z376" s="943"/>
      <c r="AA376" s="943"/>
      <c r="AB376" s="943"/>
      <c r="AC376" s="943"/>
      <c r="AD376" s="943"/>
      <c r="AE376" s="943"/>
    </row>
    <row r="377" spans="1:31" ht="15.75" customHeight="1">
      <c r="A377" s="943"/>
      <c r="B377" s="943"/>
      <c r="C377" s="943"/>
      <c r="D377" s="943"/>
      <c r="E377" s="943"/>
      <c r="F377" s="943"/>
      <c r="G377" s="943"/>
      <c r="H377" s="943"/>
      <c r="I377" s="943"/>
      <c r="J377" s="943"/>
      <c r="K377" s="943"/>
      <c r="L377" s="943"/>
      <c r="M377" s="943"/>
      <c r="N377" s="943"/>
      <c r="O377" s="943"/>
      <c r="P377" s="943"/>
      <c r="Q377" s="943"/>
      <c r="R377" s="943"/>
      <c r="S377" s="943"/>
      <c r="T377" s="943"/>
      <c r="U377" s="943"/>
      <c r="V377" s="943"/>
      <c r="W377" s="943"/>
      <c r="X377" s="943"/>
      <c r="Y377" s="943"/>
      <c r="Z377" s="943"/>
      <c r="AA377" s="943"/>
      <c r="AB377" s="943"/>
      <c r="AC377" s="943"/>
      <c r="AD377" s="943"/>
      <c r="AE377" s="943"/>
    </row>
    <row r="378" spans="1:31" ht="15.75" customHeight="1">
      <c r="A378" s="943"/>
      <c r="B378" s="943"/>
      <c r="C378" s="943"/>
      <c r="D378" s="943"/>
      <c r="E378" s="943"/>
      <c r="F378" s="943"/>
      <c r="G378" s="943"/>
      <c r="H378" s="943"/>
      <c r="I378" s="943"/>
      <c r="J378" s="943"/>
      <c r="K378" s="943"/>
      <c r="L378" s="943"/>
      <c r="M378" s="943"/>
      <c r="N378" s="943"/>
      <c r="O378" s="943"/>
      <c r="P378" s="943"/>
      <c r="Q378" s="943"/>
      <c r="R378" s="943"/>
      <c r="S378" s="943"/>
      <c r="T378" s="943"/>
      <c r="U378" s="943"/>
      <c r="V378" s="943"/>
      <c r="W378" s="943"/>
      <c r="X378" s="943"/>
      <c r="Y378" s="943"/>
      <c r="Z378" s="943"/>
      <c r="AA378" s="943"/>
      <c r="AB378" s="943"/>
      <c r="AC378" s="943"/>
      <c r="AD378" s="943"/>
      <c r="AE378" s="943"/>
    </row>
    <row r="379" spans="1:31" ht="15.75" customHeight="1">
      <c r="A379" s="943"/>
      <c r="B379" s="943"/>
      <c r="C379" s="943"/>
      <c r="D379" s="943"/>
      <c r="E379" s="943"/>
      <c r="F379" s="943"/>
      <c r="G379" s="943"/>
      <c r="H379" s="943"/>
      <c r="I379" s="943"/>
      <c r="J379" s="943"/>
      <c r="K379" s="943"/>
      <c r="L379" s="943"/>
      <c r="M379" s="943"/>
      <c r="N379" s="943"/>
      <c r="O379" s="943"/>
      <c r="P379" s="943"/>
      <c r="Q379" s="943"/>
      <c r="R379" s="943"/>
      <c r="S379" s="943"/>
      <c r="T379" s="943"/>
      <c r="U379" s="943"/>
      <c r="V379" s="943"/>
      <c r="W379" s="943"/>
      <c r="X379" s="943"/>
      <c r="Y379" s="943"/>
      <c r="Z379" s="943"/>
      <c r="AA379" s="943"/>
      <c r="AB379" s="943"/>
      <c r="AC379" s="943"/>
      <c r="AD379" s="943"/>
      <c r="AE379" s="943"/>
    </row>
    <row r="380" spans="1:31" ht="15.75" customHeight="1">
      <c r="A380" s="943"/>
      <c r="B380" s="943"/>
      <c r="C380" s="943"/>
      <c r="D380" s="943"/>
      <c r="E380" s="943"/>
      <c r="F380" s="943"/>
      <c r="G380" s="943"/>
      <c r="H380" s="943"/>
      <c r="I380" s="943"/>
      <c r="J380" s="943"/>
      <c r="K380" s="943"/>
      <c r="L380" s="943"/>
      <c r="M380" s="943"/>
      <c r="N380" s="943"/>
      <c r="O380" s="943"/>
      <c r="P380" s="943"/>
      <c r="Q380" s="943"/>
      <c r="R380" s="943"/>
      <c r="S380" s="943"/>
      <c r="T380" s="943"/>
      <c r="U380" s="943"/>
      <c r="V380" s="943"/>
      <c r="W380" s="943"/>
      <c r="X380" s="943"/>
      <c r="Y380" s="943"/>
      <c r="Z380" s="943"/>
      <c r="AA380" s="943"/>
      <c r="AB380" s="943"/>
      <c r="AC380" s="943"/>
      <c r="AD380" s="943"/>
      <c r="AE380" s="943"/>
    </row>
    <row r="381" spans="1:31" ht="15.75" customHeight="1">
      <c r="A381" s="943"/>
      <c r="B381" s="943"/>
      <c r="C381" s="943"/>
      <c r="D381" s="943"/>
      <c r="E381" s="943"/>
      <c r="F381" s="943"/>
      <c r="G381" s="943"/>
      <c r="H381" s="943"/>
      <c r="I381" s="943"/>
      <c r="J381" s="943"/>
      <c r="K381" s="943"/>
      <c r="L381" s="943"/>
      <c r="M381" s="943"/>
      <c r="N381" s="943"/>
      <c r="O381" s="943"/>
      <c r="P381" s="943"/>
      <c r="Q381" s="943"/>
      <c r="R381" s="943"/>
      <c r="S381" s="943"/>
      <c r="T381" s="943"/>
      <c r="U381" s="943"/>
      <c r="V381" s="943"/>
      <c r="W381" s="943"/>
      <c r="X381" s="943"/>
      <c r="Y381" s="943"/>
      <c r="Z381" s="943"/>
      <c r="AA381" s="943"/>
      <c r="AB381" s="943"/>
      <c r="AC381" s="943"/>
      <c r="AD381" s="943"/>
      <c r="AE381" s="943"/>
    </row>
    <row r="382" spans="1:31" ht="15.75" customHeight="1">
      <c r="A382" s="943"/>
      <c r="B382" s="943"/>
      <c r="C382" s="943"/>
      <c r="D382" s="943"/>
      <c r="E382" s="943"/>
      <c r="F382" s="943"/>
      <c r="G382" s="943"/>
      <c r="H382" s="943"/>
      <c r="I382" s="943"/>
      <c r="J382" s="943"/>
      <c r="K382" s="943"/>
      <c r="L382" s="943"/>
      <c r="M382" s="943"/>
      <c r="N382" s="943"/>
      <c r="O382" s="943"/>
      <c r="P382" s="943"/>
      <c r="Q382" s="943"/>
      <c r="R382" s="943"/>
      <c r="S382" s="943"/>
      <c r="T382" s="943"/>
      <c r="U382" s="943"/>
      <c r="V382" s="943"/>
      <c r="W382" s="943"/>
      <c r="X382" s="943"/>
      <c r="Y382" s="943"/>
      <c r="Z382" s="943"/>
      <c r="AA382" s="943"/>
      <c r="AB382" s="943"/>
      <c r="AC382" s="943"/>
      <c r="AD382" s="943"/>
      <c r="AE382" s="943"/>
    </row>
    <row r="383" spans="1:31" ht="15.75" customHeight="1">
      <c r="A383" s="943"/>
      <c r="B383" s="943"/>
      <c r="C383" s="943"/>
      <c r="D383" s="943"/>
      <c r="E383" s="943"/>
      <c r="F383" s="943"/>
      <c r="G383" s="943"/>
      <c r="H383" s="943"/>
      <c r="I383" s="943"/>
      <c r="J383" s="943"/>
      <c r="K383" s="943"/>
      <c r="L383" s="943"/>
      <c r="M383" s="943"/>
      <c r="N383" s="943"/>
      <c r="O383" s="943"/>
      <c r="P383" s="943"/>
      <c r="Q383" s="943"/>
      <c r="R383" s="943"/>
      <c r="S383" s="943"/>
      <c r="T383" s="943"/>
      <c r="U383" s="943"/>
      <c r="V383" s="943"/>
      <c r="W383" s="943"/>
      <c r="X383" s="943"/>
      <c r="Y383" s="943"/>
      <c r="Z383" s="943"/>
      <c r="AA383" s="943"/>
      <c r="AB383" s="943"/>
      <c r="AC383" s="943"/>
      <c r="AD383" s="943"/>
      <c r="AE383" s="943"/>
    </row>
    <row r="384" spans="1:31" ht="15.75" customHeight="1">
      <c r="A384" s="943"/>
      <c r="B384" s="943"/>
      <c r="C384" s="943"/>
      <c r="D384" s="943"/>
      <c r="E384" s="943"/>
      <c r="F384" s="943"/>
      <c r="G384" s="943"/>
      <c r="H384" s="943"/>
      <c r="I384" s="943"/>
      <c r="J384" s="943"/>
      <c r="K384" s="943"/>
      <c r="L384" s="943"/>
      <c r="M384" s="943"/>
      <c r="N384" s="943"/>
      <c r="O384" s="943"/>
      <c r="P384" s="943"/>
      <c r="Q384" s="943"/>
      <c r="R384" s="943"/>
      <c r="S384" s="943"/>
      <c r="T384" s="943"/>
      <c r="U384" s="943"/>
      <c r="V384" s="943"/>
      <c r="W384" s="943"/>
      <c r="X384" s="943"/>
      <c r="Y384" s="943"/>
      <c r="Z384" s="943"/>
      <c r="AA384" s="943"/>
      <c r="AB384" s="943"/>
      <c r="AC384" s="943"/>
      <c r="AD384" s="943"/>
      <c r="AE384" s="943"/>
    </row>
    <row r="385" spans="1:31" ht="15.75" customHeight="1">
      <c r="A385" s="943"/>
      <c r="B385" s="943"/>
      <c r="C385" s="943"/>
      <c r="D385" s="943"/>
      <c r="E385" s="943"/>
      <c r="F385" s="943"/>
      <c r="G385" s="943"/>
      <c r="H385" s="943"/>
      <c r="I385" s="943"/>
      <c r="J385" s="943"/>
      <c r="K385" s="943"/>
      <c r="L385" s="943"/>
      <c r="M385" s="943"/>
      <c r="N385" s="943"/>
      <c r="O385" s="943"/>
      <c r="P385" s="943"/>
      <c r="Q385" s="943"/>
      <c r="R385" s="943"/>
      <c r="S385" s="943"/>
      <c r="T385" s="943"/>
      <c r="U385" s="943"/>
      <c r="V385" s="943"/>
      <c r="W385" s="943"/>
      <c r="X385" s="943"/>
      <c r="Y385" s="943"/>
      <c r="Z385" s="943"/>
      <c r="AA385" s="943"/>
      <c r="AB385" s="943"/>
      <c r="AC385" s="943"/>
      <c r="AD385" s="943"/>
      <c r="AE385" s="943"/>
    </row>
    <row r="386" spans="1:31" ht="15.75" customHeight="1">
      <c r="A386" s="943"/>
      <c r="B386" s="943"/>
      <c r="C386" s="943"/>
      <c r="D386" s="943"/>
      <c r="E386" s="943"/>
      <c r="F386" s="943"/>
      <c r="G386" s="943"/>
      <c r="H386" s="943"/>
      <c r="I386" s="943"/>
      <c r="J386" s="943"/>
      <c r="K386" s="943"/>
      <c r="L386" s="943"/>
      <c r="M386" s="943"/>
      <c r="N386" s="943"/>
      <c r="O386" s="943"/>
      <c r="P386" s="943"/>
      <c r="Q386" s="943"/>
      <c r="R386" s="943"/>
      <c r="S386" s="943"/>
      <c r="T386" s="943"/>
      <c r="U386" s="943"/>
      <c r="V386" s="943"/>
      <c r="W386" s="943"/>
      <c r="X386" s="943"/>
      <c r="Y386" s="943"/>
      <c r="Z386" s="943"/>
      <c r="AA386" s="943"/>
      <c r="AB386" s="943"/>
      <c r="AC386" s="943"/>
      <c r="AD386" s="943"/>
      <c r="AE386" s="943"/>
    </row>
    <row r="387" spans="1:31" ht="15.75" customHeight="1">
      <c r="A387" s="943"/>
      <c r="B387" s="943"/>
      <c r="C387" s="943"/>
      <c r="D387" s="943"/>
      <c r="E387" s="943"/>
      <c r="F387" s="943"/>
      <c r="G387" s="943"/>
      <c r="H387" s="943"/>
      <c r="I387" s="943"/>
      <c r="J387" s="943"/>
      <c r="K387" s="943"/>
      <c r="L387" s="943"/>
      <c r="M387" s="943"/>
      <c r="N387" s="943"/>
      <c r="O387" s="943"/>
      <c r="P387" s="943"/>
      <c r="Q387" s="943"/>
      <c r="R387" s="943"/>
      <c r="S387" s="943"/>
      <c r="T387" s="943"/>
      <c r="U387" s="943"/>
      <c r="V387" s="943"/>
      <c r="W387" s="943"/>
      <c r="X387" s="943"/>
      <c r="Y387" s="943"/>
      <c r="Z387" s="943"/>
      <c r="AA387" s="943"/>
      <c r="AB387" s="943"/>
      <c r="AC387" s="943"/>
      <c r="AD387" s="943"/>
      <c r="AE387" s="943"/>
    </row>
    <row r="388" spans="1:31" ht="15.75" customHeight="1">
      <c r="A388" s="943"/>
      <c r="B388" s="943"/>
      <c r="C388" s="943"/>
      <c r="D388" s="943"/>
      <c r="E388" s="943"/>
      <c r="F388" s="943"/>
      <c r="G388" s="943"/>
      <c r="H388" s="943"/>
      <c r="I388" s="943"/>
      <c r="J388" s="943"/>
      <c r="K388" s="943"/>
      <c r="L388" s="943"/>
      <c r="M388" s="943"/>
      <c r="N388" s="943"/>
      <c r="O388" s="943"/>
      <c r="P388" s="943"/>
      <c r="Q388" s="943"/>
      <c r="R388" s="943"/>
      <c r="S388" s="943"/>
      <c r="T388" s="943"/>
      <c r="U388" s="943"/>
      <c r="V388" s="943"/>
      <c r="W388" s="943"/>
      <c r="X388" s="943"/>
      <c r="Y388" s="943"/>
      <c r="Z388" s="943"/>
      <c r="AA388" s="943"/>
      <c r="AB388" s="943"/>
      <c r="AC388" s="943"/>
      <c r="AD388" s="943"/>
      <c r="AE388" s="943"/>
    </row>
    <row r="389" spans="1:31" ht="15.75" customHeight="1">
      <c r="A389" s="943"/>
      <c r="B389" s="943"/>
      <c r="C389" s="943"/>
      <c r="D389" s="943"/>
      <c r="E389" s="943"/>
      <c r="F389" s="943"/>
      <c r="G389" s="943"/>
      <c r="H389" s="943"/>
      <c r="I389" s="943"/>
      <c r="J389" s="943"/>
      <c r="K389" s="943"/>
      <c r="L389" s="943"/>
      <c r="M389" s="943"/>
      <c r="N389" s="943"/>
      <c r="O389" s="943"/>
      <c r="P389" s="943"/>
      <c r="Q389" s="943"/>
      <c r="R389" s="943"/>
      <c r="S389" s="943"/>
      <c r="T389" s="943"/>
      <c r="U389" s="943"/>
      <c r="V389" s="943"/>
      <c r="W389" s="943"/>
      <c r="X389" s="943"/>
      <c r="Y389" s="943"/>
      <c r="Z389" s="943"/>
      <c r="AA389" s="943"/>
      <c r="AB389" s="943"/>
      <c r="AC389" s="943"/>
      <c r="AD389" s="943"/>
      <c r="AE389" s="943"/>
    </row>
    <row r="390" spans="1:31" ht="15.75" customHeight="1">
      <c r="A390" s="943"/>
      <c r="B390" s="943"/>
      <c r="C390" s="943"/>
      <c r="D390" s="943"/>
      <c r="E390" s="943"/>
      <c r="F390" s="943"/>
      <c r="G390" s="943"/>
      <c r="H390" s="943"/>
      <c r="I390" s="943"/>
      <c r="J390" s="943"/>
      <c r="K390" s="943"/>
      <c r="L390" s="943"/>
      <c r="M390" s="943"/>
      <c r="N390" s="943"/>
      <c r="O390" s="943"/>
      <c r="P390" s="943"/>
      <c r="Q390" s="943"/>
      <c r="R390" s="943"/>
      <c r="S390" s="943"/>
      <c r="T390" s="943"/>
      <c r="U390" s="943"/>
      <c r="V390" s="943"/>
      <c r="W390" s="943"/>
      <c r="X390" s="943"/>
      <c r="Y390" s="943"/>
      <c r="Z390" s="943"/>
      <c r="AA390" s="943"/>
      <c r="AB390" s="943"/>
      <c r="AC390" s="943"/>
      <c r="AD390" s="943"/>
      <c r="AE390" s="943"/>
    </row>
    <row r="391" spans="1:31" ht="15.75" customHeight="1">
      <c r="A391" s="943"/>
      <c r="B391" s="943"/>
      <c r="C391" s="943"/>
      <c r="D391" s="943"/>
      <c r="E391" s="943"/>
      <c r="F391" s="943"/>
      <c r="G391" s="943"/>
      <c r="H391" s="943"/>
      <c r="I391" s="943"/>
      <c r="J391" s="943"/>
      <c r="K391" s="943"/>
      <c r="L391" s="943"/>
      <c r="M391" s="943"/>
      <c r="N391" s="943"/>
      <c r="O391" s="943"/>
      <c r="P391" s="943"/>
      <c r="Q391" s="943"/>
      <c r="R391" s="943"/>
      <c r="S391" s="943"/>
      <c r="T391" s="943"/>
      <c r="U391" s="943"/>
      <c r="V391" s="943"/>
      <c r="W391" s="943"/>
      <c r="X391" s="943"/>
      <c r="Y391" s="943"/>
      <c r="Z391" s="943"/>
      <c r="AA391" s="943"/>
      <c r="AB391" s="943"/>
      <c r="AC391" s="943"/>
      <c r="AD391" s="943"/>
      <c r="AE391" s="943"/>
    </row>
    <row r="392" spans="1:31" ht="15.75" customHeight="1">
      <c r="A392" s="943"/>
      <c r="B392" s="943"/>
      <c r="C392" s="943"/>
      <c r="D392" s="943"/>
      <c r="E392" s="943"/>
      <c r="F392" s="943"/>
      <c r="G392" s="943"/>
      <c r="H392" s="943"/>
      <c r="I392" s="943"/>
      <c r="J392" s="943"/>
      <c r="K392" s="943"/>
      <c r="L392" s="943"/>
      <c r="M392" s="943"/>
      <c r="N392" s="943"/>
      <c r="O392" s="943"/>
      <c r="P392" s="943"/>
      <c r="Q392" s="943"/>
      <c r="R392" s="943"/>
      <c r="S392" s="943"/>
      <c r="T392" s="943"/>
      <c r="U392" s="943"/>
      <c r="V392" s="943"/>
      <c r="W392" s="943"/>
      <c r="X392" s="943"/>
      <c r="Y392" s="943"/>
      <c r="Z392" s="943"/>
      <c r="AA392" s="943"/>
      <c r="AB392" s="943"/>
      <c r="AC392" s="943"/>
      <c r="AD392" s="943"/>
      <c r="AE392" s="943"/>
    </row>
    <row r="393" spans="1:31" ht="15.75" customHeight="1">
      <c r="A393" s="943"/>
      <c r="B393" s="943"/>
      <c r="C393" s="943"/>
      <c r="D393" s="943"/>
      <c r="E393" s="943"/>
      <c r="F393" s="943"/>
      <c r="G393" s="943"/>
      <c r="H393" s="943"/>
      <c r="I393" s="943"/>
      <c r="J393" s="943"/>
      <c r="K393" s="943"/>
      <c r="L393" s="943"/>
      <c r="M393" s="943"/>
      <c r="N393" s="943"/>
      <c r="O393" s="943"/>
      <c r="P393" s="943"/>
      <c r="Q393" s="943"/>
      <c r="R393" s="943"/>
      <c r="S393" s="943"/>
      <c r="T393" s="943"/>
      <c r="U393" s="943"/>
      <c r="V393" s="943"/>
      <c r="W393" s="943"/>
      <c r="X393" s="943"/>
      <c r="Y393" s="943"/>
      <c r="Z393" s="943"/>
      <c r="AA393" s="943"/>
      <c r="AB393" s="943"/>
      <c r="AC393" s="943"/>
      <c r="AD393" s="943"/>
      <c r="AE393" s="943"/>
    </row>
    <row r="394" spans="1:31" ht="15.75" customHeight="1">
      <c r="A394" s="943"/>
      <c r="B394" s="943"/>
      <c r="C394" s="943"/>
      <c r="D394" s="943"/>
      <c r="E394" s="943"/>
      <c r="F394" s="943"/>
      <c r="G394" s="943"/>
      <c r="H394" s="943"/>
      <c r="I394" s="943"/>
      <c r="J394" s="943"/>
      <c r="K394" s="943"/>
      <c r="L394" s="943"/>
      <c r="M394" s="943"/>
      <c r="N394" s="943"/>
      <c r="O394" s="943"/>
      <c r="P394" s="943"/>
      <c r="Q394" s="943"/>
      <c r="R394" s="943"/>
      <c r="S394" s="943"/>
      <c r="T394" s="943"/>
      <c r="U394" s="943"/>
      <c r="V394" s="943"/>
      <c r="W394" s="943"/>
      <c r="X394" s="943"/>
      <c r="Y394" s="943"/>
      <c r="Z394" s="943"/>
      <c r="AA394" s="943"/>
      <c r="AB394" s="943"/>
      <c r="AC394" s="943"/>
      <c r="AD394" s="943"/>
      <c r="AE394" s="943"/>
    </row>
    <row r="395" spans="1:31" ht="15.75" customHeight="1">
      <c r="A395" s="943"/>
      <c r="B395" s="943"/>
      <c r="C395" s="943"/>
      <c r="D395" s="943"/>
      <c r="E395" s="943"/>
      <c r="F395" s="943"/>
      <c r="G395" s="943"/>
      <c r="H395" s="943"/>
      <c r="I395" s="943"/>
      <c r="J395" s="943"/>
      <c r="K395" s="943"/>
      <c r="L395" s="943"/>
      <c r="M395" s="943"/>
      <c r="N395" s="943"/>
      <c r="O395" s="943"/>
      <c r="P395" s="943"/>
      <c r="Q395" s="943"/>
      <c r="R395" s="943"/>
      <c r="S395" s="943"/>
      <c r="T395" s="943"/>
      <c r="U395" s="943"/>
      <c r="V395" s="943"/>
      <c r="W395" s="943"/>
      <c r="X395" s="943"/>
      <c r="Y395" s="943"/>
      <c r="Z395" s="943"/>
      <c r="AA395" s="943"/>
      <c r="AB395" s="943"/>
      <c r="AC395" s="943"/>
      <c r="AD395" s="943"/>
      <c r="AE395" s="943"/>
    </row>
    <row r="396" spans="1:31" ht="15.75" customHeight="1">
      <c r="A396" s="943"/>
      <c r="B396" s="943"/>
      <c r="C396" s="943"/>
      <c r="D396" s="943"/>
      <c r="E396" s="943"/>
      <c r="F396" s="943"/>
      <c r="G396" s="943"/>
      <c r="H396" s="943"/>
      <c r="I396" s="943"/>
      <c r="J396" s="943"/>
      <c r="K396" s="943"/>
      <c r="L396" s="943"/>
      <c r="M396" s="943"/>
      <c r="N396" s="943"/>
      <c r="O396" s="943"/>
      <c r="P396" s="943"/>
      <c r="Q396" s="943"/>
      <c r="R396" s="943"/>
      <c r="S396" s="943"/>
      <c r="T396" s="943"/>
      <c r="U396" s="943"/>
      <c r="V396" s="943"/>
      <c r="W396" s="943"/>
      <c r="X396" s="943"/>
      <c r="Y396" s="943"/>
      <c r="Z396" s="943"/>
      <c r="AA396" s="943"/>
      <c r="AB396" s="943"/>
      <c r="AC396" s="943"/>
      <c r="AD396" s="943"/>
      <c r="AE396" s="943"/>
    </row>
    <row r="397" spans="1:31" ht="15.75" customHeight="1">
      <c r="A397" s="943"/>
      <c r="B397" s="943"/>
      <c r="C397" s="943"/>
      <c r="D397" s="943"/>
      <c r="E397" s="943"/>
      <c r="F397" s="943"/>
      <c r="G397" s="943"/>
      <c r="H397" s="943"/>
      <c r="I397" s="943"/>
      <c r="J397" s="943"/>
      <c r="K397" s="943"/>
      <c r="L397" s="943"/>
      <c r="M397" s="943"/>
      <c r="N397" s="943"/>
      <c r="O397" s="943"/>
      <c r="P397" s="943"/>
      <c r="Q397" s="943"/>
      <c r="R397" s="943"/>
      <c r="S397" s="943"/>
      <c r="T397" s="943"/>
      <c r="U397" s="943"/>
      <c r="V397" s="943"/>
      <c r="W397" s="943"/>
      <c r="X397" s="943"/>
      <c r="Y397" s="943"/>
      <c r="Z397" s="943"/>
      <c r="AA397" s="943"/>
      <c r="AB397" s="943"/>
      <c r="AC397" s="943"/>
      <c r="AD397" s="943"/>
      <c r="AE397" s="943"/>
    </row>
    <row r="398" spans="1:31" ht="15.75" customHeight="1">
      <c r="A398" s="943"/>
      <c r="B398" s="943"/>
      <c r="C398" s="943"/>
      <c r="D398" s="943"/>
      <c r="E398" s="943"/>
      <c r="F398" s="943"/>
      <c r="G398" s="943"/>
      <c r="H398" s="943"/>
      <c r="I398" s="943"/>
      <c r="J398" s="943"/>
      <c r="K398" s="943"/>
      <c r="L398" s="943"/>
      <c r="M398" s="943"/>
      <c r="N398" s="943"/>
      <c r="O398" s="943"/>
      <c r="P398" s="943"/>
      <c r="Q398" s="943"/>
      <c r="R398" s="943"/>
      <c r="S398" s="943"/>
      <c r="T398" s="943"/>
      <c r="U398" s="943"/>
      <c r="V398" s="943"/>
      <c r="W398" s="943"/>
      <c r="X398" s="943"/>
      <c r="Y398" s="943"/>
      <c r="Z398" s="943"/>
      <c r="AA398" s="943"/>
      <c r="AB398" s="943"/>
      <c r="AC398" s="943"/>
      <c r="AD398" s="943"/>
      <c r="AE398" s="943"/>
    </row>
    <row r="399" spans="1:31" ht="15.75" customHeight="1">
      <c r="A399" s="943"/>
      <c r="B399" s="943"/>
      <c r="C399" s="943"/>
      <c r="D399" s="943"/>
      <c r="E399" s="943"/>
      <c r="F399" s="943"/>
      <c r="G399" s="943"/>
      <c r="H399" s="943"/>
      <c r="I399" s="943"/>
      <c r="J399" s="943"/>
      <c r="K399" s="943"/>
      <c r="L399" s="943"/>
      <c r="M399" s="943"/>
      <c r="N399" s="943"/>
      <c r="O399" s="943"/>
      <c r="P399" s="943"/>
      <c r="Q399" s="943"/>
      <c r="R399" s="943"/>
      <c r="S399" s="943"/>
      <c r="T399" s="943"/>
      <c r="U399" s="943"/>
      <c r="V399" s="943"/>
      <c r="W399" s="943"/>
      <c r="X399" s="943"/>
      <c r="Y399" s="943"/>
      <c r="Z399" s="943"/>
      <c r="AA399" s="943"/>
      <c r="AB399" s="943"/>
      <c r="AC399" s="943"/>
      <c r="AD399" s="943"/>
      <c r="AE399" s="943"/>
    </row>
    <row r="400" spans="1:31" ht="15.75" customHeight="1">
      <c r="A400" s="943"/>
      <c r="B400" s="943"/>
      <c r="C400" s="943"/>
      <c r="D400" s="943"/>
      <c r="E400" s="943"/>
      <c r="F400" s="943"/>
      <c r="G400" s="943"/>
      <c r="H400" s="943"/>
      <c r="I400" s="943"/>
      <c r="J400" s="943"/>
      <c r="K400" s="943"/>
      <c r="L400" s="943"/>
      <c r="M400" s="943"/>
      <c r="N400" s="943"/>
      <c r="O400" s="943"/>
      <c r="P400" s="943"/>
      <c r="Q400" s="943"/>
      <c r="R400" s="943"/>
      <c r="S400" s="943"/>
      <c r="T400" s="943"/>
      <c r="U400" s="943"/>
      <c r="V400" s="943"/>
      <c r="W400" s="943"/>
      <c r="X400" s="943"/>
      <c r="Y400" s="943"/>
      <c r="Z400" s="943"/>
      <c r="AA400" s="943"/>
      <c r="AB400" s="943"/>
      <c r="AC400" s="943"/>
      <c r="AD400" s="943"/>
      <c r="AE400" s="943"/>
    </row>
    <row r="401" spans="1:31" ht="15.75" customHeight="1">
      <c r="A401" s="943"/>
      <c r="B401" s="943"/>
      <c r="C401" s="943"/>
      <c r="D401" s="943"/>
      <c r="E401" s="943"/>
      <c r="F401" s="943"/>
      <c r="G401" s="943"/>
      <c r="H401" s="943"/>
      <c r="I401" s="943"/>
      <c r="J401" s="943"/>
      <c r="K401" s="943"/>
      <c r="L401" s="943"/>
      <c r="M401" s="943"/>
      <c r="N401" s="943"/>
      <c r="O401" s="943"/>
      <c r="P401" s="943"/>
      <c r="Q401" s="943"/>
      <c r="R401" s="943"/>
      <c r="S401" s="943"/>
      <c r="T401" s="943"/>
      <c r="U401" s="943"/>
      <c r="V401" s="943"/>
      <c r="W401" s="943"/>
      <c r="X401" s="943"/>
      <c r="Y401" s="943"/>
      <c r="Z401" s="943"/>
      <c r="AA401" s="943"/>
      <c r="AB401" s="943"/>
      <c r="AC401" s="943"/>
      <c r="AD401" s="943"/>
      <c r="AE401" s="943"/>
    </row>
    <row r="402" spans="1:31" ht="15.75" customHeight="1">
      <c r="A402" s="943"/>
      <c r="B402" s="943"/>
      <c r="C402" s="943"/>
      <c r="D402" s="943"/>
      <c r="E402" s="943"/>
      <c r="F402" s="943"/>
      <c r="G402" s="943"/>
      <c r="H402" s="943"/>
      <c r="I402" s="943"/>
      <c r="J402" s="943"/>
      <c r="K402" s="943"/>
      <c r="L402" s="943"/>
      <c r="M402" s="943"/>
      <c r="N402" s="943"/>
      <c r="O402" s="943"/>
      <c r="P402" s="943"/>
      <c r="Q402" s="943"/>
      <c r="R402" s="943"/>
      <c r="S402" s="943"/>
      <c r="T402" s="943"/>
      <c r="U402" s="943"/>
      <c r="V402" s="943"/>
      <c r="W402" s="943"/>
      <c r="X402" s="943"/>
      <c r="Y402" s="943"/>
      <c r="Z402" s="943"/>
      <c r="AA402" s="943"/>
      <c r="AB402" s="943"/>
      <c r="AC402" s="943"/>
      <c r="AD402" s="943"/>
      <c r="AE402" s="943"/>
    </row>
    <row r="403" spans="1:31" ht="15.75" customHeight="1">
      <c r="A403" s="943"/>
      <c r="B403" s="943"/>
      <c r="C403" s="943"/>
      <c r="D403" s="943"/>
      <c r="E403" s="943"/>
      <c r="F403" s="943"/>
      <c r="G403" s="943"/>
      <c r="H403" s="943"/>
      <c r="I403" s="943"/>
      <c r="J403" s="943"/>
      <c r="K403" s="943"/>
      <c r="L403" s="943"/>
      <c r="M403" s="943"/>
      <c r="N403" s="943"/>
      <c r="O403" s="943"/>
      <c r="P403" s="943"/>
      <c r="Q403" s="943"/>
      <c r="R403" s="943"/>
      <c r="S403" s="943"/>
      <c r="T403" s="943"/>
      <c r="U403" s="943"/>
      <c r="V403" s="943"/>
      <c r="W403" s="943"/>
      <c r="X403" s="943"/>
      <c r="Y403" s="943"/>
      <c r="Z403" s="943"/>
      <c r="AA403" s="943"/>
      <c r="AB403" s="943"/>
      <c r="AC403" s="943"/>
      <c r="AD403" s="943"/>
      <c r="AE403" s="943"/>
    </row>
    <row r="404" spans="1:31" ht="15.75" customHeight="1">
      <c r="A404" s="943"/>
      <c r="B404" s="943"/>
      <c r="C404" s="943"/>
      <c r="D404" s="943"/>
      <c r="E404" s="943"/>
      <c r="F404" s="943"/>
      <c r="G404" s="943"/>
      <c r="H404" s="943"/>
      <c r="I404" s="943"/>
      <c r="J404" s="943"/>
      <c r="K404" s="943"/>
      <c r="L404" s="943"/>
      <c r="M404" s="943"/>
      <c r="N404" s="943"/>
      <c r="O404" s="943"/>
      <c r="P404" s="943"/>
      <c r="Q404" s="943"/>
      <c r="R404" s="943"/>
      <c r="S404" s="943"/>
      <c r="T404" s="943"/>
      <c r="U404" s="943"/>
      <c r="V404" s="943"/>
      <c r="W404" s="943"/>
      <c r="X404" s="943"/>
      <c r="Y404" s="943"/>
      <c r="Z404" s="943"/>
      <c r="AA404" s="943"/>
      <c r="AB404" s="943"/>
      <c r="AC404" s="943"/>
      <c r="AD404" s="943"/>
      <c r="AE404" s="943"/>
    </row>
    <row r="405" spans="1:31" ht="15.75" customHeight="1">
      <c r="A405" s="943"/>
      <c r="B405" s="943"/>
      <c r="C405" s="943"/>
      <c r="D405" s="943"/>
      <c r="E405" s="943"/>
      <c r="F405" s="943"/>
      <c r="G405" s="943"/>
      <c r="H405" s="943"/>
      <c r="I405" s="943"/>
      <c r="J405" s="943"/>
      <c r="K405" s="943"/>
      <c r="L405" s="943"/>
      <c r="M405" s="943"/>
      <c r="N405" s="943"/>
      <c r="O405" s="943"/>
      <c r="P405" s="943"/>
      <c r="Q405" s="943"/>
      <c r="R405" s="943"/>
      <c r="S405" s="943"/>
      <c r="T405" s="943"/>
      <c r="U405" s="943"/>
      <c r="V405" s="943"/>
      <c r="W405" s="943"/>
      <c r="X405" s="943"/>
      <c r="Y405" s="943"/>
      <c r="Z405" s="943"/>
      <c r="AA405" s="943"/>
      <c r="AB405" s="943"/>
      <c r="AC405" s="943"/>
      <c r="AD405" s="943"/>
      <c r="AE405" s="943"/>
    </row>
    <row r="406" spans="1:31" ht="15.75" customHeight="1">
      <c r="A406" s="943"/>
      <c r="B406" s="943"/>
      <c r="C406" s="943"/>
      <c r="D406" s="943"/>
      <c r="E406" s="943"/>
      <c r="F406" s="943"/>
      <c r="G406" s="943"/>
      <c r="H406" s="943"/>
      <c r="I406" s="943"/>
      <c r="J406" s="943"/>
      <c r="K406" s="943"/>
      <c r="L406" s="943"/>
      <c r="M406" s="943"/>
      <c r="N406" s="943"/>
      <c r="O406" s="943"/>
      <c r="P406" s="943"/>
      <c r="Q406" s="943"/>
      <c r="R406" s="943"/>
      <c r="S406" s="943"/>
      <c r="T406" s="943"/>
      <c r="U406" s="943"/>
      <c r="V406" s="943"/>
      <c r="W406" s="943"/>
      <c r="X406" s="943"/>
      <c r="Y406" s="943"/>
      <c r="Z406" s="943"/>
      <c r="AA406" s="943"/>
      <c r="AB406" s="943"/>
      <c r="AC406" s="943"/>
      <c r="AD406" s="943"/>
      <c r="AE406" s="943"/>
    </row>
    <row r="407" spans="1:31" ht="15.75" customHeight="1">
      <c r="A407" s="943"/>
      <c r="B407" s="943"/>
      <c r="C407" s="943"/>
      <c r="D407" s="943"/>
      <c r="E407" s="943"/>
      <c r="F407" s="943"/>
      <c r="G407" s="943"/>
      <c r="H407" s="943"/>
      <c r="I407" s="943"/>
      <c r="J407" s="943"/>
      <c r="K407" s="943"/>
      <c r="L407" s="943"/>
      <c r="M407" s="943"/>
      <c r="N407" s="943"/>
      <c r="O407" s="943"/>
      <c r="P407" s="943"/>
      <c r="Q407" s="943"/>
      <c r="R407" s="943"/>
      <c r="S407" s="943"/>
      <c r="T407" s="943"/>
      <c r="U407" s="943"/>
      <c r="V407" s="943"/>
      <c r="W407" s="943"/>
      <c r="X407" s="943"/>
      <c r="Y407" s="943"/>
      <c r="Z407" s="943"/>
      <c r="AA407" s="943"/>
      <c r="AB407" s="943"/>
      <c r="AC407" s="943"/>
      <c r="AD407" s="943"/>
      <c r="AE407" s="943"/>
    </row>
    <row r="408" spans="1:31" ht="15.75" customHeight="1">
      <c r="A408" s="943"/>
      <c r="B408" s="943"/>
      <c r="C408" s="943"/>
      <c r="D408" s="943"/>
      <c r="E408" s="943"/>
      <c r="F408" s="943"/>
      <c r="G408" s="943"/>
      <c r="H408" s="943"/>
      <c r="I408" s="943"/>
      <c r="J408" s="943"/>
      <c r="K408" s="943"/>
      <c r="L408" s="943"/>
      <c r="M408" s="943"/>
      <c r="N408" s="943"/>
      <c r="O408" s="943"/>
      <c r="P408" s="943"/>
      <c r="Q408" s="943"/>
      <c r="R408" s="943"/>
      <c r="S408" s="943"/>
      <c r="T408" s="943"/>
      <c r="U408" s="943"/>
      <c r="V408" s="943"/>
      <c r="W408" s="943"/>
      <c r="X408" s="943"/>
      <c r="Y408" s="943"/>
      <c r="Z408" s="943"/>
      <c r="AA408" s="943"/>
      <c r="AB408" s="943"/>
      <c r="AC408" s="943"/>
      <c r="AD408" s="943"/>
      <c r="AE408" s="943"/>
    </row>
    <row r="409" spans="1:31" ht="15.75" customHeight="1">
      <c r="A409" s="943"/>
      <c r="B409" s="943"/>
      <c r="C409" s="943"/>
      <c r="D409" s="943"/>
      <c r="E409" s="943"/>
      <c r="F409" s="943"/>
      <c r="G409" s="943"/>
      <c r="H409" s="943"/>
      <c r="I409" s="943"/>
      <c r="J409" s="943"/>
      <c r="K409" s="943"/>
      <c r="L409" s="943"/>
      <c r="M409" s="943"/>
      <c r="N409" s="943"/>
      <c r="O409" s="943"/>
      <c r="P409" s="943"/>
      <c r="Q409" s="943"/>
      <c r="R409" s="943"/>
      <c r="S409" s="943"/>
      <c r="T409" s="943"/>
      <c r="U409" s="943"/>
      <c r="V409" s="943"/>
      <c r="W409" s="943"/>
      <c r="X409" s="943"/>
      <c r="Y409" s="943"/>
      <c r="Z409" s="943"/>
      <c r="AA409" s="943"/>
      <c r="AB409" s="943"/>
      <c r="AC409" s="943"/>
      <c r="AD409" s="943"/>
      <c r="AE409" s="943"/>
    </row>
    <row r="410" spans="1:31" ht="15.75" customHeight="1">
      <c r="A410" s="943"/>
      <c r="B410" s="943"/>
      <c r="C410" s="943"/>
      <c r="D410" s="943"/>
      <c r="E410" s="943"/>
      <c r="F410" s="943"/>
      <c r="G410" s="943"/>
      <c r="H410" s="943"/>
      <c r="I410" s="943"/>
      <c r="J410" s="943"/>
      <c r="K410" s="943"/>
      <c r="L410" s="943"/>
      <c r="M410" s="943"/>
      <c r="N410" s="943"/>
      <c r="O410" s="943"/>
      <c r="P410" s="943"/>
      <c r="Q410" s="943"/>
      <c r="R410" s="943"/>
      <c r="S410" s="943"/>
      <c r="T410" s="943"/>
      <c r="U410" s="943"/>
      <c r="V410" s="943"/>
      <c r="W410" s="943"/>
      <c r="X410" s="943"/>
      <c r="Y410" s="943"/>
      <c r="Z410" s="943"/>
      <c r="AA410" s="943"/>
      <c r="AB410" s="943"/>
      <c r="AC410" s="943"/>
      <c r="AD410" s="943"/>
      <c r="AE410" s="943"/>
    </row>
    <row r="411" spans="1:31" ht="15.75" customHeight="1">
      <c r="A411" s="943"/>
      <c r="B411" s="943"/>
      <c r="C411" s="943"/>
      <c r="D411" s="943"/>
      <c r="E411" s="943"/>
      <c r="F411" s="943"/>
      <c r="G411" s="943"/>
      <c r="H411" s="943"/>
      <c r="I411" s="943"/>
      <c r="J411" s="943"/>
      <c r="K411" s="943"/>
      <c r="L411" s="943"/>
      <c r="M411" s="943"/>
      <c r="N411" s="943"/>
      <c r="O411" s="943"/>
      <c r="P411" s="943"/>
      <c r="Q411" s="943"/>
      <c r="R411" s="943"/>
      <c r="S411" s="943"/>
      <c r="T411" s="943"/>
      <c r="U411" s="943"/>
      <c r="V411" s="943"/>
      <c r="W411" s="943"/>
      <c r="X411" s="943"/>
      <c r="Y411" s="943"/>
      <c r="Z411" s="943"/>
      <c r="AA411" s="943"/>
      <c r="AB411" s="943"/>
      <c r="AC411" s="943"/>
      <c r="AD411" s="943"/>
      <c r="AE411" s="943"/>
    </row>
    <row r="412" spans="1:31" ht="15.75" customHeight="1">
      <c r="A412" s="943"/>
      <c r="B412" s="943"/>
      <c r="C412" s="943"/>
      <c r="D412" s="943"/>
      <c r="E412" s="943"/>
      <c r="F412" s="943"/>
      <c r="G412" s="943"/>
      <c r="H412" s="943"/>
      <c r="I412" s="943"/>
      <c r="J412" s="943"/>
      <c r="K412" s="943"/>
      <c r="L412" s="943"/>
      <c r="M412" s="943"/>
      <c r="N412" s="943"/>
      <c r="O412" s="943"/>
      <c r="P412" s="943"/>
      <c r="Q412" s="943"/>
      <c r="R412" s="943"/>
      <c r="S412" s="943"/>
      <c r="T412" s="943"/>
      <c r="U412" s="943"/>
      <c r="V412" s="943"/>
      <c r="W412" s="943"/>
      <c r="X412" s="943"/>
      <c r="Y412" s="943"/>
      <c r="Z412" s="943"/>
      <c r="AA412" s="943"/>
      <c r="AB412" s="943"/>
      <c r="AC412" s="943"/>
      <c r="AD412" s="943"/>
      <c r="AE412" s="943"/>
    </row>
    <row r="413" spans="1:31" ht="15.75" customHeight="1">
      <c r="A413" s="943"/>
      <c r="B413" s="943"/>
      <c r="C413" s="943"/>
      <c r="D413" s="943"/>
      <c r="E413" s="943"/>
      <c r="F413" s="943"/>
      <c r="G413" s="943"/>
      <c r="H413" s="943"/>
      <c r="I413" s="943"/>
      <c r="J413" s="943"/>
      <c r="K413" s="943"/>
      <c r="L413" s="943"/>
      <c r="M413" s="943"/>
      <c r="N413" s="943"/>
      <c r="O413" s="943"/>
      <c r="P413" s="943"/>
      <c r="Q413" s="943"/>
      <c r="R413" s="943"/>
      <c r="S413" s="943"/>
      <c r="T413" s="943"/>
      <c r="U413" s="943"/>
      <c r="V413" s="943"/>
      <c r="W413" s="943"/>
      <c r="X413" s="943"/>
      <c r="Y413" s="943"/>
      <c r="Z413" s="943"/>
      <c r="AA413" s="943"/>
      <c r="AB413" s="943"/>
      <c r="AC413" s="943"/>
      <c r="AD413" s="943"/>
      <c r="AE413" s="943"/>
    </row>
    <row r="414" spans="1:31" ht="15.75" customHeight="1">
      <c r="A414" s="943"/>
      <c r="B414" s="943"/>
      <c r="C414" s="943"/>
      <c r="D414" s="943"/>
      <c r="E414" s="943"/>
      <c r="F414" s="943"/>
      <c r="G414" s="943"/>
      <c r="H414" s="943"/>
      <c r="I414" s="943"/>
      <c r="J414" s="943"/>
      <c r="K414" s="943"/>
      <c r="L414" s="943"/>
      <c r="M414" s="943"/>
      <c r="N414" s="943"/>
      <c r="O414" s="943"/>
      <c r="P414" s="943"/>
      <c r="Q414" s="943"/>
      <c r="R414" s="943"/>
      <c r="S414" s="943"/>
      <c r="T414" s="943"/>
      <c r="U414" s="943"/>
      <c r="V414" s="943"/>
      <c r="W414" s="943"/>
      <c r="X414" s="943"/>
      <c r="Y414" s="943"/>
      <c r="Z414" s="943"/>
      <c r="AA414" s="943"/>
      <c r="AB414" s="943"/>
      <c r="AC414" s="943"/>
      <c r="AD414" s="943"/>
      <c r="AE414" s="943"/>
    </row>
    <row r="415" spans="1:31" ht="15.75" customHeight="1">
      <c r="A415" s="943"/>
      <c r="B415" s="943"/>
      <c r="C415" s="943"/>
      <c r="D415" s="943"/>
      <c r="E415" s="943"/>
      <c r="F415" s="943"/>
      <c r="G415" s="943"/>
      <c r="H415" s="943"/>
      <c r="I415" s="943"/>
      <c r="J415" s="943"/>
      <c r="K415" s="943"/>
      <c r="L415" s="943"/>
      <c r="M415" s="943"/>
      <c r="N415" s="943"/>
      <c r="O415" s="943"/>
      <c r="P415" s="943"/>
      <c r="Q415" s="943"/>
      <c r="R415" s="943"/>
      <c r="S415" s="943"/>
      <c r="T415" s="943"/>
      <c r="U415" s="943"/>
      <c r="V415" s="943"/>
      <c r="W415" s="943"/>
      <c r="X415" s="943"/>
      <c r="Y415" s="943"/>
      <c r="Z415" s="943"/>
      <c r="AA415" s="943"/>
      <c r="AB415" s="943"/>
      <c r="AC415" s="943"/>
      <c r="AD415" s="943"/>
      <c r="AE415" s="943"/>
    </row>
    <row r="416" spans="1:31" ht="15.75" customHeight="1">
      <c r="A416" s="943"/>
      <c r="B416" s="943"/>
      <c r="C416" s="943"/>
      <c r="D416" s="943"/>
      <c r="E416" s="943"/>
      <c r="F416" s="943"/>
      <c r="G416" s="943"/>
      <c r="H416" s="943"/>
      <c r="I416" s="943"/>
      <c r="J416" s="943"/>
      <c r="K416" s="943"/>
      <c r="L416" s="943"/>
      <c r="M416" s="943"/>
      <c r="N416" s="943"/>
      <c r="O416" s="943"/>
      <c r="P416" s="943"/>
      <c r="Q416" s="943"/>
      <c r="R416" s="943"/>
      <c r="S416" s="943"/>
      <c r="T416" s="943"/>
      <c r="U416" s="943"/>
      <c r="V416" s="943"/>
      <c r="W416" s="943"/>
      <c r="X416" s="943"/>
      <c r="Y416" s="943"/>
      <c r="Z416" s="943"/>
      <c r="AA416" s="943"/>
      <c r="AB416" s="943"/>
      <c r="AC416" s="943"/>
      <c r="AD416" s="943"/>
      <c r="AE416" s="943"/>
    </row>
    <row r="417" spans="1:31" ht="15.75" customHeight="1">
      <c r="A417" s="943"/>
      <c r="B417" s="943"/>
      <c r="C417" s="943"/>
      <c r="D417" s="943"/>
      <c r="E417" s="943"/>
      <c r="F417" s="943"/>
      <c r="G417" s="943"/>
      <c r="H417" s="943"/>
      <c r="I417" s="943"/>
      <c r="J417" s="943"/>
      <c r="K417" s="943"/>
      <c r="L417" s="943"/>
      <c r="M417" s="943"/>
      <c r="N417" s="943"/>
      <c r="O417" s="943"/>
      <c r="P417" s="943"/>
      <c r="Q417" s="943"/>
      <c r="R417" s="943"/>
      <c r="S417" s="943"/>
      <c r="T417" s="943"/>
      <c r="U417" s="943"/>
      <c r="V417" s="943"/>
      <c r="W417" s="943"/>
      <c r="X417" s="943"/>
      <c r="Y417" s="943"/>
      <c r="Z417" s="943"/>
      <c r="AA417" s="943"/>
      <c r="AB417" s="943"/>
      <c r="AC417" s="943"/>
      <c r="AD417" s="943"/>
      <c r="AE417" s="943"/>
    </row>
    <row r="418" spans="1:31" ht="15.75" customHeight="1">
      <c r="A418" s="943"/>
      <c r="B418" s="943"/>
      <c r="C418" s="943"/>
      <c r="D418" s="943"/>
      <c r="E418" s="943"/>
      <c r="F418" s="943"/>
      <c r="G418" s="943"/>
      <c r="H418" s="943"/>
      <c r="I418" s="943"/>
      <c r="J418" s="943"/>
      <c r="K418" s="943"/>
      <c r="L418" s="943"/>
      <c r="M418" s="943"/>
      <c r="N418" s="943"/>
      <c r="O418" s="943"/>
      <c r="P418" s="943"/>
      <c r="Q418" s="943"/>
      <c r="R418" s="943"/>
      <c r="S418" s="943"/>
      <c r="T418" s="943"/>
      <c r="U418" s="943"/>
      <c r="V418" s="943"/>
      <c r="W418" s="943"/>
      <c r="X418" s="943"/>
      <c r="Y418" s="943"/>
      <c r="Z418" s="943"/>
      <c r="AA418" s="943"/>
      <c r="AB418" s="943"/>
      <c r="AC418" s="943"/>
      <c r="AD418" s="943"/>
      <c r="AE418" s="943"/>
    </row>
    <row r="419" spans="1:31" ht="15.75" customHeight="1">
      <c r="A419" s="943"/>
      <c r="B419" s="943"/>
      <c r="C419" s="943"/>
      <c r="D419" s="943"/>
      <c r="E419" s="943"/>
      <c r="F419" s="943"/>
      <c r="G419" s="943"/>
      <c r="H419" s="943"/>
      <c r="I419" s="943"/>
      <c r="J419" s="943"/>
      <c r="K419" s="943"/>
      <c r="L419" s="943"/>
      <c r="M419" s="943"/>
      <c r="N419" s="943"/>
      <c r="O419" s="943"/>
      <c r="P419" s="943"/>
      <c r="Q419" s="943"/>
      <c r="R419" s="943"/>
      <c r="S419" s="943"/>
      <c r="T419" s="943"/>
      <c r="U419" s="943"/>
      <c r="V419" s="943"/>
      <c r="W419" s="943"/>
      <c r="X419" s="943"/>
      <c r="Y419" s="943"/>
      <c r="Z419" s="943"/>
      <c r="AA419" s="943"/>
      <c r="AB419" s="943"/>
      <c r="AC419" s="943"/>
      <c r="AD419" s="943"/>
      <c r="AE419" s="943"/>
    </row>
    <row r="420" spans="1:31" ht="15.75" customHeight="1">
      <c r="A420" s="943"/>
      <c r="B420" s="943"/>
      <c r="C420" s="943"/>
      <c r="D420" s="943"/>
      <c r="E420" s="943"/>
      <c r="F420" s="943"/>
      <c r="G420" s="943"/>
      <c r="H420" s="943"/>
      <c r="I420" s="943"/>
      <c r="J420" s="943"/>
      <c r="K420" s="943"/>
      <c r="L420" s="943"/>
      <c r="M420" s="943"/>
      <c r="N420" s="943"/>
      <c r="O420" s="943"/>
      <c r="P420" s="943"/>
      <c r="Q420" s="943"/>
      <c r="R420" s="943"/>
      <c r="S420" s="943"/>
      <c r="T420" s="943"/>
      <c r="U420" s="943"/>
      <c r="V420" s="943"/>
      <c r="W420" s="943"/>
      <c r="X420" s="943"/>
      <c r="Y420" s="943"/>
      <c r="Z420" s="943"/>
      <c r="AA420" s="943"/>
      <c r="AB420" s="943"/>
      <c r="AC420" s="943"/>
      <c r="AD420" s="943"/>
      <c r="AE420" s="943"/>
    </row>
    <row r="421" spans="1:31" ht="15.75" customHeight="1">
      <c r="A421" s="943"/>
      <c r="B421" s="943"/>
      <c r="C421" s="943"/>
      <c r="D421" s="943"/>
      <c r="E421" s="943"/>
      <c r="F421" s="943"/>
      <c r="G421" s="943"/>
      <c r="H421" s="943"/>
      <c r="I421" s="943"/>
      <c r="J421" s="943"/>
      <c r="K421" s="943"/>
      <c r="L421" s="943"/>
      <c r="M421" s="943"/>
      <c r="N421" s="943"/>
      <c r="O421" s="943"/>
      <c r="P421" s="943"/>
      <c r="Q421" s="943"/>
      <c r="R421" s="943"/>
      <c r="S421" s="943"/>
      <c r="T421" s="943"/>
      <c r="U421" s="943"/>
      <c r="V421" s="943"/>
      <c r="W421" s="943"/>
      <c r="X421" s="943"/>
      <c r="Y421" s="943"/>
      <c r="Z421" s="943"/>
      <c r="AA421" s="943"/>
      <c r="AB421" s="943"/>
      <c r="AC421" s="943"/>
      <c r="AD421" s="943"/>
      <c r="AE421" s="943"/>
    </row>
    <row r="422" spans="1:31" ht="15.75" customHeight="1">
      <c r="A422" s="943"/>
      <c r="B422" s="943"/>
      <c r="C422" s="943"/>
      <c r="D422" s="943"/>
      <c r="E422" s="943"/>
      <c r="F422" s="943"/>
      <c r="G422" s="943"/>
      <c r="H422" s="943"/>
      <c r="I422" s="943"/>
      <c r="J422" s="943"/>
      <c r="K422" s="943"/>
      <c r="L422" s="943"/>
      <c r="M422" s="943"/>
      <c r="N422" s="943"/>
      <c r="O422" s="943"/>
      <c r="P422" s="943"/>
      <c r="Q422" s="943"/>
      <c r="R422" s="943"/>
      <c r="S422" s="943"/>
      <c r="T422" s="943"/>
      <c r="U422" s="943"/>
      <c r="V422" s="943"/>
      <c r="W422" s="943"/>
      <c r="X422" s="943"/>
      <c r="Y422" s="943"/>
      <c r="Z422" s="943"/>
      <c r="AA422" s="943"/>
      <c r="AB422" s="943"/>
      <c r="AC422" s="943"/>
      <c r="AD422" s="943"/>
      <c r="AE422" s="943"/>
    </row>
    <row r="423" spans="1:31" ht="15.75" customHeight="1">
      <c r="A423" s="943"/>
      <c r="B423" s="943"/>
      <c r="C423" s="943"/>
      <c r="D423" s="943"/>
      <c r="E423" s="943"/>
      <c r="F423" s="943"/>
      <c r="G423" s="943"/>
      <c r="H423" s="943"/>
      <c r="I423" s="943"/>
      <c r="J423" s="943"/>
      <c r="K423" s="943"/>
      <c r="L423" s="943"/>
      <c r="M423" s="943"/>
      <c r="N423" s="943"/>
      <c r="O423" s="943"/>
      <c r="P423" s="943"/>
      <c r="Q423" s="943"/>
      <c r="R423" s="943"/>
      <c r="S423" s="943"/>
      <c r="T423" s="943"/>
      <c r="U423" s="943"/>
      <c r="V423" s="943"/>
      <c r="W423" s="943"/>
      <c r="X423" s="943"/>
      <c r="Y423" s="943"/>
      <c r="Z423" s="943"/>
      <c r="AA423" s="943"/>
      <c r="AB423" s="943"/>
      <c r="AC423" s="943"/>
      <c r="AD423" s="943"/>
      <c r="AE423" s="943"/>
    </row>
    <row r="424" spans="1:31" ht="15.75" customHeight="1">
      <c r="A424" s="943"/>
      <c r="B424" s="943"/>
      <c r="C424" s="943"/>
      <c r="D424" s="943"/>
      <c r="E424" s="943"/>
      <c r="F424" s="943"/>
      <c r="G424" s="943"/>
      <c r="H424" s="943"/>
      <c r="I424" s="943"/>
      <c r="J424" s="943"/>
      <c r="K424" s="943"/>
      <c r="L424" s="943"/>
      <c r="M424" s="943"/>
      <c r="N424" s="943"/>
      <c r="O424" s="943"/>
      <c r="P424" s="943"/>
      <c r="Q424" s="943"/>
      <c r="R424" s="943"/>
      <c r="S424" s="943"/>
      <c r="T424" s="943"/>
      <c r="U424" s="943"/>
      <c r="V424" s="943"/>
      <c r="W424" s="943"/>
      <c r="X424" s="943"/>
      <c r="Y424" s="943"/>
      <c r="Z424" s="943"/>
      <c r="AA424" s="943"/>
      <c r="AB424" s="943"/>
      <c r="AC424" s="943"/>
      <c r="AD424" s="943"/>
      <c r="AE424" s="943"/>
    </row>
    <row r="425" spans="1:31" ht="15.75" customHeight="1">
      <c r="A425" s="943"/>
      <c r="B425" s="943"/>
      <c r="C425" s="943"/>
      <c r="D425" s="943"/>
      <c r="E425" s="943"/>
      <c r="F425" s="943"/>
      <c r="G425" s="943"/>
      <c r="H425" s="943"/>
      <c r="I425" s="943"/>
      <c r="J425" s="943"/>
      <c r="K425" s="943"/>
      <c r="L425" s="943"/>
      <c r="M425" s="943"/>
      <c r="N425" s="943"/>
      <c r="O425" s="943"/>
      <c r="P425" s="943"/>
      <c r="Q425" s="943"/>
      <c r="R425" s="943"/>
      <c r="S425" s="943"/>
      <c r="T425" s="943"/>
      <c r="U425" s="943"/>
      <c r="V425" s="943"/>
      <c r="W425" s="943"/>
      <c r="X425" s="943"/>
      <c r="Y425" s="943"/>
      <c r="Z425" s="943"/>
      <c r="AA425" s="943"/>
      <c r="AB425" s="943"/>
      <c r="AC425" s="943"/>
      <c r="AD425" s="943"/>
      <c r="AE425" s="943"/>
    </row>
    <row r="426" spans="1:31" ht="15.75" customHeight="1">
      <c r="A426" s="943"/>
      <c r="B426" s="943"/>
      <c r="C426" s="943"/>
      <c r="D426" s="943"/>
      <c r="E426" s="943"/>
      <c r="F426" s="943"/>
      <c r="G426" s="943"/>
      <c r="H426" s="943"/>
      <c r="I426" s="943"/>
      <c r="J426" s="943"/>
      <c r="K426" s="943"/>
      <c r="L426" s="943"/>
      <c r="M426" s="943"/>
      <c r="N426" s="943"/>
      <c r="O426" s="943"/>
      <c r="P426" s="943"/>
      <c r="Q426" s="943"/>
      <c r="R426" s="943"/>
      <c r="S426" s="943"/>
      <c r="T426" s="943"/>
      <c r="U426" s="943"/>
      <c r="V426" s="943"/>
      <c r="W426" s="943"/>
      <c r="X426" s="943"/>
      <c r="Y426" s="943"/>
      <c r="Z426" s="943"/>
      <c r="AA426" s="943"/>
      <c r="AB426" s="943"/>
      <c r="AC426" s="943"/>
      <c r="AD426" s="943"/>
      <c r="AE426" s="943"/>
    </row>
    <row r="427" spans="1:31" ht="15.75" customHeight="1">
      <c r="A427" s="943"/>
      <c r="B427" s="943"/>
      <c r="C427" s="943"/>
      <c r="D427" s="943"/>
      <c r="E427" s="943"/>
      <c r="F427" s="943"/>
      <c r="G427" s="943"/>
      <c r="H427" s="943"/>
      <c r="I427" s="943"/>
      <c r="J427" s="943"/>
      <c r="K427" s="943"/>
      <c r="L427" s="943"/>
      <c r="M427" s="943"/>
      <c r="N427" s="943"/>
      <c r="O427" s="943"/>
      <c r="P427" s="943"/>
      <c r="Q427" s="943"/>
      <c r="R427" s="943"/>
      <c r="S427" s="943"/>
      <c r="T427" s="943"/>
      <c r="U427" s="943"/>
      <c r="V427" s="943"/>
      <c r="W427" s="943"/>
      <c r="X427" s="943"/>
      <c r="Y427" s="943"/>
      <c r="Z427" s="943"/>
      <c r="AA427" s="943"/>
      <c r="AB427" s="943"/>
      <c r="AC427" s="943"/>
      <c r="AD427" s="943"/>
      <c r="AE427" s="943"/>
    </row>
    <row r="428" spans="1:31" ht="15.75" customHeight="1">
      <c r="A428" s="943"/>
      <c r="B428" s="943"/>
      <c r="C428" s="943"/>
      <c r="D428" s="943"/>
      <c r="E428" s="943"/>
      <c r="F428" s="943"/>
      <c r="G428" s="943"/>
      <c r="H428" s="943"/>
      <c r="I428" s="943"/>
      <c r="J428" s="943"/>
      <c r="K428" s="943"/>
      <c r="L428" s="943"/>
      <c r="M428" s="943"/>
      <c r="N428" s="943"/>
      <c r="O428" s="943"/>
      <c r="P428" s="943"/>
      <c r="Q428" s="943"/>
      <c r="R428" s="943"/>
      <c r="S428" s="943"/>
      <c r="T428" s="943"/>
      <c r="U428" s="943"/>
      <c r="V428" s="943"/>
      <c r="W428" s="943"/>
      <c r="X428" s="943"/>
      <c r="Y428" s="943"/>
      <c r="Z428" s="943"/>
      <c r="AA428" s="943"/>
      <c r="AB428" s="943"/>
      <c r="AC428" s="943"/>
      <c r="AD428" s="943"/>
      <c r="AE428" s="943"/>
    </row>
    <row r="429" spans="1:31" ht="15.75" customHeight="1">
      <c r="A429" s="943"/>
      <c r="B429" s="943"/>
      <c r="C429" s="943"/>
      <c r="D429" s="943"/>
      <c r="E429" s="943"/>
      <c r="F429" s="943"/>
      <c r="G429" s="943"/>
      <c r="H429" s="943"/>
      <c r="I429" s="943"/>
      <c r="J429" s="943"/>
      <c r="K429" s="943"/>
      <c r="L429" s="943"/>
      <c r="M429" s="943"/>
      <c r="N429" s="943"/>
      <c r="O429" s="943"/>
      <c r="P429" s="943"/>
      <c r="Q429" s="943"/>
      <c r="R429" s="943"/>
      <c r="S429" s="943"/>
      <c r="T429" s="943"/>
      <c r="U429" s="943"/>
      <c r="V429" s="943"/>
      <c r="W429" s="943"/>
      <c r="X429" s="943"/>
      <c r="Y429" s="943"/>
      <c r="Z429" s="943"/>
      <c r="AA429" s="943"/>
      <c r="AB429" s="943"/>
      <c r="AC429" s="943"/>
      <c r="AD429" s="943"/>
      <c r="AE429" s="943"/>
    </row>
    <row r="430" spans="1:31" ht="15.75" customHeight="1">
      <c r="A430" s="943"/>
      <c r="B430" s="943"/>
      <c r="C430" s="943"/>
      <c r="D430" s="943"/>
      <c r="E430" s="943"/>
      <c r="F430" s="943"/>
      <c r="G430" s="943"/>
      <c r="H430" s="943"/>
      <c r="I430" s="943"/>
      <c r="J430" s="943"/>
      <c r="K430" s="943"/>
      <c r="L430" s="943"/>
      <c r="M430" s="943"/>
      <c r="N430" s="943"/>
      <c r="O430" s="943"/>
      <c r="P430" s="943"/>
      <c r="Q430" s="943"/>
      <c r="R430" s="943"/>
      <c r="S430" s="943"/>
      <c r="T430" s="943"/>
      <c r="U430" s="943"/>
      <c r="V430" s="943"/>
      <c r="W430" s="943"/>
      <c r="X430" s="943"/>
      <c r="Y430" s="943"/>
      <c r="Z430" s="943"/>
      <c r="AA430" s="943"/>
      <c r="AB430" s="943"/>
      <c r="AC430" s="943"/>
      <c r="AD430" s="943"/>
      <c r="AE430" s="943"/>
    </row>
    <row r="431" spans="1:31" ht="15.75" customHeight="1">
      <c r="A431" s="943"/>
      <c r="B431" s="943"/>
      <c r="C431" s="943"/>
      <c r="D431" s="943"/>
      <c r="E431" s="943"/>
      <c r="F431" s="943"/>
      <c r="G431" s="943"/>
      <c r="H431" s="943"/>
      <c r="I431" s="943"/>
      <c r="J431" s="943"/>
      <c r="K431" s="943"/>
      <c r="L431" s="943"/>
      <c r="M431" s="943"/>
      <c r="N431" s="943"/>
      <c r="O431" s="943"/>
      <c r="P431" s="943"/>
      <c r="Q431" s="943"/>
      <c r="R431" s="943"/>
      <c r="S431" s="943"/>
      <c r="T431" s="943"/>
      <c r="U431" s="943"/>
      <c r="V431" s="943"/>
      <c r="W431" s="943"/>
      <c r="X431" s="943"/>
      <c r="Y431" s="943"/>
      <c r="Z431" s="943"/>
      <c r="AA431" s="943"/>
      <c r="AB431" s="943"/>
      <c r="AC431" s="943"/>
      <c r="AD431" s="943"/>
      <c r="AE431" s="943"/>
    </row>
    <row r="432" spans="1:31" ht="15.75" customHeight="1">
      <c r="A432" s="943"/>
      <c r="B432" s="943"/>
      <c r="C432" s="943"/>
      <c r="D432" s="943"/>
      <c r="E432" s="943"/>
      <c r="F432" s="943"/>
      <c r="G432" s="943"/>
      <c r="H432" s="943"/>
      <c r="I432" s="943"/>
      <c r="J432" s="943"/>
      <c r="K432" s="943"/>
      <c r="L432" s="943"/>
      <c r="M432" s="943"/>
      <c r="N432" s="943"/>
      <c r="O432" s="943"/>
      <c r="P432" s="943"/>
      <c r="Q432" s="943"/>
      <c r="R432" s="943"/>
      <c r="S432" s="943"/>
      <c r="T432" s="943"/>
      <c r="U432" s="943"/>
      <c r="V432" s="943"/>
      <c r="W432" s="943"/>
      <c r="X432" s="943"/>
      <c r="Y432" s="943"/>
      <c r="Z432" s="943"/>
      <c r="AA432" s="943"/>
      <c r="AB432" s="943"/>
      <c r="AC432" s="943"/>
      <c r="AD432" s="943"/>
      <c r="AE432" s="943"/>
    </row>
    <row r="433" spans="1:31" ht="15.75" customHeight="1">
      <c r="A433" s="943"/>
      <c r="B433" s="943"/>
      <c r="C433" s="943"/>
      <c r="D433" s="943"/>
      <c r="E433" s="943"/>
      <c r="F433" s="943"/>
      <c r="G433" s="943"/>
      <c r="H433" s="943"/>
      <c r="I433" s="943"/>
      <c r="J433" s="943"/>
      <c r="K433" s="943"/>
      <c r="L433" s="943"/>
      <c r="M433" s="943"/>
      <c r="N433" s="943"/>
      <c r="O433" s="943"/>
      <c r="P433" s="943"/>
      <c r="Q433" s="943"/>
      <c r="R433" s="943"/>
      <c r="S433" s="943"/>
      <c r="T433" s="943"/>
      <c r="U433" s="943"/>
      <c r="V433" s="943"/>
      <c r="W433" s="943"/>
      <c r="X433" s="943"/>
      <c r="Y433" s="943"/>
      <c r="Z433" s="943"/>
      <c r="AA433" s="943"/>
      <c r="AB433" s="943"/>
      <c r="AC433" s="943"/>
      <c r="AD433" s="943"/>
      <c r="AE433" s="943"/>
    </row>
    <row r="434" spans="1:31" ht="15.75" customHeight="1">
      <c r="A434" s="943"/>
      <c r="B434" s="943"/>
      <c r="C434" s="943"/>
      <c r="D434" s="943"/>
      <c r="E434" s="943"/>
      <c r="F434" s="943"/>
      <c r="G434" s="943"/>
      <c r="H434" s="943"/>
      <c r="I434" s="943"/>
      <c r="J434" s="943"/>
      <c r="K434" s="943"/>
      <c r="L434" s="943"/>
      <c r="M434" s="943"/>
      <c r="N434" s="943"/>
      <c r="O434" s="943"/>
      <c r="P434" s="943"/>
      <c r="Q434" s="943"/>
      <c r="R434" s="943"/>
      <c r="S434" s="943"/>
      <c r="T434" s="943"/>
      <c r="U434" s="943"/>
      <c r="V434" s="943"/>
      <c r="W434" s="943"/>
      <c r="X434" s="943"/>
      <c r="Y434" s="943"/>
      <c r="Z434" s="943"/>
      <c r="AA434" s="943"/>
      <c r="AB434" s="943"/>
      <c r="AC434" s="943"/>
      <c r="AD434" s="943"/>
      <c r="AE434" s="943"/>
    </row>
    <row r="435" spans="1:31" ht="15.75" customHeight="1">
      <c r="A435" s="943"/>
      <c r="B435" s="943"/>
      <c r="C435" s="943"/>
      <c r="D435" s="943"/>
      <c r="E435" s="943"/>
      <c r="F435" s="943"/>
      <c r="G435" s="943"/>
      <c r="H435" s="943"/>
      <c r="I435" s="943"/>
      <c r="J435" s="943"/>
      <c r="K435" s="943"/>
      <c r="L435" s="943"/>
      <c r="M435" s="943"/>
      <c r="N435" s="943"/>
      <c r="O435" s="943"/>
      <c r="P435" s="943"/>
      <c r="Q435" s="943"/>
      <c r="R435" s="943"/>
      <c r="S435" s="943"/>
      <c r="T435" s="943"/>
      <c r="U435" s="943"/>
      <c r="V435" s="943"/>
      <c r="W435" s="943"/>
      <c r="X435" s="943"/>
      <c r="Y435" s="943"/>
      <c r="Z435" s="943"/>
      <c r="AA435" s="943"/>
      <c r="AB435" s="943"/>
      <c r="AC435" s="943"/>
      <c r="AD435" s="943"/>
      <c r="AE435" s="943"/>
    </row>
    <row r="436" spans="1:31" ht="15.75" customHeight="1">
      <c r="A436" s="943"/>
      <c r="B436" s="943"/>
      <c r="C436" s="943"/>
      <c r="D436" s="943"/>
      <c r="E436" s="943"/>
      <c r="F436" s="943"/>
      <c r="G436" s="943"/>
      <c r="H436" s="943"/>
      <c r="I436" s="943"/>
      <c r="J436" s="943"/>
      <c r="K436" s="943"/>
      <c r="L436" s="943"/>
      <c r="M436" s="943"/>
      <c r="N436" s="943"/>
      <c r="O436" s="943"/>
      <c r="P436" s="943"/>
      <c r="Q436" s="943"/>
      <c r="R436" s="943"/>
      <c r="S436" s="943"/>
      <c r="T436" s="943"/>
      <c r="U436" s="943"/>
      <c r="V436" s="943"/>
      <c r="W436" s="943"/>
      <c r="X436" s="943"/>
      <c r="Y436" s="943"/>
      <c r="Z436" s="943"/>
      <c r="AA436" s="943"/>
      <c r="AB436" s="943"/>
      <c r="AC436" s="943"/>
      <c r="AD436" s="943"/>
      <c r="AE436" s="943"/>
    </row>
    <row r="437" spans="1:31" ht="15.75" customHeight="1">
      <c r="A437" s="943"/>
      <c r="B437" s="943"/>
      <c r="C437" s="943"/>
      <c r="D437" s="943"/>
      <c r="E437" s="943"/>
      <c r="F437" s="943"/>
      <c r="G437" s="943"/>
      <c r="H437" s="943"/>
      <c r="I437" s="943"/>
      <c r="J437" s="943"/>
      <c r="K437" s="943"/>
      <c r="L437" s="943"/>
      <c r="M437" s="943"/>
      <c r="N437" s="943"/>
      <c r="O437" s="943"/>
      <c r="P437" s="943"/>
      <c r="Q437" s="943"/>
      <c r="R437" s="943"/>
      <c r="S437" s="943"/>
      <c r="T437" s="943"/>
      <c r="U437" s="943"/>
      <c r="V437" s="943"/>
      <c r="W437" s="943"/>
      <c r="X437" s="943"/>
      <c r="Y437" s="943"/>
      <c r="Z437" s="943"/>
      <c r="AA437" s="943"/>
      <c r="AB437" s="943"/>
      <c r="AC437" s="943"/>
      <c r="AD437" s="943"/>
      <c r="AE437" s="943"/>
    </row>
    <row r="438" spans="1:31" ht="15.75" customHeight="1">
      <c r="A438" s="943"/>
      <c r="B438" s="943"/>
      <c r="C438" s="943"/>
      <c r="D438" s="943"/>
      <c r="E438" s="943"/>
      <c r="F438" s="943"/>
      <c r="G438" s="943"/>
      <c r="H438" s="943"/>
      <c r="I438" s="943"/>
      <c r="J438" s="943"/>
      <c r="K438" s="943"/>
      <c r="L438" s="943"/>
      <c r="M438" s="943"/>
      <c r="N438" s="943"/>
      <c r="O438" s="943"/>
      <c r="P438" s="943"/>
      <c r="Q438" s="943"/>
      <c r="R438" s="943"/>
      <c r="S438" s="943"/>
      <c r="T438" s="943"/>
      <c r="U438" s="943"/>
      <c r="V438" s="943"/>
      <c r="W438" s="943"/>
      <c r="X438" s="943"/>
      <c r="Y438" s="943"/>
      <c r="Z438" s="943"/>
      <c r="AA438" s="943"/>
      <c r="AB438" s="943"/>
      <c r="AC438" s="943"/>
      <c r="AD438" s="943"/>
      <c r="AE438" s="943"/>
    </row>
    <row r="439" spans="1:31" ht="15.75" customHeight="1">
      <c r="A439" s="943"/>
      <c r="B439" s="943"/>
      <c r="C439" s="943"/>
      <c r="D439" s="943"/>
      <c r="E439" s="943"/>
      <c r="F439" s="943"/>
      <c r="G439" s="943"/>
      <c r="H439" s="943"/>
      <c r="I439" s="943"/>
      <c r="J439" s="943"/>
      <c r="K439" s="943"/>
      <c r="L439" s="943"/>
      <c r="M439" s="943"/>
      <c r="N439" s="943"/>
      <c r="O439" s="943"/>
      <c r="P439" s="943"/>
      <c r="Q439" s="943"/>
      <c r="R439" s="943"/>
      <c r="S439" s="943"/>
      <c r="T439" s="943"/>
      <c r="U439" s="943"/>
      <c r="V439" s="943"/>
      <c r="W439" s="943"/>
      <c r="X439" s="943"/>
      <c r="Y439" s="943"/>
      <c r="Z439" s="943"/>
      <c r="AA439" s="943"/>
      <c r="AB439" s="943"/>
      <c r="AC439" s="943"/>
      <c r="AD439" s="943"/>
      <c r="AE439" s="943"/>
    </row>
    <row r="440" spans="1:31" ht="15.75" customHeight="1">
      <c r="A440" s="943"/>
      <c r="B440" s="943"/>
      <c r="C440" s="943"/>
      <c r="D440" s="943"/>
      <c r="E440" s="943"/>
      <c r="F440" s="943"/>
      <c r="G440" s="943"/>
      <c r="H440" s="943"/>
      <c r="I440" s="943"/>
      <c r="J440" s="943"/>
      <c r="K440" s="943"/>
      <c r="L440" s="943"/>
      <c r="M440" s="943"/>
      <c r="N440" s="943"/>
      <c r="O440" s="943"/>
      <c r="P440" s="943"/>
      <c r="Q440" s="943"/>
      <c r="R440" s="943"/>
      <c r="S440" s="943"/>
      <c r="T440" s="943"/>
      <c r="U440" s="943"/>
      <c r="V440" s="943"/>
      <c r="W440" s="943"/>
      <c r="X440" s="943"/>
      <c r="Y440" s="943"/>
      <c r="Z440" s="943"/>
      <c r="AA440" s="943"/>
      <c r="AB440" s="943"/>
      <c r="AC440" s="943"/>
      <c r="AD440" s="943"/>
      <c r="AE440" s="943"/>
    </row>
    <row r="441" spans="1:31" ht="15.75" customHeight="1">
      <c r="A441" s="943"/>
      <c r="B441" s="943"/>
      <c r="C441" s="943"/>
      <c r="D441" s="943"/>
      <c r="E441" s="943"/>
      <c r="F441" s="943"/>
      <c r="G441" s="943"/>
      <c r="H441" s="943"/>
      <c r="I441" s="943"/>
      <c r="J441" s="943"/>
      <c r="K441" s="943"/>
      <c r="L441" s="943"/>
      <c r="M441" s="943"/>
      <c r="N441" s="943"/>
      <c r="O441" s="943"/>
      <c r="P441" s="943"/>
      <c r="Q441" s="943"/>
      <c r="R441" s="943"/>
      <c r="S441" s="943"/>
      <c r="T441" s="943"/>
      <c r="U441" s="943"/>
      <c r="V441" s="943"/>
      <c r="W441" s="943"/>
      <c r="X441" s="943"/>
      <c r="Y441" s="943"/>
      <c r="Z441" s="943"/>
      <c r="AA441" s="943"/>
      <c r="AB441" s="943"/>
      <c r="AC441" s="943"/>
      <c r="AD441" s="943"/>
      <c r="AE441" s="943"/>
    </row>
    <row r="442" spans="1:31" ht="15.75" customHeight="1">
      <c r="A442" s="943"/>
      <c r="B442" s="943"/>
      <c r="C442" s="943"/>
      <c r="D442" s="943"/>
      <c r="E442" s="943"/>
      <c r="F442" s="943"/>
      <c r="G442" s="943"/>
      <c r="H442" s="943"/>
      <c r="I442" s="943"/>
      <c r="J442" s="943"/>
      <c r="K442" s="943"/>
      <c r="L442" s="943"/>
      <c r="M442" s="943"/>
      <c r="N442" s="943"/>
      <c r="O442" s="943"/>
      <c r="P442" s="943"/>
      <c r="Q442" s="943"/>
      <c r="R442" s="943"/>
      <c r="S442" s="943"/>
      <c r="T442" s="943"/>
      <c r="U442" s="943"/>
      <c r="V442" s="943"/>
      <c r="W442" s="943"/>
      <c r="X442" s="943"/>
      <c r="Y442" s="943"/>
      <c r="Z442" s="943"/>
      <c r="AA442" s="943"/>
      <c r="AB442" s="943"/>
      <c r="AC442" s="943"/>
      <c r="AD442" s="943"/>
      <c r="AE442" s="943"/>
    </row>
    <row r="443" spans="1:31" ht="15.75" customHeight="1">
      <c r="A443" s="943"/>
      <c r="B443" s="943"/>
      <c r="C443" s="943"/>
      <c r="D443" s="943"/>
      <c r="E443" s="943"/>
      <c r="F443" s="943"/>
      <c r="G443" s="943"/>
      <c r="H443" s="943"/>
      <c r="I443" s="943"/>
      <c r="J443" s="943"/>
      <c r="K443" s="943"/>
      <c r="L443" s="943"/>
      <c r="M443" s="943"/>
      <c r="N443" s="943"/>
      <c r="O443" s="943"/>
      <c r="P443" s="943"/>
      <c r="Q443" s="943"/>
      <c r="R443" s="943"/>
      <c r="S443" s="943"/>
      <c r="T443" s="943"/>
      <c r="U443" s="943"/>
      <c r="V443" s="943"/>
      <c r="W443" s="943"/>
      <c r="X443" s="943"/>
      <c r="Y443" s="943"/>
      <c r="Z443" s="943"/>
      <c r="AA443" s="943"/>
      <c r="AB443" s="943"/>
      <c r="AC443" s="943"/>
      <c r="AD443" s="943"/>
      <c r="AE443" s="943"/>
    </row>
    <row r="444" spans="1:31" ht="15.75" customHeight="1">
      <c r="A444" s="943"/>
      <c r="B444" s="943"/>
      <c r="C444" s="943"/>
      <c r="D444" s="943"/>
      <c r="E444" s="943"/>
      <c r="F444" s="943"/>
      <c r="G444" s="943"/>
      <c r="H444" s="943"/>
      <c r="I444" s="943"/>
      <c r="J444" s="943"/>
      <c r="K444" s="943"/>
      <c r="L444" s="943"/>
      <c r="M444" s="943"/>
      <c r="N444" s="943"/>
      <c r="O444" s="943"/>
      <c r="P444" s="943"/>
      <c r="Q444" s="943"/>
      <c r="R444" s="943"/>
      <c r="S444" s="943"/>
      <c r="T444" s="943"/>
      <c r="U444" s="943"/>
      <c r="V444" s="943"/>
      <c r="W444" s="943"/>
      <c r="X444" s="943"/>
      <c r="Y444" s="943"/>
      <c r="Z444" s="943"/>
      <c r="AA444" s="943"/>
      <c r="AB444" s="943"/>
      <c r="AC444" s="943"/>
      <c r="AD444" s="943"/>
      <c r="AE444" s="943"/>
    </row>
    <row r="445" spans="1:31" ht="15.75" customHeight="1">
      <c r="A445" s="943"/>
      <c r="B445" s="943"/>
      <c r="C445" s="943"/>
      <c r="D445" s="943"/>
      <c r="E445" s="943"/>
      <c r="F445" s="943"/>
      <c r="G445" s="943"/>
      <c r="H445" s="943"/>
      <c r="I445" s="943"/>
      <c r="J445" s="943"/>
      <c r="K445" s="943"/>
      <c r="L445" s="943"/>
      <c r="M445" s="943"/>
      <c r="N445" s="943"/>
      <c r="O445" s="943"/>
      <c r="P445" s="943"/>
      <c r="Q445" s="943"/>
      <c r="R445" s="943"/>
      <c r="S445" s="943"/>
      <c r="T445" s="943"/>
      <c r="U445" s="943"/>
      <c r="V445" s="943"/>
      <c r="W445" s="943"/>
      <c r="X445" s="943"/>
      <c r="Y445" s="943"/>
      <c r="Z445" s="943"/>
      <c r="AA445" s="943"/>
      <c r="AB445" s="943"/>
      <c r="AC445" s="943"/>
      <c r="AD445" s="943"/>
      <c r="AE445" s="943"/>
    </row>
    <row r="446" spans="1:31" ht="15.75" customHeight="1">
      <c r="A446" s="943"/>
      <c r="B446" s="943"/>
      <c r="C446" s="943"/>
      <c r="D446" s="943"/>
      <c r="E446" s="943"/>
      <c r="F446" s="943"/>
      <c r="G446" s="943"/>
      <c r="H446" s="943"/>
      <c r="I446" s="943"/>
      <c r="J446" s="943"/>
      <c r="K446" s="943"/>
      <c r="L446" s="943"/>
      <c r="M446" s="943"/>
      <c r="N446" s="943"/>
      <c r="O446" s="943"/>
      <c r="P446" s="943"/>
      <c r="Q446" s="943"/>
      <c r="R446" s="943"/>
      <c r="S446" s="943"/>
      <c r="T446" s="943"/>
      <c r="U446" s="943"/>
      <c r="V446" s="943"/>
      <c r="W446" s="943"/>
      <c r="X446" s="943"/>
      <c r="Y446" s="943"/>
      <c r="Z446" s="943"/>
      <c r="AA446" s="943"/>
      <c r="AB446" s="943"/>
      <c r="AC446" s="943"/>
      <c r="AD446" s="943"/>
      <c r="AE446" s="943"/>
    </row>
    <row r="447" spans="1:31" ht="15.75" customHeight="1">
      <c r="A447" s="943"/>
      <c r="B447" s="943"/>
      <c r="C447" s="943"/>
      <c r="D447" s="943"/>
      <c r="E447" s="943"/>
      <c r="F447" s="943"/>
      <c r="G447" s="943"/>
      <c r="H447" s="943"/>
      <c r="I447" s="943"/>
      <c r="J447" s="943"/>
      <c r="K447" s="943"/>
      <c r="L447" s="943"/>
      <c r="M447" s="943"/>
      <c r="N447" s="943"/>
      <c r="O447" s="943"/>
      <c r="P447" s="943"/>
      <c r="Q447" s="943"/>
      <c r="R447" s="943"/>
      <c r="S447" s="943"/>
      <c r="T447" s="943"/>
      <c r="U447" s="943"/>
      <c r="V447" s="943"/>
      <c r="W447" s="943"/>
      <c r="X447" s="943"/>
      <c r="Y447" s="943"/>
      <c r="Z447" s="943"/>
      <c r="AA447" s="943"/>
      <c r="AB447" s="943"/>
      <c r="AC447" s="943"/>
      <c r="AD447" s="943"/>
      <c r="AE447" s="943"/>
    </row>
    <row r="448" spans="1:31" ht="15.75" customHeight="1">
      <c r="A448" s="943"/>
      <c r="B448" s="943"/>
      <c r="C448" s="943"/>
      <c r="D448" s="943"/>
      <c r="E448" s="943"/>
      <c r="F448" s="943"/>
      <c r="G448" s="943"/>
      <c r="H448" s="943"/>
      <c r="I448" s="943"/>
      <c r="J448" s="943"/>
      <c r="K448" s="943"/>
      <c r="L448" s="943"/>
      <c r="M448" s="943"/>
      <c r="N448" s="943"/>
      <c r="O448" s="943"/>
      <c r="P448" s="943"/>
      <c r="Q448" s="943"/>
      <c r="R448" s="943"/>
      <c r="S448" s="943"/>
      <c r="T448" s="943"/>
      <c r="U448" s="943"/>
      <c r="V448" s="943"/>
      <c r="W448" s="943"/>
      <c r="X448" s="943"/>
      <c r="Y448" s="943"/>
      <c r="Z448" s="943"/>
      <c r="AA448" s="943"/>
      <c r="AB448" s="943"/>
      <c r="AC448" s="943"/>
      <c r="AD448" s="943"/>
      <c r="AE448" s="943"/>
    </row>
    <row r="449" spans="1:31" ht="15.75" customHeight="1">
      <c r="A449" s="943"/>
      <c r="B449" s="943"/>
      <c r="C449" s="943"/>
      <c r="D449" s="943"/>
      <c r="E449" s="943"/>
      <c r="F449" s="943"/>
      <c r="G449" s="943"/>
      <c r="H449" s="943"/>
      <c r="I449" s="943"/>
      <c r="J449" s="943"/>
      <c r="K449" s="943"/>
      <c r="L449" s="943"/>
      <c r="M449" s="943"/>
      <c r="N449" s="943"/>
      <c r="O449" s="943"/>
      <c r="P449" s="943"/>
      <c r="Q449" s="943"/>
      <c r="R449" s="943"/>
      <c r="S449" s="943"/>
      <c r="T449" s="943"/>
      <c r="U449" s="943"/>
      <c r="V449" s="943"/>
      <c r="W449" s="943"/>
      <c r="X449" s="943"/>
      <c r="Y449" s="943"/>
      <c r="Z449" s="943"/>
      <c r="AA449" s="943"/>
      <c r="AB449" s="943"/>
      <c r="AC449" s="943"/>
      <c r="AD449" s="943"/>
      <c r="AE449" s="943"/>
    </row>
    <row r="450" spans="1:31" ht="15.75" customHeight="1">
      <c r="A450" s="943"/>
      <c r="B450" s="943"/>
      <c r="C450" s="943"/>
      <c r="D450" s="943"/>
      <c r="E450" s="943"/>
      <c r="F450" s="943"/>
      <c r="G450" s="943"/>
      <c r="H450" s="943"/>
      <c r="I450" s="943"/>
      <c r="J450" s="943"/>
      <c r="K450" s="943"/>
      <c r="L450" s="943"/>
      <c r="M450" s="943"/>
      <c r="N450" s="943"/>
      <c r="O450" s="943"/>
      <c r="P450" s="943"/>
      <c r="Q450" s="943"/>
      <c r="R450" s="943"/>
      <c r="S450" s="943"/>
      <c r="T450" s="943"/>
      <c r="U450" s="943"/>
      <c r="V450" s="943"/>
      <c r="W450" s="943"/>
      <c r="X450" s="943"/>
      <c r="Y450" s="943"/>
      <c r="Z450" s="943"/>
      <c r="AA450" s="943"/>
      <c r="AB450" s="943"/>
      <c r="AC450" s="943"/>
      <c r="AD450" s="943"/>
      <c r="AE450" s="943"/>
    </row>
    <row r="451" spans="1:31" ht="15.75" customHeight="1">
      <c r="A451" s="943"/>
      <c r="B451" s="943"/>
      <c r="C451" s="943"/>
      <c r="D451" s="943"/>
      <c r="E451" s="943"/>
      <c r="F451" s="943"/>
      <c r="G451" s="943"/>
      <c r="H451" s="943"/>
      <c r="I451" s="943"/>
      <c r="J451" s="943"/>
      <c r="K451" s="943"/>
      <c r="L451" s="943"/>
      <c r="M451" s="943"/>
      <c r="N451" s="943"/>
      <c r="O451" s="943"/>
      <c r="P451" s="943"/>
      <c r="Q451" s="943"/>
      <c r="R451" s="943"/>
      <c r="S451" s="943"/>
      <c r="T451" s="943"/>
      <c r="U451" s="943"/>
      <c r="V451" s="943"/>
      <c r="W451" s="943"/>
      <c r="X451" s="943"/>
      <c r="Y451" s="943"/>
      <c r="Z451" s="943"/>
      <c r="AA451" s="943"/>
      <c r="AB451" s="943"/>
      <c r="AC451" s="943"/>
      <c r="AD451" s="943"/>
      <c r="AE451" s="943"/>
    </row>
    <row r="452" spans="1:31" ht="15.75" customHeight="1">
      <c r="A452" s="943"/>
      <c r="B452" s="943"/>
      <c r="C452" s="943"/>
      <c r="D452" s="943"/>
      <c r="E452" s="943"/>
      <c r="F452" s="943"/>
      <c r="G452" s="943"/>
      <c r="H452" s="943"/>
      <c r="I452" s="943"/>
      <c r="J452" s="943"/>
      <c r="K452" s="943"/>
      <c r="L452" s="943"/>
      <c r="M452" s="943"/>
      <c r="N452" s="943"/>
      <c r="O452" s="943"/>
      <c r="P452" s="943"/>
      <c r="Q452" s="943"/>
      <c r="R452" s="943"/>
      <c r="S452" s="943"/>
      <c r="T452" s="943"/>
      <c r="U452" s="943"/>
      <c r="V452" s="943"/>
      <c r="W452" s="943"/>
      <c r="X452" s="943"/>
      <c r="Y452" s="943"/>
      <c r="Z452" s="943"/>
      <c r="AA452" s="943"/>
      <c r="AB452" s="943"/>
      <c r="AC452" s="943"/>
      <c r="AD452" s="943"/>
      <c r="AE452" s="943"/>
    </row>
    <row r="453" spans="1:31" ht="15.75" customHeight="1">
      <c r="A453" s="943"/>
      <c r="B453" s="943"/>
      <c r="C453" s="943"/>
      <c r="D453" s="943"/>
      <c r="E453" s="943"/>
      <c r="F453" s="943"/>
      <c r="G453" s="943"/>
      <c r="H453" s="943"/>
      <c r="I453" s="943"/>
      <c r="J453" s="943"/>
      <c r="K453" s="943"/>
      <c r="L453" s="943"/>
      <c r="M453" s="943"/>
      <c r="N453" s="943"/>
      <c r="O453" s="943"/>
      <c r="P453" s="943"/>
      <c r="Q453" s="943"/>
      <c r="R453" s="943"/>
      <c r="S453" s="943"/>
      <c r="T453" s="943"/>
      <c r="U453" s="943"/>
      <c r="V453" s="943"/>
      <c r="W453" s="943"/>
      <c r="X453" s="943"/>
      <c r="Y453" s="943"/>
      <c r="Z453" s="943"/>
      <c r="AA453" s="943"/>
      <c r="AB453" s="943"/>
      <c r="AC453" s="943"/>
      <c r="AD453" s="943"/>
      <c r="AE453" s="943"/>
    </row>
    <row r="454" spans="1:31" ht="15.75" customHeight="1">
      <c r="A454" s="943"/>
      <c r="B454" s="943"/>
      <c r="C454" s="943"/>
      <c r="D454" s="943"/>
      <c r="E454" s="943"/>
      <c r="F454" s="943"/>
      <c r="G454" s="943"/>
      <c r="H454" s="943"/>
      <c r="I454" s="943"/>
      <c r="J454" s="943"/>
      <c r="K454" s="943"/>
      <c r="L454" s="943"/>
      <c r="M454" s="943"/>
      <c r="N454" s="943"/>
      <c r="O454" s="943"/>
      <c r="P454" s="943"/>
      <c r="Q454" s="943"/>
      <c r="R454" s="943"/>
      <c r="S454" s="943"/>
      <c r="T454" s="943"/>
      <c r="U454" s="943"/>
      <c r="V454" s="943"/>
      <c r="W454" s="943"/>
      <c r="X454" s="943"/>
      <c r="Y454" s="943"/>
      <c r="Z454" s="943"/>
      <c r="AA454" s="943"/>
      <c r="AB454" s="943"/>
      <c r="AC454" s="943"/>
      <c r="AD454" s="943"/>
      <c r="AE454" s="943"/>
    </row>
    <row r="455" spans="1:31" ht="15.75" customHeight="1">
      <c r="A455" s="943"/>
      <c r="B455" s="943"/>
      <c r="C455" s="943"/>
      <c r="D455" s="943"/>
      <c r="E455" s="943"/>
      <c r="F455" s="943"/>
      <c r="G455" s="943"/>
      <c r="H455" s="943"/>
      <c r="I455" s="943"/>
      <c r="J455" s="943"/>
      <c r="K455" s="943"/>
      <c r="L455" s="943"/>
      <c r="M455" s="943"/>
      <c r="N455" s="943"/>
      <c r="O455" s="943"/>
      <c r="P455" s="943"/>
      <c r="Q455" s="943"/>
      <c r="R455" s="943"/>
      <c r="S455" s="943"/>
      <c r="T455" s="943"/>
      <c r="U455" s="943"/>
      <c r="V455" s="943"/>
      <c r="W455" s="943"/>
      <c r="X455" s="943"/>
      <c r="Y455" s="943"/>
      <c r="Z455" s="943"/>
      <c r="AA455" s="943"/>
      <c r="AB455" s="943"/>
      <c r="AC455" s="943"/>
      <c r="AD455" s="943"/>
      <c r="AE455" s="943"/>
    </row>
    <row r="456" spans="1:31" ht="15.75" customHeight="1">
      <c r="A456" s="943"/>
      <c r="B456" s="943"/>
      <c r="C456" s="943"/>
      <c r="D456" s="943"/>
      <c r="E456" s="943"/>
      <c r="F456" s="943"/>
      <c r="G456" s="943"/>
      <c r="H456" s="943"/>
      <c r="I456" s="943"/>
      <c r="J456" s="943"/>
      <c r="K456" s="943"/>
      <c r="L456" s="943"/>
      <c r="M456" s="943"/>
      <c r="N456" s="943"/>
      <c r="O456" s="943"/>
      <c r="P456" s="943"/>
      <c r="Q456" s="943"/>
      <c r="R456" s="943"/>
      <c r="S456" s="943"/>
      <c r="T456" s="943"/>
      <c r="U456" s="943"/>
      <c r="V456" s="943"/>
      <c r="W456" s="943"/>
      <c r="X456" s="943"/>
      <c r="Y456" s="943"/>
      <c r="Z456" s="943"/>
      <c r="AA456" s="943"/>
      <c r="AB456" s="943"/>
      <c r="AC456" s="943"/>
      <c r="AD456" s="943"/>
      <c r="AE456" s="943"/>
    </row>
    <row r="457" spans="1:31" ht="15.75" customHeight="1">
      <c r="A457" s="943"/>
      <c r="B457" s="943"/>
      <c r="C457" s="943"/>
      <c r="D457" s="943"/>
      <c r="E457" s="943"/>
      <c r="F457" s="943"/>
      <c r="G457" s="943"/>
      <c r="H457" s="943"/>
      <c r="I457" s="943"/>
      <c r="J457" s="943"/>
      <c r="K457" s="943"/>
      <c r="L457" s="943"/>
      <c r="M457" s="943"/>
      <c r="N457" s="943"/>
      <c r="O457" s="943"/>
      <c r="P457" s="943"/>
      <c r="Q457" s="943"/>
      <c r="R457" s="943"/>
      <c r="S457" s="943"/>
      <c r="T457" s="943"/>
      <c r="U457" s="943"/>
      <c r="V457" s="943"/>
      <c r="W457" s="943"/>
      <c r="X457" s="943"/>
      <c r="Y457" s="943"/>
      <c r="Z457" s="943"/>
      <c r="AA457" s="943"/>
      <c r="AB457" s="943"/>
      <c r="AC457" s="943"/>
      <c r="AD457" s="943"/>
      <c r="AE457" s="943"/>
    </row>
    <row r="458" spans="1:31" ht="15.75" customHeight="1">
      <c r="A458" s="943"/>
      <c r="B458" s="943"/>
      <c r="C458" s="943"/>
      <c r="D458" s="943"/>
      <c r="E458" s="943"/>
      <c r="F458" s="943"/>
      <c r="G458" s="943"/>
      <c r="H458" s="943"/>
      <c r="I458" s="943"/>
      <c r="J458" s="943"/>
      <c r="K458" s="943"/>
      <c r="L458" s="943"/>
      <c r="M458" s="943"/>
      <c r="N458" s="943"/>
      <c r="O458" s="943"/>
      <c r="P458" s="943"/>
      <c r="Q458" s="943"/>
      <c r="R458" s="943"/>
      <c r="S458" s="943"/>
      <c r="T458" s="943"/>
      <c r="U458" s="943"/>
      <c r="V458" s="943"/>
      <c r="W458" s="943"/>
      <c r="X458" s="943"/>
      <c r="Y458" s="943"/>
      <c r="Z458" s="943"/>
      <c r="AA458" s="943"/>
      <c r="AB458" s="943"/>
      <c r="AC458" s="943"/>
      <c r="AD458" s="943"/>
      <c r="AE458" s="943"/>
    </row>
    <row r="459" spans="1:31" ht="15.75" customHeight="1">
      <c r="A459" s="943"/>
      <c r="B459" s="943"/>
      <c r="C459" s="943"/>
      <c r="D459" s="943"/>
      <c r="E459" s="943"/>
      <c r="F459" s="943"/>
      <c r="G459" s="943"/>
      <c r="H459" s="943"/>
      <c r="I459" s="943"/>
      <c r="J459" s="943"/>
      <c r="K459" s="943"/>
      <c r="L459" s="943"/>
      <c r="M459" s="943"/>
      <c r="N459" s="943"/>
      <c r="O459" s="943"/>
      <c r="P459" s="943"/>
      <c r="Q459" s="943"/>
      <c r="R459" s="943"/>
      <c r="S459" s="943"/>
      <c r="T459" s="943"/>
      <c r="U459" s="943"/>
      <c r="V459" s="943"/>
      <c r="W459" s="943"/>
      <c r="X459" s="943"/>
      <c r="Y459" s="943"/>
      <c r="Z459" s="943"/>
      <c r="AA459" s="943"/>
      <c r="AB459" s="943"/>
      <c r="AC459" s="943"/>
      <c r="AD459" s="943"/>
      <c r="AE459" s="943"/>
    </row>
    <row r="460" spans="1:31" ht="15.75" customHeight="1">
      <c r="A460" s="943"/>
      <c r="B460" s="943"/>
      <c r="C460" s="943"/>
      <c r="D460" s="943"/>
      <c r="E460" s="943"/>
      <c r="F460" s="943"/>
      <c r="G460" s="943"/>
      <c r="H460" s="943"/>
      <c r="I460" s="943"/>
      <c r="J460" s="943"/>
      <c r="K460" s="943"/>
      <c r="L460" s="943"/>
      <c r="M460" s="943"/>
      <c r="N460" s="943"/>
      <c r="O460" s="943"/>
      <c r="P460" s="943"/>
      <c r="Q460" s="943"/>
      <c r="R460" s="943"/>
      <c r="S460" s="943"/>
      <c r="T460" s="943"/>
      <c r="U460" s="943"/>
      <c r="V460" s="943"/>
      <c r="W460" s="943"/>
      <c r="X460" s="943"/>
      <c r="Y460" s="943"/>
      <c r="Z460" s="943"/>
      <c r="AA460" s="943"/>
      <c r="AB460" s="943"/>
      <c r="AC460" s="943"/>
      <c r="AD460" s="943"/>
      <c r="AE460" s="943"/>
    </row>
    <row r="461" spans="1:31" ht="15.75" customHeight="1">
      <c r="A461" s="943"/>
      <c r="B461" s="943"/>
      <c r="C461" s="943"/>
      <c r="D461" s="943"/>
      <c r="E461" s="943"/>
      <c r="F461" s="943"/>
      <c r="G461" s="943"/>
      <c r="H461" s="943"/>
      <c r="I461" s="943"/>
      <c r="J461" s="943"/>
      <c r="K461" s="943"/>
      <c r="L461" s="943"/>
      <c r="M461" s="943"/>
      <c r="N461" s="943"/>
      <c r="O461" s="943"/>
      <c r="P461" s="943"/>
      <c r="Q461" s="943"/>
      <c r="R461" s="943"/>
      <c r="S461" s="943"/>
      <c r="T461" s="943"/>
      <c r="U461" s="943"/>
      <c r="V461" s="943"/>
      <c r="W461" s="943"/>
      <c r="X461" s="943"/>
      <c r="Y461" s="943"/>
      <c r="Z461" s="943"/>
      <c r="AA461" s="943"/>
      <c r="AB461" s="943"/>
      <c r="AC461" s="943"/>
      <c r="AD461" s="943"/>
      <c r="AE461" s="943"/>
    </row>
    <row r="462" spans="1:31" ht="15.75" customHeight="1">
      <c r="A462" s="943"/>
      <c r="B462" s="943"/>
      <c r="C462" s="943"/>
      <c r="D462" s="943"/>
      <c r="E462" s="943"/>
      <c r="F462" s="943"/>
      <c r="G462" s="943"/>
      <c r="H462" s="943"/>
      <c r="I462" s="943"/>
      <c r="J462" s="943"/>
      <c r="K462" s="943"/>
      <c r="L462" s="943"/>
      <c r="M462" s="943"/>
      <c r="N462" s="943"/>
      <c r="O462" s="943"/>
      <c r="P462" s="943"/>
      <c r="Q462" s="943"/>
      <c r="R462" s="943"/>
      <c r="S462" s="943"/>
      <c r="T462" s="943"/>
      <c r="U462" s="943"/>
      <c r="V462" s="943"/>
      <c r="W462" s="943"/>
      <c r="X462" s="943"/>
      <c r="Y462" s="943"/>
      <c r="Z462" s="943"/>
      <c r="AA462" s="943"/>
      <c r="AB462" s="943"/>
      <c r="AC462" s="943"/>
      <c r="AD462" s="943"/>
      <c r="AE462" s="943"/>
    </row>
    <row r="463" spans="1:31" ht="15.75" customHeight="1">
      <c r="A463" s="943"/>
      <c r="B463" s="943"/>
      <c r="C463" s="943"/>
      <c r="D463" s="943"/>
      <c r="E463" s="943"/>
      <c r="F463" s="943"/>
      <c r="G463" s="943"/>
      <c r="H463" s="943"/>
      <c r="I463" s="943"/>
      <c r="J463" s="943"/>
      <c r="K463" s="943"/>
      <c r="L463" s="943"/>
      <c r="M463" s="943"/>
      <c r="N463" s="943"/>
      <c r="O463" s="943"/>
      <c r="P463" s="943"/>
      <c r="Q463" s="943"/>
      <c r="R463" s="943"/>
      <c r="S463" s="943"/>
      <c r="T463" s="943"/>
      <c r="U463" s="943"/>
      <c r="V463" s="943"/>
      <c r="W463" s="943"/>
      <c r="X463" s="943"/>
      <c r="Y463" s="943"/>
      <c r="Z463" s="943"/>
      <c r="AA463" s="943"/>
      <c r="AB463" s="943"/>
      <c r="AC463" s="943"/>
      <c r="AD463" s="943"/>
      <c r="AE463" s="943"/>
    </row>
    <row r="464" spans="1:31" ht="15.75" customHeight="1">
      <c r="A464" s="943"/>
      <c r="B464" s="943"/>
      <c r="C464" s="943"/>
      <c r="D464" s="943"/>
      <c r="E464" s="943"/>
      <c r="F464" s="943"/>
      <c r="G464" s="943"/>
      <c r="H464" s="943"/>
      <c r="I464" s="943"/>
      <c r="J464" s="943"/>
      <c r="K464" s="943"/>
      <c r="L464" s="943"/>
      <c r="M464" s="943"/>
      <c r="N464" s="943"/>
      <c r="O464" s="943"/>
      <c r="P464" s="943"/>
      <c r="Q464" s="943"/>
      <c r="R464" s="943"/>
      <c r="S464" s="943"/>
      <c r="T464" s="943"/>
      <c r="U464" s="943"/>
      <c r="V464" s="943"/>
      <c r="W464" s="943"/>
      <c r="X464" s="943"/>
      <c r="Y464" s="943"/>
      <c r="Z464" s="943"/>
      <c r="AA464" s="943"/>
      <c r="AB464" s="943"/>
      <c r="AC464" s="943"/>
      <c r="AD464" s="943"/>
      <c r="AE464" s="943"/>
    </row>
    <row r="465" spans="1:31" ht="15.75" customHeight="1">
      <c r="A465" s="943"/>
      <c r="B465" s="943"/>
      <c r="C465" s="943"/>
      <c r="D465" s="943"/>
      <c r="E465" s="943"/>
      <c r="F465" s="943"/>
      <c r="G465" s="943"/>
      <c r="H465" s="943"/>
      <c r="I465" s="943"/>
      <c r="J465" s="943"/>
      <c r="K465" s="943"/>
      <c r="L465" s="943"/>
      <c r="M465" s="943"/>
      <c r="N465" s="943"/>
      <c r="O465" s="943"/>
      <c r="P465" s="943"/>
      <c r="Q465" s="943"/>
      <c r="R465" s="943"/>
      <c r="S465" s="943"/>
      <c r="T465" s="943"/>
      <c r="U465" s="943"/>
      <c r="V465" s="943"/>
      <c r="W465" s="943"/>
      <c r="X465" s="943"/>
      <c r="Y465" s="943"/>
      <c r="Z465" s="943"/>
      <c r="AA465" s="943"/>
      <c r="AB465" s="943"/>
      <c r="AC465" s="943"/>
      <c r="AD465" s="943"/>
      <c r="AE465" s="943"/>
    </row>
    <row r="466" spans="1:31" ht="15.75" customHeight="1">
      <c r="A466" s="943"/>
      <c r="B466" s="943"/>
      <c r="C466" s="943"/>
      <c r="D466" s="943"/>
      <c r="E466" s="943"/>
      <c r="F466" s="943"/>
      <c r="G466" s="943"/>
      <c r="H466" s="943"/>
      <c r="I466" s="943"/>
      <c r="J466" s="943"/>
      <c r="K466" s="943"/>
      <c r="L466" s="943"/>
      <c r="M466" s="943"/>
      <c r="N466" s="943"/>
      <c r="O466" s="943"/>
      <c r="P466" s="943"/>
      <c r="Q466" s="943"/>
      <c r="R466" s="943"/>
      <c r="S466" s="943"/>
      <c r="T466" s="943"/>
      <c r="U466" s="943"/>
      <c r="V466" s="943"/>
      <c r="W466" s="943"/>
      <c r="X466" s="943"/>
      <c r="Y466" s="943"/>
      <c r="Z466" s="943"/>
      <c r="AA466" s="943"/>
      <c r="AB466" s="943"/>
      <c r="AC466" s="943"/>
      <c r="AD466" s="943"/>
      <c r="AE466" s="943"/>
    </row>
    <row r="467" spans="1:31" ht="15.75" customHeight="1">
      <c r="A467" s="943"/>
      <c r="B467" s="943"/>
      <c r="C467" s="943"/>
      <c r="D467" s="943"/>
      <c r="E467" s="943"/>
      <c r="F467" s="943"/>
      <c r="G467" s="943"/>
      <c r="H467" s="943"/>
      <c r="I467" s="943"/>
      <c r="J467" s="943"/>
      <c r="K467" s="943"/>
      <c r="L467" s="943"/>
      <c r="M467" s="943"/>
      <c r="N467" s="943"/>
      <c r="O467" s="943"/>
      <c r="P467" s="943"/>
      <c r="Q467" s="943"/>
      <c r="R467" s="943"/>
      <c r="S467" s="943"/>
      <c r="T467" s="943"/>
      <c r="U467" s="943"/>
      <c r="V467" s="943"/>
      <c r="W467" s="943"/>
      <c r="X467" s="943"/>
      <c r="Y467" s="943"/>
      <c r="Z467" s="943"/>
      <c r="AA467" s="943"/>
      <c r="AB467" s="943"/>
      <c r="AC467" s="943"/>
      <c r="AD467" s="943"/>
      <c r="AE467" s="943"/>
    </row>
    <row r="468" spans="1:31" ht="15.75" customHeight="1">
      <c r="A468" s="943"/>
      <c r="B468" s="943"/>
      <c r="C468" s="943"/>
      <c r="D468" s="943"/>
      <c r="E468" s="943"/>
      <c r="F468" s="943"/>
      <c r="G468" s="943"/>
      <c r="H468" s="943"/>
      <c r="I468" s="943"/>
      <c r="J468" s="943"/>
      <c r="K468" s="943"/>
      <c r="L468" s="943"/>
      <c r="M468" s="943"/>
      <c r="N468" s="943"/>
      <c r="O468" s="943"/>
      <c r="P468" s="943"/>
      <c r="Q468" s="943"/>
      <c r="R468" s="943"/>
      <c r="S468" s="943"/>
      <c r="T468" s="943"/>
      <c r="U468" s="943"/>
      <c r="V468" s="943"/>
      <c r="W468" s="943"/>
      <c r="X468" s="943"/>
      <c r="Y468" s="943"/>
      <c r="Z468" s="943"/>
      <c r="AA468" s="943"/>
      <c r="AB468" s="943"/>
      <c r="AC468" s="943"/>
      <c r="AD468" s="943"/>
      <c r="AE468" s="943"/>
    </row>
    <row r="469" spans="1:31" ht="15.75" customHeight="1">
      <c r="A469" s="943"/>
      <c r="B469" s="943"/>
      <c r="C469" s="943"/>
      <c r="D469" s="943"/>
      <c r="E469" s="943"/>
      <c r="F469" s="943"/>
      <c r="G469" s="943"/>
      <c r="H469" s="943"/>
      <c r="I469" s="943"/>
      <c r="J469" s="943"/>
      <c r="K469" s="943"/>
      <c r="L469" s="943"/>
      <c r="M469" s="943"/>
      <c r="N469" s="943"/>
      <c r="O469" s="943"/>
      <c r="P469" s="943"/>
      <c r="Q469" s="943"/>
      <c r="R469" s="943"/>
      <c r="S469" s="943"/>
      <c r="T469" s="943"/>
      <c r="U469" s="943"/>
      <c r="V469" s="943"/>
      <c r="W469" s="943"/>
      <c r="X469" s="943"/>
      <c r="Y469" s="943"/>
      <c r="Z469" s="943"/>
      <c r="AA469" s="943"/>
      <c r="AB469" s="943"/>
      <c r="AC469" s="943"/>
      <c r="AD469" s="943"/>
      <c r="AE469" s="943"/>
    </row>
    <row r="470" spans="1:31" ht="15.75" customHeight="1">
      <c r="A470" s="943"/>
      <c r="B470" s="943"/>
      <c r="C470" s="943"/>
      <c r="D470" s="943"/>
      <c r="E470" s="943"/>
      <c r="F470" s="943"/>
      <c r="G470" s="943"/>
      <c r="H470" s="943"/>
      <c r="I470" s="943"/>
      <c r="J470" s="943"/>
      <c r="K470" s="943"/>
      <c r="L470" s="943"/>
      <c r="M470" s="943"/>
      <c r="N470" s="943"/>
      <c r="O470" s="943"/>
      <c r="P470" s="943"/>
      <c r="Q470" s="943"/>
      <c r="R470" s="943"/>
      <c r="S470" s="943"/>
      <c r="T470" s="943"/>
      <c r="U470" s="943"/>
      <c r="V470" s="943"/>
      <c r="W470" s="943"/>
      <c r="X470" s="943"/>
      <c r="Y470" s="943"/>
      <c r="Z470" s="943"/>
      <c r="AA470" s="943"/>
      <c r="AB470" s="943"/>
      <c r="AC470" s="943"/>
      <c r="AD470" s="943"/>
      <c r="AE470" s="943"/>
    </row>
    <row r="471" spans="1:31" ht="15.75" customHeight="1">
      <c r="A471" s="943"/>
      <c r="B471" s="943"/>
      <c r="C471" s="943"/>
      <c r="D471" s="943"/>
      <c r="E471" s="943"/>
      <c r="F471" s="943"/>
      <c r="G471" s="943"/>
      <c r="H471" s="943"/>
      <c r="I471" s="943"/>
      <c r="J471" s="943"/>
      <c r="K471" s="943"/>
      <c r="L471" s="943"/>
      <c r="M471" s="943"/>
      <c r="N471" s="943"/>
      <c r="O471" s="943"/>
      <c r="P471" s="943"/>
      <c r="Q471" s="943"/>
      <c r="R471" s="943"/>
      <c r="S471" s="943"/>
      <c r="T471" s="943"/>
      <c r="U471" s="943"/>
      <c r="V471" s="943"/>
      <c r="W471" s="943"/>
      <c r="X471" s="943"/>
      <c r="Y471" s="943"/>
      <c r="Z471" s="943"/>
      <c r="AA471" s="943"/>
      <c r="AB471" s="943"/>
      <c r="AC471" s="943"/>
      <c r="AD471" s="943"/>
      <c r="AE471" s="943"/>
    </row>
    <row r="472" spans="1:31" ht="15.75" customHeight="1">
      <c r="A472" s="943"/>
      <c r="B472" s="943"/>
      <c r="C472" s="943"/>
      <c r="D472" s="943"/>
      <c r="E472" s="943"/>
      <c r="F472" s="943"/>
      <c r="G472" s="943"/>
      <c r="H472" s="943"/>
      <c r="I472" s="943"/>
      <c r="J472" s="943"/>
      <c r="K472" s="943"/>
      <c r="L472" s="943"/>
      <c r="M472" s="943"/>
      <c r="N472" s="943"/>
      <c r="O472" s="943"/>
      <c r="P472" s="943"/>
      <c r="Q472" s="943"/>
      <c r="R472" s="943"/>
      <c r="S472" s="943"/>
      <c r="T472" s="943"/>
      <c r="U472" s="943"/>
      <c r="V472" s="943"/>
      <c r="W472" s="943"/>
      <c r="X472" s="943"/>
      <c r="Y472" s="943"/>
      <c r="Z472" s="943"/>
      <c r="AA472" s="943"/>
      <c r="AB472" s="943"/>
      <c r="AC472" s="943"/>
      <c r="AD472" s="943"/>
      <c r="AE472" s="943"/>
    </row>
    <row r="473" spans="1:31" ht="15.75" customHeight="1">
      <c r="A473" s="943"/>
      <c r="B473" s="943"/>
      <c r="C473" s="943"/>
      <c r="D473" s="943"/>
      <c r="E473" s="943"/>
      <c r="F473" s="943"/>
      <c r="G473" s="943"/>
      <c r="H473" s="943"/>
      <c r="I473" s="943"/>
      <c r="J473" s="943"/>
      <c r="K473" s="943"/>
      <c r="L473" s="943"/>
      <c r="M473" s="943"/>
      <c r="N473" s="943"/>
      <c r="O473" s="943"/>
      <c r="P473" s="943"/>
      <c r="Q473" s="943"/>
      <c r="R473" s="943"/>
      <c r="S473" s="943"/>
      <c r="T473" s="943"/>
      <c r="U473" s="943"/>
      <c r="V473" s="943"/>
      <c r="W473" s="943"/>
      <c r="X473" s="943"/>
      <c r="Y473" s="943"/>
      <c r="Z473" s="943"/>
      <c r="AA473" s="943"/>
      <c r="AB473" s="943"/>
      <c r="AC473" s="943"/>
      <c r="AD473" s="943"/>
      <c r="AE473" s="943"/>
    </row>
    <row r="474" spans="1:31" ht="15.75" customHeight="1">
      <c r="A474" s="943"/>
      <c r="B474" s="943"/>
      <c r="C474" s="943"/>
      <c r="D474" s="943"/>
      <c r="E474" s="943"/>
      <c r="F474" s="943"/>
      <c r="G474" s="943"/>
      <c r="H474" s="943"/>
      <c r="I474" s="943"/>
      <c r="J474" s="943"/>
      <c r="K474" s="943"/>
      <c r="L474" s="943"/>
      <c r="M474" s="943"/>
      <c r="N474" s="943"/>
      <c r="O474" s="943"/>
      <c r="P474" s="943"/>
      <c r="Q474" s="943"/>
      <c r="R474" s="943"/>
      <c r="S474" s="943"/>
      <c r="T474" s="943"/>
      <c r="U474" s="943"/>
      <c r="V474" s="943"/>
      <c r="W474" s="943"/>
      <c r="X474" s="943"/>
      <c r="Y474" s="943"/>
      <c r="Z474" s="943"/>
      <c r="AA474" s="943"/>
      <c r="AB474" s="943"/>
      <c r="AC474" s="943"/>
      <c r="AD474" s="943"/>
      <c r="AE474" s="943"/>
    </row>
    <row r="475" spans="1:31" ht="15.75" customHeight="1">
      <c r="A475" s="943"/>
      <c r="B475" s="943"/>
      <c r="C475" s="943"/>
      <c r="D475" s="943"/>
      <c r="E475" s="943"/>
      <c r="F475" s="943"/>
      <c r="G475" s="943"/>
      <c r="H475" s="943"/>
      <c r="I475" s="943"/>
      <c r="J475" s="943"/>
      <c r="K475" s="943"/>
      <c r="L475" s="943"/>
      <c r="M475" s="943"/>
      <c r="N475" s="943"/>
      <c r="O475" s="943"/>
      <c r="P475" s="943"/>
      <c r="Q475" s="943"/>
      <c r="R475" s="943"/>
      <c r="S475" s="943"/>
      <c r="T475" s="943"/>
      <c r="U475" s="943"/>
      <c r="V475" s="943"/>
      <c r="W475" s="943"/>
      <c r="X475" s="943"/>
      <c r="Y475" s="943"/>
      <c r="Z475" s="943"/>
      <c r="AA475" s="943"/>
      <c r="AB475" s="943"/>
      <c r="AC475" s="943"/>
      <c r="AD475" s="943"/>
      <c r="AE475" s="943"/>
    </row>
    <row r="476" spans="1:31" ht="15.75" customHeight="1">
      <c r="A476" s="943"/>
      <c r="B476" s="943"/>
      <c r="C476" s="943"/>
      <c r="D476" s="943"/>
      <c r="E476" s="943"/>
      <c r="F476" s="943"/>
      <c r="G476" s="943"/>
      <c r="H476" s="943"/>
      <c r="I476" s="943"/>
      <c r="J476" s="943"/>
      <c r="K476" s="943"/>
      <c r="L476" s="943"/>
      <c r="M476" s="943"/>
      <c r="N476" s="943"/>
      <c r="O476" s="943"/>
      <c r="P476" s="943"/>
      <c r="Q476" s="943"/>
      <c r="R476" s="943"/>
      <c r="S476" s="943"/>
      <c r="T476" s="943"/>
      <c r="U476" s="943"/>
      <c r="V476" s="943"/>
      <c r="W476" s="943"/>
      <c r="X476" s="943"/>
      <c r="Y476" s="943"/>
      <c r="Z476" s="943"/>
      <c r="AA476" s="943"/>
      <c r="AB476" s="943"/>
      <c r="AC476" s="943"/>
      <c r="AD476" s="943"/>
      <c r="AE476" s="943"/>
    </row>
    <row r="477" spans="1:31" ht="15.75" customHeight="1">
      <c r="A477" s="943"/>
      <c r="B477" s="943"/>
      <c r="C477" s="943"/>
      <c r="D477" s="943"/>
      <c r="E477" s="943"/>
      <c r="F477" s="943"/>
      <c r="G477" s="943"/>
      <c r="H477" s="943"/>
      <c r="I477" s="943"/>
      <c r="J477" s="943"/>
      <c r="K477" s="943"/>
      <c r="L477" s="943"/>
      <c r="M477" s="943"/>
      <c r="N477" s="943"/>
      <c r="O477" s="943"/>
      <c r="P477" s="943"/>
      <c r="Q477" s="943"/>
      <c r="R477" s="943"/>
      <c r="S477" s="943"/>
      <c r="T477" s="943"/>
      <c r="U477" s="943"/>
      <c r="V477" s="943"/>
      <c r="W477" s="943"/>
      <c r="X477" s="943"/>
      <c r="Y477" s="943"/>
      <c r="Z477" s="943"/>
      <c r="AA477" s="943"/>
      <c r="AB477" s="943"/>
      <c r="AC477" s="943"/>
      <c r="AD477" s="943"/>
      <c r="AE477" s="943"/>
    </row>
    <row r="478" spans="1:31" ht="15.75" customHeight="1">
      <c r="A478" s="943"/>
      <c r="B478" s="943"/>
      <c r="C478" s="943"/>
      <c r="D478" s="943"/>
      <c r="E478" s="943"/>
      <c r="F478" s="943"/>
      <c r="G478" s="943"/>
      <c r="H478" s="943"/>
      <c r="I478" s="943"/>
      <c r="J478" s="943"/>
      <c r="K478" s="943"/>
      <c r="L478" s="943"/>
      <c r="M478" s="943"/>
      <c r="N478" s="943"/>
      <c r="O478" s="943"/>
      <c r="P478" s="943"/>
      <c r="Q478" s="943"/>
      <c r="R478" s="943"/>
      <c r="S478" s="943"/>
      <c r="T478" s="943"/>
      <c r="U478" s="943"/>
      <c r="V478" s="943"/>
      <c r="W478" s="943"/>
      <c r="X478" s="943"/>
      <c r="Y478" s="943"/>
      <c r="Z478" s="943"/>
      <c r="AA478" s="943"/>
      <c r="AB478" s="943"/>
      <c r="AC478" s="943"/>
      <c r="AD478" s="943"/>
      <c r="AE478" s="943"/>
    </row>
    <row r="479" spans="1:31" ht="15.75" customHeight="1">
      <c r="A479" s="943"/>
      <c r="B479" s="943"/>
      <c r="C479" s="943"/>
      <c r="D479" s="943"/>
      <c r="E479" s="943"/>
      <c r="F479" s="943"/>
      <c r="G479" s="943"/>
      <c r="H479" s="943"/>
      <c r="I479" s="943"/>
      <c r="J479" s="943"/>
      <c r="K479" s="943"/>
      <c r="L479" s="943"/>
      <c r="M479" s="943"/>
      <c r="N479" s="943"/>
      <c r="O479" s="943"/>
      <c r="P479" s="943"/>
      <c r="Q479" s="943"/>
      <c r="R479" s="943"/>
      <c r="S479" s="943"/>
      <c r="T479" s="943"/>
      <c r="U479" s="943"/>
      <c r="V479" s="943"/>
      <c r="W479" s="943"/>
      <c r="X479" s="943"/>
      <c r="Y479" s="943"/>
      <c r="Z479" s="943"/>
      <c r="AA479" s="943"/>
      <c r="AB479" s="943"/>
      <c r="AC479" s="943"/>
      <c r="AD479" s="943"/>
      <c r="AE479" s="943"/>
    </row>
    <row r="480" spans="1:31" ht="15.75" customHeight="1">
      <c r="A480" s="943"/>
      <c r="B480" s="943"/>
      <c r="C480" s="943"/>
      <c r="D480" s="943"/>
      <c r="E480" s="943"/>
      <c r="F480" s="943"/>
      <c r="G480" s="943"/>
      <c r="H480" s="943"/>
      <c r="I480" s="943"/>
      <c r="J480" s="943"/>
      <c r="K480" s="943"/>
      <c r="L480" s="943"/>
      <c r="M480" s="943"/>
      <c r="N480" s="943"/>
      <c r="O480" s="943"/>
      <c r="P480" s="943"/>
      <c r="Q480" s="943"/>
      <c r="R480" s="943"/>
      <c r="S480" s="943"/>
      <c r="T480" s="943"/>
      <c r="U480" s="943"/>
      <c r="V480" s="943"/>
      <c r="W480" s="943"/>
      <c r="X480" s="943"/>
      <c r="Y480" s="943"/>
      <c r="Z480" s="943"/>
      <c r="AA480" s="943"/>
      <c r="AB480" s="943"/>
      <c r="AC480" s="943"/>
      <c r="AD480" s="943"/>
      <c r="AE480" s="943"/>
    </row>
    <row r="481" spans="1:31" ht="15.75" customHeight="1">
      <c r="A481" s="943"/>
      <c r="B481" s="943"/>
      <c r="C481" s="943"/>
      <c r="D481" s="943"/>
      <c r="E481" s="943"/>
      <c r="F481" s="943"/>
      <c r="G481" s="943"/>
      <c r="H481" s="943"/>
      <c r="I481" s="943"/>
      <c r="J481" s="943"/>
      <c r="K481" s="943"/>
      <c r="L481" s="943"/>
      <c r="M481" s="943"/>
      <c r="N481" s="943"/>
      <c r="O481" s="943"/>
      <c r="P481" s="943"/>
      <c r="Q481" s="943"/>
      <c r="R481" s="943"/>
      <c r="S481" s="943"/>
      <c r="T481" s="943"/>
      <c r="U481" s="943"/>
      <c r="V481" s="943"/>
      <c r="W481" s="943"/>
      <c r="X481" s="943"/>
      <c r="Y481" s="943"/>
      <c r="Z481" s="943"/>
      <c r="AA481" s="943"/>
      <c r="AB481" s="943"/>
      <c r="AC481" s="943"/>
      <c r="AD481" s="943"/>
      <c r="AE481" s="943"/>
    </row>
    <row r="482" spans="1:31" ht="15.75" customHeight="1">
      <c r="A482" s="943"/>
      <c r="B482" s="943"/>
      <c r="C482" s="943"/>
      <c r="D482" s="943"/>
      <c r="E482" s="943"/>
      <c r="F482" s="943"/>
      <c r="G482" s="943"/>
      <c r="H482" s="943"/>
      <c r="I482" s="943"/>
      <c r="J482" s="943"/>
      <c r="K482" s="943"/>
      <c r="L482" s="943"/>
      <c r="M482" s="943"/>
      <c r="N482" s="943"/>
      <c r="O482" s="943"/>
      <c r="P482" s="943"/>
      <c r="Q482" s="943"/>
      <c r="R482" s="943"/>
      <c r="S482" s="943"/>
      <c r="T482" s="943"/>
      <c r="U482" s="943"/>
      <c r="V482" s="943"/>
      <c r="W482" s="943"/>
      <c r="X482" s="943"/>
      <c r="Y482" s="943"/>
      <c r="Z482" s="943"/>
      <c r="AA482" s="943"/>
      <c r="AB482" s="943"/>
      <c r="AC482" s="943"/>
      <c r="AD482" s="943"/>
      <c r="AE482" s="943"/>
    </row>
    <row r="483" spans="1:31" ht="15.75" customHeight="1">
      <c r="A483" s="943"/>
      <c r="B483" s="943"/>
      <c r="C483" s="943"/>
      <c r="D483" s="943"/>
      <c r="E483" s="943"/>
      <c r="F483" s="943"/>
      <c r="G483" s="943"/>
      <c r="H483" s="943"/>
      <c r="I483" s="943"/>
      <c r="J483" s="943"/>
      <c r="K483" s="943"/>
      <c r="L483" s="943"/>
      <c r="M483" s="943"/>
      <c r="N483" s="943"/>
      <c r="O483" s="943"/>
      <c r="P483" s="943"/>
      <c r="Q483" s="943"/>
      <c r="R483" s="943"/>
      <c r="S483" s="943"/>
      <c r="T483" s="943"/>
      <c r="U483" s="943"/>
      <c r="V483" s="943"/>
      <c r="W483" s="943"/>
      <c r="X483" s="943"/>
      <c r="Y483" s="943"/>
      <c r="Z483" s="943"/>
      <c r="AA483" s="943"/>
      <c r="AB483" s="943"/>
      <c r="AC483" s="943"/>
      <c r="AD483" s="943"/>
      <c r="AE483" s="943"/>
    </row>
    <row r="484" spans="1:31" ht="15.75" customHeight="1">
      <c r="A484" s="943"/>
      <c r="B484" s="943"/>
      <c r="C484" s="943"/>
      <c r="D484" s="943"/>
      <c r="E484" s="943"/>
      <c r="F484" s="943"/>
      <c r="G484" s="943"/>
      <c r="H484" s="943"/>
      <c r="I484" s="943"/>
      <c r="J484" s="943"/>
      <c r="K484" s="943"/>
      <c r="L484" s="943"/>
      <c r="M484" s="943"/>
      <c r="N484" s="943"/>
      <c r="O484" s="943"/>
      <c r="P484" s="943"/>
      <c r="Q484" s="943"/>
      <c r="R484" s="943"/>
      <c r="S484" s="943"/>
      <c r="T484" s="943"/>
      <c r="U484" s="943"/>
      <c r="V484" s="943"/>
      <c r="W484" s="943"/>
      <c r="X484" s="943"/>
      <c r="Y484" s="943"/>
      <c r="Z484" s="943"/>
      <c r="AA484" s="943"/>
      <c r="AB484" s="943"/>
      <c r="AC484" s="943"/>
      <c r="AD484" s="943"/>
      <c r="AE484" s="943"/>
    </row>
    <row r="485" spans="1:31" ht="15.75" customHeight="1">
      <c r="A485" s="943"/>
      <c r="B485" s="943"/>
      <c r="C485" s="943"/>
      <c r="D485" s="943"/>
      <c r="E485" s="943"/>
      <c r="F485" s="943"/>
      <c r="G485" s="943"/>
      <c r="H485" s="943"/>
      <c r="I485" s="943"/>
      <c r="J485" s="943"/>
      <c r="K485" s="943"/>
      <c r="L485" s="943"/>
      <c r="M485" s="943"/>
      <c r="N485" s="943"/>
      <c r="O485" s="943"/>
      <c r="P485" s="943"/>
      <c r="Q485" s="943"/>
      <c r="R485" s="943"/>
      <c r="S485" s="943"/>
      <c r="T485" s="943"/>
      <c r="U485" s="943"/>
      <c r="V485" s="943"/>
      <c r="W485" s="943"/>
      <c r="X485" s="943"/>
      <c r="Y485" s="943"/>
      <c r="Z485" s="943"/>
      <c r="AA485" s="943"/>
      <c r="AB485" s="943"/>
      <c r="AC485" s="943"/>
      <c r="AD485" s="943"/>
      <c r="AE485" s="943"/>
    </row>
    <row r="486" spans="1:31" ht="15.75" customHeight="1">
      <c r="A486" s="943"/>
      <c r="B486" s="943"/>
      <c r="C486" s="943"/>
      <c r="D486" s="943"/>
      <c r="E486" s="943"/>
      <c r="F486" s="943"/>
      <c r="G486" s="943"/>
      <c r="H486" s="943"/>
      <c r="I486" s="943"/>
      <c r="J486" s="943"/>
      <c r="K486" s="943"/>
      <c r="L486" s="943"/>
      <c r="M486" s="943"/>
      <c r="N486" s="943"/>
      <c r="O486" s="943"/>
      <c r="P486" s="943"/>
      <c r="Q486" s="943"/>
      <c r="R486" s="943"/>
      <c r="S486" s="943"/>
      <c r="T486" s="943"/>
      <c r="U486" s="943"/>
      <c r="V486" s="943"/>
      <c r="W486" s="943"/>
      <c r="X486" s="943"/>
      <c r="Y486" s="943"/>
      <c r="Z486" s="943"/>
      <c r="AA486" s="943"/>
      <c r="AB486" s="943"/>
      <c r="AC486" s="943"/>
      <c r="AD486" s="943"/>
      <c r="AE486" s="943"/>
    </row>
    <row r="487" spans="1:31" ht="15.75" customHeight="1">
      <c r="A487" s="943"/>
      <c r="B487" s="943"/>
      <c r="C487" s="943"/>
      <c r="D487" s="943"/>
      <c r="E487" s="943"/>
      <c r="F487" s="943"/>
      <c r="G487" s="943"/>
      <c r="H487" s="943"/>
      <c r="I487" s="943"/>
      <c r="J487" s="943"/>
      <c r="K487" s="943"/>
      <c r="L487" s="943"/>
      <c r="M487" s="943"/>
      <c r="N487" s="943"/>
      <c r="O487" s="943"/>
      <c r="P487" s="943"/>
      <c r="Q487" s="943"/>
      <c r="R487" s="943"/>
      <c r="S487" s="943"/>
      <c r="T487" s="943"/>
      <c r="U487" s="943"/>
      <c r="V487" s="943"/>
      <c r="W487" s="943"/>
      <c r="X487" s="943"/>
      <c r="Y487" s="943"/>
      <c r="Z487" s="943"/>
      <c r="AA487" s="943"/>
      <c r="AB487" s="943"/>
      <c r="AC487" s="943"/>
      <c r="AD487" s="943"/>
      <c r="AE487" s="943"/>
    </row>
    <row r="488" spans="1:31" ht="15.75" customHeight="1">
      <c r="A488" s="943"/>
      <c r="B488" s="943"/>
      <c r="C488" s="943"/>
      <c r="D488" s="943"/>
      <c r="E488" s="943"/>
      <c r="F488" s="943"/>
      <c r="G488" s="943"/>
      <c r="H488" s="943"/>
      <c r="I488" s="943"/>
      <c r="J488" s="943"/>
      <c r="K488" s="943"/>
      <c r="L488" s="943"/>
      <c r="M488" s="943"/>
      <c r="N488" s="943"/>
      <c r="O488" s="943"/>
      <c r="P488" s="943"/>
      <c r="Q488" s="943"/>
      <c r="R488" s="943"/>
      <c r="S488" s="943"/>
      <c r="T488" s="943"/>
      <c r="U488" s="943"/>
      <c r="V488" s="943"/>
      <c r="W488" s="943"/>
      <c r="X488" s="943"/>
      <c r="Y488" s="943"/>
      <c r="Z488" s="943"/>
      <c r="AA488" s="943"/>
      <c r="AB488" s="943"/>
      <c r="AC488" s="943"/>
      <c r="AD488" s="943"/>
      <c r="AE488" s="943"/>
    </row>
    <row r="489" spans="1:31" ht="15.75" customHeight="1">
      <c r="A489" s="943"/>
      <c r="B489" s="943"/>
      <c r="C489" s="943"/>
      <c r="D489" s="943"/>
      <c r="E489" s="943"/>
      <c r="F489" s="943"/>
      <c r="G489" s="943"/>
      <c r="H489" s="943"/>
      <c r="I489" s="943"/>
      <c r="J489" s="943"/>
      <c r="K489" s="943"/>
      <c r="L489" s="943"/>
      <c r="M489" s="943"/>
      <c r="N489" s="943"/>
      <c r="O489" s="943"/>
      <c r="P489" s="943"/>
      <c r="Q489" s="943"/>
      <c r="R489" s="943"/>
      <c r="S489" s="943"/>
      <c r="T489" s="943"/>
      <c r="U489" s="943"/>
      <c r="V489" s="943"/>
      <c r="W489" s="943"/>
      <c r="X489" s="943"/>
      <c r="Y489" s="943"/>
      <c r="Z489" s="943"/>
      <c r="AA489" s="943"/>
      <c r="AB489" s="943"/>
      <c r="AC489" s="943"/>
      <c r="AD489" s="943"/>
      <c r="AE489" s="943"/>
    </row>
    <row r="490" spans="1:31" ht="15.75" customHeight="1">
      <c r="A490" s="943"/>
      <c r="B490" s="943"/>
      <c r="C490" s="943"/>
      <c r="D490" s="943"/>
      <c r="E490" s="943"/>
      <c r="F490" s="943"/>
      <c r="G490" s="943"/>
      <c r="H490" s="943"/>
      <c r="I490" s="943"/>
      <c r="J490" s="943"/>
      <c r="K490" s="943"/>
      <c r="L490" s="943"/>
      <c r="M490" s="943"/>
      <c r="N490" s="943"/>
      <c r="O490" s="943"/>
      <c r="P490" s="943"/>
      <c r="Q490" s="943"/>
      <c r="R490" s="943"/>
      <c r="S490" s="943"/>
      <c r="T490" s="943"/>
      <c r="U490" s="943"/>
      <c r="V490" s="943"/>
      <c r="W490" s="943"/>
      <c r="X490" s="943"/>
      <c r="Y490" s="943"/>
      <c r="Z490" s="943"/>
      <c r="AA490" s="943"/>
      <c r="AB490" s="943"/>
      <c r="AC490" s="943"/>
      <c r="AD490" s="943"/>
      <c r="AE490" s="943"/>
    </row>
    <row r="491" spans="1:31" ht="15.75" customHeight="1">
      <c r="A491" s="943"/>
      <c r="B491" s="943"/>
      <c r="C491" s="943"/>
      <c r="D491" s="943"/>
      <c r="E491" s="943"/>
      <c r="F491" s="943"/>
      <c r="G491" s="943"/>
      <c r="H491" s="943"/>
      <c r="I491" s="943"/>
      <c r="J491" s="943"/>
      <c r="K491" s="943"/>
      <c r="L491" s="943"/>
      <c r="M491" s="943"/>
      <c r="N491" s="943"/>
      <c r="O491" s="943"/>
      <c r="P491" s="943"/>
      <c r="Q491" s="943"/>
      <c r="R491" s="943"/>
      <c r="S491" s="943"/>
      <c r="T491" s="943"/>
      <c r="U491" s="943"/>
      <c r="V491" s="943"/>
      <c r="W491" s="943"/>
      <c r="X491" s="943"/>
      <c r="Y491" s="943"/>
      <c r="Z491" s="943"/>
      <c r="AA491" s="943"/>
      <c r="AB491" s="943"/>
      <c r="AC491" s="943"/>
      <c r="AD491" s="943"/>
      <c r="AE491" s="943"/>
    </row>
    <row r="492" spans="1:31" ht="15.75" customHeight="1">
      <c r="A492" s="943"/>
      <c r="B492" s="943"/>
      <c r="C492" s="943"/>
      <c r="D492" s="943"/>
      <c r="E492" s="943"/>
      <c r="F492" s="943"/>
      <c r="G492" s="943"/>
      <c r="H492" s="943"/>
      <c r="I492" s="943"/>
      <c r="J492" s="943"/>
      <c r="K492" s="943"/>
      <c r="L492" s="943"/>
      <c r="M492" s="943"/>
      <c r="N492" s="943"/>
      <c r="O492" s="943"/>
      <c r="P492" s="943"/>
      <c r="Q492" s="943"/>
      <c r="R492" s="943"/>
      <c r="S492" s="943"/>
      <c r="T492" s="943"/>
      <c r="U492" s="943"/>
      <c r="V492" s="943"/>
      <c r="W492" s="943"/>
      <c r="X492" s="943"/>
      <c r="Y492" s="943"/>
      <c r="Z492" s="943"/>
      <c r="AA492" s="943"/>
      <c r="AB492" s="943"/>
      <c r="AC492" s="943"/>
      <c r="AD492" s="943"/>
      <c r="AE492" s="943"/>
    </row>
    <row r="493" spans="1:31" ht="15.75" customHeight="1">
      <c r="A493" s="943"/>
      <c r="B493" s="943"/>
      <c r="C493" s="943"/>
      <c r="D493" s="943"/>
      <c r="E493" s="943"/>
      <c r="F493" s="943"/>
      <c r="G493" s="943"/>
      <c r="H493" s="943"/>
      <c r="I493" s="943"/>
      <c r="J493" s="943"/>
      <c r="K493" s="943"/>
      <c r="L493" s="943"/>
      <c r="M493" s="943"/>
      <c r="N493" s="943"/>
      <c r="O493" s="943"/>
      <c r="P493" s="943"/>
      <c r="Q493" s="943"/>
      <c r="R493" s="943"/>
      <c r="S493" s="943"/>
      <c r="T493" s="943"/>
      <c r="U493" s="943"/>
      <c r="V493" s="943"/>
      <c r="W493" s="943"/>
      <c r="X493" s="943"/>
      <c r="Y493" s="943"/>
      <c r="Z493" s="943"/>
      <c r="AA493" s="943"/>
      <c r="AB493" s="943"/>
      <c r="AC493" s="943"/>
      <c r="AD493" s="943"/>
      <c r="AE493" s="943"/>
    </row>
    <row r="494" spans="1:31" ht="15.75" customHeight="1">
      <c r="A494" s="943"/>
      <c r="B494" s="943"/>
      <c r="C494" s="943"/>
      <c r="D494" s="943"/>
      <c r="E494" s="943"/>
      <c r="F494" s="943"/>
      <c r="G494" s="943"/>
      <c r="H494" s="943"/>
      <c r="I494" s="943"/>
      <c r="J494" s="943"/>
      <c r="K494" s="943"/>
      <c r="L494" s="943"/>
      <c r="M494" s="943"/>
      <c r="N494" s="943"/>
      <c r="O494" s="943"/>
      <c r="P494" s="943"/>
      <c r="Q494" s="943"/>
      <c r="R494" s="943"/>
      <c r="S494" s="943"/>
      <c r="T494" s="943"/>
      <c r="U494" s="943"/>
      <c r="V494" s="943"/>
      <c r="W494" s="943"/>
      <c r="X494" s="943"/>
      <c r="Y494" s="943"/>
      <c r="Z494" s="943"/>
      <c r="AA494" s="943"/>
      <c r="AB494" s="943"/>
      <c r="AC494" s="943"/>
      <c r="AD494" s="943"/>
      <c r="AE494" s="943"/>
    </row>
    <row r="495" spans="1:31" ht="15.75" customHeight="1">
      <c r="A495" s="943"/>
      <c r="B495" s="943"/>
      <c r="C495" s="943"/>
      <c r="D495" s="943"/>
      <c r="E495" s="943"/>
      <c r="F495" s="943"/>
      <c r="G495" s="943"/>
      <c r="H495" s="943"/>
      <c r="I495" s="943"/>
      <c r="J495" s="943"/>
      <c r="K495" s="943"/>
      <c r="L495" s="943"/>
      <c r="M495" s="943"/>
      <c r="N495" s="943"/>
      <c r="O495" s="943"/>
      <c r="P495" s="943"/>
      <c r="Q495" s="943"/>
      <c r="R495" s="943"/>
      <c r="S495" s="943"/>
      <c r="T495" s="943"/>
      <c r="U495" s="943"/>
      <c r="V495" s="943"/>
      <c r="W495" s="943"/>
      <c r="X495" s="943"/>
      <c r="Y495" s="943"/>
      <c r="Z495" s="943"/>
      <c r="AA495" s="943"/>
      <c r="AB495" s="943"/>
      <c r="AC495" s="943"/>
      <c r="AD495" s="943"/>
      <c r="AE495" s="943"/>
    </row>
    <row r="496" spans="1:31" ht="15.75" customHeight="1">
      <c r="A496" s="943"/>
      <c r="B496" s="943"/>
      <c r="C496" s="943"/>
      <c r="D496" s="943"/>
      <c r="E496" s="943"/>
      <c r="F496" s="943"/>
      <c r="G496" s="943"/>
      <c r="H496" s="943"/>
      <c r="I496" s="943"/>
      <c r="J496" s="943"/>
      <c r="K496" s="943"/>
      <c r="L496" s="943"/>
      <c r="M496" s="943"/>
      <c r="N496" s="943"/>
      <c r="O496" s="943"/>
      <c r="P496" s="943"/>
      <c r="Q496" s="943"/>
      <c r="R496" s="943"/>
      <c r="S496" s="943"/>
      <c r="T496" s="943"/>
      <c r="U496" s="943"/>
      <c r="V496" s="943"/>
      <c r="W496" s="943"/>
      <c r="X496" s="943"/>
      <c r="Y496" s="943"/>
      <c r="Z496" s="943"/>
      <c r="AA496" s="943"/>
      <c r="AB496" s="943"/>
      <c r="AC496" s="943"/>
      <c r="AD496" s="943"/>
      <c r="AE496" s="943"/>
    </row>
    <row r="497" spans="1:31" ht="15.75" customHeight="1">
      <c r="A497" s="943"/>
      <c r="B497" s="943"/>
      <c r="C497" s="943"/>
      <c r="D497" s="943"/>
      <c r="E497" s="943"/>
      <c r="F497" s="943"/>
      <c r="G497" s="943"/>
      <c r="H497" s="943"/>
      <c r="I497" s="943"/>
      <c r="J497" s="943"/>
      <c r="K497" s="943"/>
      <c r="L497" s="943"/>
      <c r="M497" s="943"/>
      <c r="N497" s="943"/>
      <c r="O497" s="943"/>
      <c r="P497" s="943"/>
      <c r="Q497" s="943"/>
      <c r="R497" s="943"/>
      <c r="S497" s="943"/>
      <c r="T497" s="943"/>
      <c r="U497" s="943"/>
      <c r="V497" s="943"/>
      <c r="W497" s="943"/>
      <c r="X497" s="943"/>
      <c r="Y497" s="943"/>
      <c r="Z497" s="943"/>
      <c r="AA497" s="943"/>
      <c r="AB497" s="943"/>
      <c r="AC497" s="943"/>
      <c r="AD497" s="943"/>
      <c r="AE497" s="943"/>
    </row>
    <row r="498" spans="1:31" ht="15.75" customHeight="1">
      <c r="A498" s="943"/>
      <c r="B498" s="943"/>
      <c r="C498" s="943"/>
      <c r="D498" s="943"/>
      <c r="E498" s="943"/>
      <c r="F498" s="943"/>
      <c r="G498" s="943"/>
      <c r="H498" s="943"/>
      <c r="I498" s="943"/>
      <c r="J498" s="943"/>
      <c r="K498" s="943"/>
      <c r="L498" s="943"/>
      <c r="M498" s="943"/>
      <c r="N498" s="943"/>
      <c r="O498" s="943"/>
      <c r="P498" s="943"/>
      <c r="Q498" s="943"/>
      <c r="R498" s="943"/>
      <c r="S498" s="943"/>
      <c r="T498" s="943"/>
      <c r="U498" s="943"/>
      <c r="V498" s="943"/>
      <c r="W498" s="943"/>
      <c r="X498" s="943"/>
      <c r="Y498" s="943"/>
      <c r="Z498" s="943"/>
      <c r="AA498" s="943"/>
      <c r="AB498" s="943"/>
      <c r="AC498" s="943"/>
      <c r="AD498" s="943"/>
      <c r="AE498" s="943"/>
    </row>
    <row r="499" spans="1:31" ht="15.75" customHeight="1">
      <c r="A499" s="943"/>
      <c r="B499" s="943"/>
      <c r="C499" s="943"/>
      <c r="D499" s="943"/>
      <c r="E499" s="943"/>
      <c r="F499" s="943"/>
      <c r="G499" s="943"/>
      <c r="H499" s="943"/>
      <c r="I499" s="943"/>
      <c r="J499" s="943"/>
      <c r="K499" s="943"/>
      <c r="L499" s="943"/>
      <c r="M499" s="943"/>
      <c r="N499" s="943"/>
      <c r="O499" s="943"/>
      <c r="P499" s="943"/>
      <c r="Q499" s="943"/>
      <c r="R499" s="943"/>
      <c r="S499" s="943"/>
      <c r="T499" s="943"/>
      <c r="U499" s="943"/>
      <c r="V499" s="943"/>
      <c r="W499" s="943"/>
      <c r="X499" s="943"/>
      <c r="Y499" s="943"/>
      <c r="Z499" s="943"/>
      <c r="AA499" s="943"/>
      <c r="AB499" s="943"/>
      <c r="AC499" s="943"/>
      <c r="AD499" s="943"/>
      <c r="AE499" s="943"/>
    </row>
    <row r="500" spans="1:31" ht="15.75" customHeight="1">
      <c r="A500" s="943"/>
      <c r="B500" s="943"/>
      <c r="C500" s="943"/>
      <c r="D500" s="943"/>
      <c r="E500" s="943"/>
      <c r="F500" s="943"/>
      <c r="G500" s="943"/>
      <c r="H500" s="943"/>
      <c r="I500" s="943"/>
      <c r="J500" s="943"/>
      <c r="K500" s="943"/>
      <c r="L500" s="943"/>
      <c r="M500" s="943"/>
      <c r="N500" s="943"/>
      <c r="O500" s="943"/>
      <c r="P500" s="943"/>
      <c r="Q500" s="943"/>
      <c r="R500" s="943"/>
      <c r="S500" s="943"/>
      <c r="T500" s="943"/>
      <c r="U500" s="943"/>
      <c r="V500" s="943"/>
      <c r="W500" s="943"/>
      <c r="X500" s="943"/>
      <c r="Y500" s="943"/>
      <c r="Z500" s="943"/>
      <c r="AA500" s="943"/>
      <c r="AB500" s="943"/>
      <c r="AC500" s="943"/>
      <c r="AD500" s="943"/>
      <c r="AE500" s="943"/>
    </row>
    <row r="501" spans="1:31" ht="15.75" customHeight="1">
      <c r="A501" s="943"/>
      <c r="B501" s="943"/>
      <c r="C501" s="943"/>
      <c r="D501" s="943"/>
      <c r="E501" s="943"/>
      <c r="F501" s="943"/>
      <c r="G501" s="943"/>
      <c r="H501" s="943"/>
      <c r="I501" s="943"/>
      <c r="J501" s="943"/>
      <c r="K501" s="943"/>
      <c r="L501" s="943"/>
      <c r="M501" s="943"/>
      <c r="N501" s="943"/>
      <c r="O501" s="943"/>
      <c r="P501" s="943"/>
      <c r="Q501" s="943"/>
      <c r="R501" s="943"/>
      <c r="S501" s="943"/>
      <c r="T501" s="943"/>
      <c r="U501" s="943"/>
      <c r="V501" s="943"/>
      <c r="W501" s="943"/>
      <c r="X501" s="943"/>
      <c r="Y501" s="943"/>
      <c r="Z501" s="943"/>
      <c r="AA501" s="943"/>
      <c r="AB501" s="943"/>
      <c r="AC501" s="943"/>
      <c r="AD501" s="943"/>
      <c r="AE501" s="943"/>
    </row>
    <row r="502" spans="1:31" ht="15.75" customHeight="1">
      <c r="A502" s="943"/>
      <c r="B502" s="943"/>
      <c r="C502" s="943"/>
      <c r="D502" s="943"/>
      <c r="E502" s="943"/>
      <c r="F502" s="943"/>
      <c r="G502" s="943"/>
      <c r="H502" s="943"/>
      <c r="I502" s="943"/>
      <c r="J502" s="943"/>
      <c r="K502" s="943"/>
      <c r="L502" s="943"/>
      <c r="M502" s="943"/>
      <c r="N502" s="943"/>
      <c r="O502" s="943"/>
      <c r="P502" s="943"/>
      <c r="Q502" s="943"/>
      <c r="R502" s="943"/>
      <c r="S502" s="943"/>
      <c r="T502" s="943"/>
      <c r="U502" s="943"/>
      <c r="V502" s="943"/>
      <c r="W502" s="943"/>
      <c r="X502" s="943"/>
      <c r="Y502" s="943"/>
      <c r="Z502" s="943"/>
      <c r="AA502" s="943"/>
      <c r="AB502" s="943"/>
      <c r="AC502" s="943"/>
      <c r="AD502" s="943"/>
      <c r="AE502" s="943"/>
    </row>
    <row r="503" spans="1:31" ht="15.75" customHeight="1">
      <c r="A503" s="943"/>
      <c r="B503" s="943"/>
      <c r="C503" s="943"/>
      <c r="D503" s="943"/>
      <c r="E503" s="943"/>
      <c r="F503" s="943"/>
      <c r="G503" s="943"/>
      <c r="H503" s="943"/>
      <c r="I503" s="943"/>
      <c r="J503" s="943"/>
      <c r="K503" s="943"/>
      <c r="L503" s="943"/>
      <c r="M503" s="943"/>
      <c r="N503" s="943"/>
      <c r="O503" s="943"/>
      <c r="P503" s="943"/>
      <c r="Q503" s="943"/>
      <c r="R503" s="943"/>
      <c r="S503" s="943"/>
      <c r="T503" s="943"/>
      <c r="U503" s="943"/>
      <c r="V503" s="943"/>
      <c r="W503" s="943"/>
      <c r="X503" s="943"/>
      <c r="Y503" s="943"/>
      <c r="Z503" s="943"/>
      <c r="AA503" s="943"/>
      <c r="AB503" s="943"/>
      <c r="AC503" s="943"/>
      <c r="AD503" s="943"/>
      <c r="AE503" s="943"/>
    </row>
    <row r="504" spans="1:31" ht="15.75" customHeight="1">
      <c r="A504" s="943"/>
      <c r="B504" s="943"/>
      <c r="C504" s="943"/>
      <c r="D504" s="943"/>
      <c r="E504" s="943"/>
      <c r="F504" s="943"/>
      <c r="G504" s="943"/>
      <c r="H504" s="943"/>
      <c r="I504" s="943"/>
      <c r="J504" s="943"/>
      <c r="K504" s="943"/>
      <c r="L504" s="943"/>
      <c r="M504" s="943"/>
      <c r="N504" s="943"/>
      <c r="O504" s="943"/>
      <c r="P504" s="943"/>
      <c r="Q504" s="943"/>
      <c r="R504" s="943"/>
      <c r="S504" s="943"/>
      <c r="T504" s="943"/>
      <c r="U504" s="943"/>
      <c r="V504" s="943"/>
      <c r="W504" s="943"/>
      <c r="X504" s="943"/>
      <c r="Y504" s="943"/>
      <c r="Z504" s="943"/>
      <c r="AA504" s="943"/>
      <c r="AB504" s="943"/>
      <c r="AC504" s="943"/>
      <c r="AD504" s="943"/>
      <c r="AE504" s="943"/>
    </row>
    <row r="505" spans="1:31" ht="15.75" customHeight="1">
      <c r="A505" s="943"/>
      <c r="B505" s="943"/>
      <c r="C505" s="943"/>
      <c r="D505" s="943"/>
      <c r="E505" s="943"/>
      <c r="F505" s="943"/>
      <c r="G505" s="943"/>
      <c r="H505" s="943"/>
      <c r="I505" s="943"/>
      <c r="J505" s="943"/>
      <c r="K505" s="943"/>
      <c r="L505" s="943"/>
      <c r="M505" s="943"/>
      <c r="N505" s="943"/>
      <c r="O505" s="943"/>
      <c r="P505" s="943"/>
      <c r="Q505" s="943"/>
      <c r="R505" s="943"/>
      <c r="S505" s="943"/>
      <c r="T505" s="943"/>
      <c r="U505" s="943"/>
      <c r="V505" s="943"/>
      <c r="W505" s="943"/>
      <c r="X505" s="943"/>
      <c r="Y505" s="943"/>
      <c r="Z505" s="943"/>
      <c r="AA505" s="943"/>
      <c r="AB505" s="943"/>
      <c r="AC505" s="943"/>
      <c r="AD505" s="943"/>
      <c r="AE505" s="943"/>
    </row>
    <row r="506" spans="1:31" ht="15.75" customHeight="1">
      <c r="A506" s="943"/>
      <c r="B506" s="943"/>
      <c r="C506" s="943"/>
      <c r="D506" s="943"/>
      <c r="E506" s="943"/>
      <c r="F506" s="943"/>
      <c r="G506" s="943"/>
      <c r="H506" s="943"/>
      <c r="I506" s="943"/>
      <c r="J506" s="943"/>
      <c r="K506" s="943"/>
      <c r="L506" s="943"/>
      <c r="M506" s="943"/>
      <c r="N506" s="943"/>
      <c r="O506" s="943"/>
      <c r="P506" s="943"/>
      <c r="Q506" s="943"/>
      <c r="R506" s="943"/>
      <c r="S506" s="943"/>
      <c r="T506" s="943"/>
      <c r="U506" s="943"/>
      <c r="V506" s="943"/>
      <c r="W506" s="943"/>
      <c r="X506" s="943"/>
      <c r="Y506" s="943"/>
      <c r="Z506" s="943"/>
      <c r="AA506" s="943"/>
      <c r="AB506" s="943"/>
      <c r="AC506" s="943"/>
      <c r="AD506" s="943"/>
      <c r="AE506" s="943"/>
    </row>
    <row r="507" spans="1:31" ht="15.75" customHeight="1">
      <c r="A507" s="943"/>
      <c r="B507" s="943"/>
      <c r="C507" s="943"/>
      <c r="D507" s="943"/>
      <c r="E507" s="943"/>
      <c r="F507" s="943"/>
      <c r="G507" s="943"/>
      <c r="H507" s="943"/>
      <c r="I507" s="943"/>
      <c r="J507" s="943"/>
      <c r="K507" s="943"/>
      <c r="L507" s="943"/>
      <c r="M507" s="943"/>
      <c r="N507" s="943"/>
      <c r="O507" s="943"/>
      <c r="P507" s="943"/>
      <c r="Q507" s="943"/>
      <c r="R507" s="943"/>
      <c r="S507" s="943"/>
      <c r="T507" s="943"/>
      <c r="U507" s="943"/>
      <c r="V507" s="943"/>
      <c r="W507" s="943"/>
      <c r="X507" s="943"/>
      <c r="Y507" s="943"/>
      <c r="Z507" s="943"/>
      <c r="AA507" s="943"/>
      <c r="AB507" s="943"/>
      <c r="AC507" s="943"/>
      <c r="AD507" s="943"/>
      <c r="AE507" s="943"/>
    </row>
    <row r="508" spans="1:31" ht="15.75" customHeight="1">
      <c r="A508" s="943"/>
      <c r="B508" s="943"/>
      <c r="C508" s="943"/>
      <c r="D508" s="943"/>
      <c r="E508" s="943"/>
      <c r="F508" s="943"/>
      <c r="G508" s="943"/>
      <c r="H508" s="943"/>
      <c r="I508" s="943"/>
      <c r="J508" s="943"/>
      <c r="K508" s="943"/>
      <c r="L508" s="943"/>
      <c r="M508" s="943"/>
      <c r="N508" s="943"/>
      <c r="O508" s="943"/>
      <c r="P508" s="943"/>
      <c r="Q508" s="943"/>
      <c r="R508" s="943"/>
      <c r="S508" s="943"/>
      <c r="T508" s="943"/>
      <c r="U508" s="943"/>
      <c r="V508" s="943"/>
      <c r="W508" s="943"/>
      <c r="X508" s="943"/>
      <c r="Y508" s="943"/>
      <c r="Z508" s="943"/>
      <c r="AA508" s="943"/>
      <c r="AB508" s="943"/>
      <c r="AC508" s="943"/>
      <c r="AD508" s="943"/>
      <c r="AE508" s="943"/>
    </row>
    <row r="509" spans="1:31" ht="15.75" customHeight="1">
      <c r="A509" s="943"/>
      <c r="B509" s="943"/>
      <c r="C509" s="943"/>
      <c r="D509" s="943"/>
      <c r="E509" s="943"/>
      <c r="F509" s="943"/>
      <c r="G509" s="943"/>
      <c r="H509" s="943"/>
      <c r="I509" s="943"/>
      <c r="J509" s="943"/>
      <c r="K509" s="943"/>
      <c r="L509" s="943"/>
      <c r="M509" s="943"/>
      <c r="N509" s="943"/>
      <c r="O509" s="943"/>
      <c r="P509" s="943"/>
      <c r="Q509" s="943"/>
      <c r="R509" s="943"/>
      <c r="S509" s="943"/>
      <c r="T509" s="943"/>
      <c r="U509" s="943"/>
      <c r="V509" s="943"/>
      <c r="W509" s="943"/>
      <c r="X509" s="943"/>
      <c r="Y509" s="943"/>
      <c r="Z509" s="943"/>
      <c r="AA509" s="943"/>
      <c r="AB509" s="943"/>
      <c r="AC509" s="943"/>
      <c r="AD509" s="943"/>
      <c r="AE509" s="943"/>
    </row>
    <row r="510" spans="1:31" ht="15.75" customHeight="1">
      <c r="A510" s="943"/>
      <c r="B510" s="943"/>
      <c r="C510" s="943"/>
      <c r="D510" s="943"/>
      <c r="E510" s="943"/>
      <c r="F510" s="943"/>
      <c r="G510" s="943"/>
      <c r="H510" s="943"/>
      <c r="I510" s="943"/>
      <c r="J510" s="943"/>
      <c r="K510" s="943"/>
      <c r="L510" s="943"/>
      <c r="M510" s="943"/>
      <c r="N510" s="943"/>
      <c r="O510" s="943"/>
      <c r="P510" s="943"/>
      <c r="Q510" s="943"/>
      <c r="R510" s="943"/>
      <c r="S510" s="943"/>
      <c r="T510" s="943"/>
      <c r="U510" s="943"/>
      <c r="V510" s="943"/>
      <c r="W510" s="943"/>
      <c r="X510" s="943"/>
      <c r="Y510" s="943"/>
      <c r="Z510" s="943"/>
      <c r="AA510" s="943"/>
      <c r="AB510" s="943"/>
      <c r="AC510" s="943"/>
      <c r="AD510" s="943"/>
      <c r="AE510" s="943"/>
    </row>
    <row r="511" spans="1:31" ht="15.75" customHeight="1">
      <c r="A511" s="943"/>
      <c r="B511" s="943"/>
      <c r="C511" s="943"/>
      <c r="D511" s="943"/>
      <c r="E511" s="943"/>
      <c r="F511" s="943"/>
      <c r="G511" s="943"/>
      <c r="H511" s="943"/>
      <c r="I511" s="943"/>
      <c r="J511" s="943"/>
      <c r="K511" s="943"/>
      <c r="L511" s="943"/>
      <c r="M511" s="943"/>
      <c r="N511" s="943"/>
      <c r="O511" s="943"/>
      <c r="P511" s="943"/>
      <c r="Q511" s="943"/>
      <c r="R511" s="943"/>
      <c r="S511" s="943"/>
      <c r="T511" s="943"/>
      <c r="U511" s="943"/>
      <c r="V511" s="943"/>
      <c r="W511" s="943"/>
      <c r="X511" s="943"/>
      <c r="Y511" s="943"/>
      <c r="Z511" s="943"/>
      <c r="AA511" s="943"/>
      <c r="AB511" s="943"/>
      <c r="AC511" s="943"/>
      <c r="AD511" s="943"/>
      <c r="AE511" s="943"/>
    </row>
    <row r="512" spans="1:31" ht="15.75" customHeight="1">
      <c r="A512" s="943"/>
      <c r="B512" s="943"/>
      <c r="C512" s="943"/>
      <c r="D512" s="943"/>
      <c r="E512" s="943"/>
      <c r="F512" s="943"/>
      <c r="G512" s="943"/>
      <c r="H512" s="943"/>
      <c r="I512" s="943"/>
      <c r="J512" s="943"/>
      <c r="K512" s="943"/>
      <c r="L512" s="943"/>
      <c r="M512" s="943"/>
      <c r="N512" s="943"/>
      <c r="O512" s="943"/>
      <c r="P512" s="943"/>
      <c r="Q512" s="943"/>
      <c r="R512" s="943"/>
      <c r="S512" s="943"/>
      <c r="T512" s="943"/>
      <c r="U512" s="943"/>
      <c r="V512" s="943"/>
      <c r="W512" s="943"/>
      <c r="X512" s="943"/>
      <c r="Y512" s="943"/>
      <c r="Z512" s="943"/>
      <c r="AA512" s="943"/>
      <c r="AB512" s="943"/>
      <c r="AC512" s="943"/>
      <c r="AD512" s="943"/>
      <c r="AE512" s="943"/>
    </row>
    <row r="513" spans="1:31" ht="15.75" customHeight="1">
      <c r="A513" s="943"/>
      <c r="B513" s="943"/>
      <c r="C513" s="943"/>
      <c r="D513" s="943"/>
      <c r="E513" s="943"/>
      <c r="F513" s="943"/>
      <c r="G513" s="943"/>
      <c r="H513" s="943"/>
      <c r="I513" s="943"/>
      <c r="J513" s="943"/>
      <c r="K513" s="943"/>
      <c r="L513" s="943"/>
      <c r="M513" s="943"/>
      <c r="N513" s="943"/>
      <c r="O513" s="943"/>
      <c r="P513" s="943"/>
      <c r="Q513" s="943"/>
      <c r="R513" s="943"/>
      <c r="S513" s="943"/>
      <c r="T513" s="943"/>
      <c r="U513" s="943"/>
      <c r="V513" s="943"/>
      <c r="W513" s="943"/>
      <c r="X513" s="943"/>
      <c r="Y513" s="943"/>
      <c r="Z513" s="943"/>
      <c r="AA513" s="943"/>
      <c r="AB513" s="943"/>
      <c r="AC513" s="943"/>
      <c r="AD513" s="943"/>
      <c r="AE513" s="943"/>
    </row>
    <row r="514" spans="1:31" ht="15.75" customHeight="1">
      <c r="A514" s="943"/>
      <c r="B514" s="943"/>
      <c r="C514" s="943"/>
      <c r="D514" s="943"/>
      <c r="E514" s="943"/>
      <c r="F514" s="943"/>
      <c r="G514" s="943"/>
      <c r="H514" s="943"/>
      <c r="I514" s="943"/>
      <c r="J514" s="943"/>
      <c r="K514" s="943"/>
      <c r="L514" s="943"/>
      <c r="M514" s="943"/>
      <c r="N514" s="943"/>
      <c r="O514" s="943"/>
      <c r="P514" s="943"/>
      <c r="Q514" s="943"/>
      <c r="R514" s="943"/>
      <c r="S514" s="943"/>
      <c r="T514" s="943"/>
      <c r="U514" s="943"/>
      <c r="V514" s="943"/>
      <c r="W514" s="943"/>
      <c r="X514" s="943"/>
      <c r="Y514" s="943"/>
      <c r="Z514" s="943"/>
      <c r="AA514" s="943"/>
      <c r="AB514" s="943"/>
      <c r="AC514" s="943"/>
      <c r="AD514" s="943"/>
      <c r="AE514" s="943"/>
    </row>
    <row r="515" spans="1:31" ht="15.75" customHeight="1">
      <c r="A515" s="943"/>
      <c r="B515" s="943"/>
      <c r="C515" s="943"/>
      <c r="D515" s="943"/>
      <c r="E515" s="943"/>
      <c r="F515" s="943"/>
      <c r="G515" s="943"/>
      <c r="H515" s="943"/>
      <c r="I515" s="943"/>
      <c r="J515" s="943"/>
      <c r="K515" s="943"/>
      <c r="L515" s="943"/>
      <c r="M515" s="943"/>
      <c r="N515" s="943"/>
      <c r="O515" s="943"/>
      <c r="P515" s="943"/>
      <c r="Q515" s="943"/>
      <c r="R515" s="943"/>
      <c r="S515" s="943"/>
      <c r="T515" s="943"/>
      <c r="U515" s="943"/>
      <c r="V515" s="943"/>
      <c r="W515" s="943"/>
      <c r="X515" s="943"/>
      <c r="Y515" s="943"/>
      <c r="Z515" s="943"/>
      <c r="AA515" s="943"/>
      <c r="AB515" s="943"/>
      <c r="AC515" s="943"/>
      <c r="AD515" s="943"/>
      <c r="AE515" s="943"/>
    </row>
    <row r="516" spans="1:31" ht="15.75" customHeight="1">
      <c r="A516" s="943"/>
      <c r="B516" s="943"/>
      <c r="C516" s="943"/>
      <c r="D516" s="943"/>
      <c r="E516" s="943"/>
      <c r="F516" s="943"/>
      <c r="G516" s="943"/>
      <c r="H516" s="943"/>
      <c r="I516" s="943"/>
      <c r="J516" s="943"/>
      <c r="K516" s="943"/>
      <c r="L516" s="943"/>
      <c r="M516" s="943"/>
      <c r="N516" s="943"/>
      <c r="O516" s="943"/>
      <c r="P516" s="943"/>
      <c r="Q516" s="943"/>
      <c r="R516" s="943"/>
      <c r="S516" s="943"/>
      <c r="T516" s="943"/>
      <c r="U516" s="943"/>
      <c r="V516" s="943"/>
      <c r="W516" s="943"/>
      <c r="X516" s="943"/>
      <c r="Y516" s="943"/>
      <c r="Z516" s="943"/>
      <c r="AA516" s="943"/>
      <c r="AB516" s="943"/>
      <c r="AC516" s="943"/>
      <c r="AD516" s="943"/>
      <c r="AE516" s="943"/>
    </row>
    <row r="517" spans="1:31" ht="15.75" customHeight="1">
      <c r="A517" s="943"/>
      <c r="B517" s="943"/>
      <c r="C517" s="943"/>
      <c r="D517" s="943"/>
      <c r="E517" s="943"/>
      <c r="F517" s="943"/>
      <c r="G517" s="943"/>
      <c r="H517" s="943"/>
      <c r="I517" s="943"/>
      <c r="J517" s="943"/>
      <c r="K517" s="943"/>
      <c r="L517" s="943"/>
      <c r="M517" s="943"/>
      <c r="N517" s="943"/>
      <c r="O517" s="943"/>
      <c r="P517" s="943"/>
      <c r="Q517" s="943"/>
      <c r="R517" s="943"/>
      <c r="S517" s="943"/>
      <c r="T517" s="943"/>
      <c r="U517" s="943"/>
      <c r="V517" s="943"/>
      <c r="W517" s="943"/>
      <c r="X517" s="943"/>
      <c r="Y517" s="943"/>
      <c r="Z517" s="943"/>
      <c r="AA517" s="943"/>
      <c r="AB517" s="943"/>
      <c r="AC517" s="943"/>
      <c r="AD517" s="943"/>
      <c r="AE517" s="943"/>
    </row>
    <row r="518" spans="1:31" ht="15.75" customHeight="1">
      <c r="A518" s="943"/>
      <c r="B518" s="943"/>
      <c r="C518" s="943"/>
      <c r="D518" s="943"/>
      <c r="E518" s="943"/>
      <c r="F518" s="943"/>
      <c r="G518" s="943"/>
      <c r="H518" s="943"/>
      <c r="I518" s="943"/>
      <c r="J518" s="943"/>
      <c r="K518" s="943"/>
      <c r="L518" s="943"/>
      <c r="M518" s="943"/>
      <c r="N518" s="943"/>
      <c r="O518" s="943"/>
      <c r="P518" s="943"/>
      <c r="Q518" s="943"/>
      <c r="R518" s="943"/>
      <c r="S518" s="943"/>
      <c r="T518" s="943"/>
      <c r="U518" s="943"/>
      <c r="V518" s="943"/>
      <c r="W518" s="943"/>
      <c r="X518" s="943"/>
      <c r="Y518" s="943"/>
      <c r="Z518" s="943"/>
      <c r="AA518" s="943"/>
      <c r="AB518" s="943"/>
      <c r="AC518" s="943"/>
      <c r="AD518" s="943"/>
      <c r="AE518" s="943"/>
    </row>
    <row r="519" spans="1:31" ht="15.75" customHeight="1">
      <c r="A519" s="943"/>
      <c r="B519" s="943"/>
      <c r="C519" s="943"/>
      <c r="D519" s="943"/>
      <c r="E519" s="943"/>
      <c r="F519" s="943"/>
      <c r="G519" s="943"/>
      <c r="H519" s="943"/>
      <c r="I519" s="943"/>
      <c r="J519" s="943"/>
      <c r="K519" s="943"/>
      <c r="L519" s="943"/>
      <c r="M519" s="943"/>
      <c r="N519" s="943"/>
      <c r="O519" s="943"/>
      <c r="P519" s="943"/>
      <c r="Q519" s="943"/>
      <c r="R519" s="943"/>
      <c r="S519" s="943"/>
      <c r="T519" s="943"/>
      <c r="U519" s="943"/>
      <c r="V519" s="943"/>
      <c r="W519" s="943"/>
      <c r="X519" s="943"/>
      <c r="Y519" s="943"/>
      <c r="Z519" s="943"/>
      <c r="AA519" s="943"/>
      <c r="AB519" s="943"/>
      <c r="AC519" s="943"/>
      <c r="AD519" s="943"/>
      <c r="AE519" s="943"/>
    </row>
    <row r="520" spans="1:31" ht="15.75" customHeight="1">
      <c r="A520" s="943"/>
      <c r="B520" s="943"/>
      <c r="C520" s="943"/>
      <c r="D520" s="943"/>
      <c r="E520" s="943"/>
      <c r="F520" s="943"/>
      <c r="G520" s="943"/>
      <c r="H520" s="943"/>
      <c r="I520" s="943"/>
      <c r="J520" s="943"/>
      <c r="K520" s="943"/>
      <c r="L520" s="943"/>
      <c r="M520" s="943"/>
      <c r="N520" s="943"/>
      <c r="O520" s="943"/>
      <c r="P520" s="943"/>
      <c r="Q520" s="943"/>
      <c r="R520" s="943"/>
      <c r="S520" s="943"/>
      <c r="T520" s="943"/>
      <c r="U520" s="943"/>
      <c r="V520" s="943"/>
      <c r="W520" s="943"/>
      <c r="X520" s="943"/>
      <c r="Y520" s="943"/>
      <c r="Z520" s="943"/>
      <c r="AA520" s="943"/>
      <c r="AB520" s="943"/>
      <c r="AC520" s="943"/>
      <c r="AD520" s="943"/>
      <c r="AE520" s="943"/>
    </row>
    <row r="521" spans="1:31" ht="15.75" customHeight="1">
      <c r="A521" s="943"/>
      <c r="B521" s="943"/>
      <c r="C521" s="943"/>
      <c r="D521" s="943"/>
      <c r="E521" s="943"/>
      <c r="F521" s="943"/>
      <c r="G521" s="943"/>
      <c r="H521" s="943"/>
      <c r="I521" s="943"/>
      <c r="J521" s="943"/>
      <c r="K521" s="943"/>
      <c r="L521" s="943"/>
      <c r="M521" s="943"/>
      <c r="N521" s="943"/>
      <c r="O521" s="943"/>
      <c r="P521" s="943"/>
      <c r="Q521" s="943"/>
      <c r="R521" s="943"/>
      <c r="S521" s="943"/>
      <c r="T521" s="943"/>
      <c r="U521" s="943"/>
      <c r="V521" s="943"/>
      <c r="W521" s="943"/>
      <c r="X521" s="943"/>
      <c r="Y521" s="943"/>
      <c r="Z521" s="943"/>
      <c r="AA521" s="943"/>
      <c r="AB521" s="943"/>
      <c r="AC521" s="943"/>
      <c r="AD521" s="943"/>
      <c r="AE521" s="943"/>
    </row>
    <row r="522" spans="1:31" ht="15.75" customHeight="1">
      <c r="A522" s="943"/>
      <c r="B522" s="943"/>
      <c r="C522" s="943"/>
      <c r="D522" s="943"/>
      <c r="E522" s="943"/>
      <c r="F522" s="943"/>
      <c r="G522" s="943"/>
      <c r="H522" s="943"/>
      <c r="I522" s="943"/>
      <c r="J522" s="943"/>
      <c r="K522" s="943"/>
      <c r="L522" s="943"/>
      <c r="M522" s="943"/>
      <c r="N522" s="943"/>
      <c r="O522" s="943"/>
      <c r="P522" s="943"/>
      <c r="Q522" s="943"/>
      <c r="R522" s="943"/>
      <c r="S522" s="943"/>
      <c r="T522" s="943"/>
      <c r="U522" s="943"/>
      <c r="V522" s="943"/>
      <c r="W522" s="943"/>
      <c r="X522" s="943"/>
      <c r="Y522" s="943"/>
      <c r="Z522" s="943"/>
      <c r="AA522" s="943"/>
      <c r="AB522" s="943"/>
      <c r="AC522" s="943"/>
      <c r="AD522" s="943"/>
      <c r="AE522" s="943"/>
    </row>
    <row r="523" spans="1:31" ht="15.75" customHeight="1">
      <c r="A523" s="943"/>
      <c r="B523" s="943"/>
      <c r="C523" s="943"/>
      <c r="D523" s="943"/>
      <c r="E523" s="943"/>
      <c r="F523" s="943"/>
      <c r="G523" s="943"/>
      <c r="H523" s="943"/>
      <c r="I523" s="943"/>
      <c r="J523" s="943"/>
      <c r="K523" s="943"/>
      <c r="L523" s="943"/>
      <c r="M523" s="943"/>
      <c r="N523" s="943"/>
      <c r="O523" s="943"/>
      <c r="P523" s="943"/>
      <c r="Q523" s="943"/>
      <c r="R523" s="943"/>
      <c r="S523" s="943"/>
      <c r="T523" s="943"/>
      <c r="U523" s="943"/>
      <c r="V523" s="943"/>
      <c r="W523" s="943"/>
      <c r="X523" s="943"/>
      <c r="Y523" s="943"/>
      <c r="Z523" s="943"/>
      <c r="AA523" s="943"/>
      <c r="AB523" s="943"/>
      <c r="AC523" s="943"/>
      <c r="AD523" s="943"/>
      <c r="AE523" s="943"/>
    </row>
    <row r="524" spans="1:31" ht="15.75" customHeight="1">
      <c r="A524" s="943"/>
      <c r="B524" s="943"/>
      <c r="C524" s="943"/>
      <c r="D524" s="943"/>
      <c r="E524" s="943"/>
      <c r="F524" s="943"/>
      <c r="G524" s="943"/>
      <c r="H524" s="943"/>
      <c r="I524" s="943"/>
      <c r="J524" s="943"/>
      <c r="K524" s="943"/>
      <c r="L524" s="943"/>
      <c r="M524" s="943"/>
      <c r="N524" s="943"/>
      <c r="O524" s="943"/>
      <c r="P524" s="943"/>
      <c r="Q524" s="943"/>
      <c r="R524" s="943"/>
      <c r="S524" s="943"/>
      <c r="T524" s="943"/>
      <c r="U524" s="943"/>
      <c r="V524" s="943"/>
      <c r="W524" s="943"/>
      <c r="X524" s="943"/>
      <c r="Y524" s="943"/>
      <c r="Z524" s="943"/>
      <c r="AA524" s="943"/>
      <c r="AB524" s="943"/>
      <c r="AC524" s="943"/>
      <c r="AD524" s="943"/>
      <c r="AE524" s="943"/>
    </row>
    <row r="525" spans="1:31" ht="15.75" customHeight="1">
      <c r="A525" s="943"/>
      <c r="B525" s="943"/>
      <c r="C525" s="943"/>
      <c r="D525" s="943"/>
      <c r="E525" s="943"/>
      <c r="F525" s="943"/>
      <c r="G525" s="943"/>
      <c r="H525" s="943"/>
      <c r="I525" s="943"/>
      <c r="J525" s="943"/>
      <c r="K525" s="943"/>
      <c r="L525" s="943"/>
      <c r="M525" s="943"/>
      <c r="N525" s="943"/>
      <c r="O525" s="943"/>
      <c r="P525" s="943"/>
      <c r="Q525" s="943"/>
      <c r="R525" s="943"/>
      <c r="S525" s="943"/>
      <c r="T525" s="943"/>
      <c r="U525" s="943"/>
      <c r="V525" s="943"/>
      <c r="W525" s="943"/>
      <c r="X525" s="943"/>
      <c r="Y525" s="943"/>
      <c r="Z525" s="943"/>
      <c r="AA525" s="943"/>
      <c r="AB525" s="943"/>
      <c r="AC525" s="943"/>
      <c r="AD525" s="943"/>
      <c r="AE525" s="943"/>
    </row>
    <row r="526" spans="1:31" ht="15.75" customHeight="1">
      <c r="A526" s="943"/>
      <c r="B526" s="943"/>
      <c r="C526" s="943"/>
      <c r="D526" s="943"/>
      <c r="E526" s="943"/>
      <c r="F526" s="943"/>
      <c r="G526" s="943"/>
      <c r="H526" s="943"/>
      <c r="I526" s="943"/>
      <c r="J526" s="943"/>
      <c r="K526" s="943"/>
      <c r="L526" s="943"/>
      <c r="M526" s="943"/>
      <c r="N526" s="943"/>
      <c r="O526" s="943"/>
      <c r="P526" s="943"/>
      <c r="Q526" s="943"/>
      <c r="R526" s="943"/>
      <c r="S526" s="943"/>
      <c r="T526" s="943"/>
      <c r="U526" s="943"/>
      <c r="V526" s="943"/>
      <c r="W526" s="943"/>
      <c r="X526" s="943"/>
      <c r="Y526" s="943"/>
      <c r="Z526" s="943"/>
      <c r="AA526" s="943"/>
      <c r="AB526" s="943"/>
      <c r="AC526" s="943"/>
      <c r="AD526" s="943"/>
      <c r="AE526" s="943"/>
    </row>
    <row r="527" spans="1:31" ht="15.75" customHeight="1">
      <c r="A527" s="943"/>
      <c r="B527" s="943"/>
      <c r="C527" s="943"/>
      <c r="D527" s="943"/>
      <c r="E527" s="943"/>
      <c r="F527" s="943"/>
      <c r="G527" s="943"/>
      <c r="H527" s="943"/>
      <c r="I527" s="943"/>
      <c r="J527" s="943"/>
      <c r="K527" s="943"/>
      <c r="L527" s="943"/>
      <c r="M527" s="943"/>
      <c r="N527" s="943"/>
      <c r="O527" s="943"/>
      <c r="P527" s="943"/>
      <c r="Q527" s="943"/>
      <c r="R527" s="943"/>
      <c r="S527" s="943"/>
      <c r="T527" s="943"/>
      <c r="U527" s="943"/>
      <c r="V527" s="943"/>
      <c r="W527" s="943"/>
      <c r="X527" s="943"/>
      <c r="Y527" s="943"/>
      <c r="Z527" s="943"/>
      <c r="AA527" s="943"/>
      <c r="AB527" s="943"/>
      <c r="AC527" s="943"/>
      <c r="AD527" s="943"/>
      <c r="AE527" s="943"/>
    </row>
    <row r="528" spans="1:31" ht="15.75" customHeight="1">
      <c r="A528" s="943"/>
      <c r="B528" s="943"/>
      <c r="C528" s="943"/>
      <c r="D528" s="943"/>
      <c r="E528" s="943"/>
      <c r="F528" s="943"/>
      <c r="G528" s="943"/>
      <c r="H528" s="943"/>
      <c r="I528" s="943"/>
      <c r="J528" s="943"/>
      <c r="K528" s="943"/>
      <c r="L528" s="943"/>
      <c r="M528" s="943"/>
      <c r="N528" s="943"/>
      <c r="O528" s="943"/>
      <c r="P528" s="943"/>
      <c r="Q528" s="943"/>
      <c r="R528" s="943"/>
      <c r="S528" s="943"/>
      <c r="T528" s="943"/>
      <c r="U528" s="943"/>
      <c r="V528" s="943"/>
      <c r="W528" s="943"/>
      <c r="X528" s="943"/>
      <c r="Y528" s="943"/>
      <c r="Z528" s="943"/>
      <c r="AA528" s="943"/>
      <c r="AB528" s="943"/>
      <c r="AC528" s="943"/>
      <c r="AD528" s="943"/>
      <c r="AE528" s="943"/>
    </row>
    <row r="529" spans="1:31" ht="15.75" customHeight="1">
      <c r="A529" s="943"/>
      <c r="B529" s="943"/>
      <c r="C529" s="943"/>
      <c r="D529" s="943"/>
      <c r="E529" s="943"/>
      <c r="F529" s="943"/>
      <c r="G529" s="943"/>
      <c r="H529" s="943"/>
      <c r="I529" s="943"/>
      <c r="J529" s="943"/>
      <c r="K529" s="943"/>
      <c r="L529" s="943"/>
      <c r="M529" s="943"/>
      <c r="N529" s="943"/>
      <c r="O529" s="943"/>
      <c r="P529" s="943"/>
      <c r="Q529" s="943"/>
      <c r="R529" s="943"/>
      <c r="S529" s="943"/>
      <c r="T529" s="943"/>
      <c r="U529" s="943"/>
      <c r="V529" s="943"/>
      <c r="W529" s="943"/>
      <c r="X529" s="943"/>
      <c r="Y529" s="943"/>
      <c r="Z529" s="943"/>
      <c r="AA529" s="943"/>
      <c r="AB529" s="943"/>
      <c r="AC529" s="943"/>
      <c r="AD529" s="943"/>
      <c r="AE529" s="943"/>
    </row>
    <row r="530" spans="1:31" ht="15.75" customHeight="1">
      <c r="A530" s="943"/>
      <c r="B530" s="943"/>
      <c r="C530" s="943"/>
      <c r="D530" s="943"/>
      <c r="E530" s="943"/>
      <c r="F530" s="943"/>
      <c r="G530" s="943"/>
      <c r="H530" s="943"/>
      <c r="I530" s="943"/>
      <c r="J530" s="943"/>
      <c r="K530" s="943"/>
      <c r="L530" s="943"/>
      <c r="M530" s="943"/>
      <c r="N530" s="943"/>
      <c r="O530" s="943"/>
      <c r="P530" s="943"/>
      <c r="Q530" s="943"/>
      <c r="R530" s="943"/>
      <c r="S530" s="943"/>
      <c r="T530" s="943"/>
      <c r="U530" s="943"/>
      <c r="V530" s="943"/>
      <c r="W530" s="943"/>
      <c r="X530" s="943"/>
      <c r="Y530" s="943"/>
      <c r="Z530" s="943"/>
      <c r="AA530" s="943"/>
      <c r="AB530" s="943"/>
      <c r="AC530" s="943"/>
      <c r="AD530" s="943"/>
      <c r="AE530" s="943"/>
    </row>
    <row r="531" spans="1:31" ht="15.75" customHeight="1">
      <c r="A531" s="943"/>
      <c r="B531" s="943"/>
      <c r="C531" s="943"/>
      <c r="D531" s="943"/>
      <c r="E531" s="943"/>
      <c r="F531" s="943"/>
      <c r="G531" s="943"/>
      <c r="H531" s="943"/>
      <c r="I531" s="943"/>
      <c r="J531" s="943"/>
      <c r="K531" s="943"/>
      <c r="L531" s="943"/>
      <c r="M531" s="943"/>
      <c r="N531" s="943"/>
      <c r="O531" s="943"/>
      <c r="P531" s="943"/>
      <c r="Q531" s="943"/>
      <c r="R531" s="943"/>
      <c r="S531" s="943"/>
      <c r="T531" s="943"/>
      <c r="U531" s="943"/>
      <c r="V531" s="943"/>
      <c r="W531" s="943"/>
      <c r="X531" s="943"/>
      <c r="Y531" s="943"/>
      <c r="Z531" s="943"/>
      <c r="AA531" s="943"/>
      <c r="AB531" s="943"/>
      <c r="AC531" s="943"/>
      <c r="AD531" s="943"/>
      <c r="AE531" s="943"/>
    </row>
    <row r="532" spans="1:31" ht="15.75" customHeight="1">
      <c r="A532" s="943"/>
      <c r="B532" s="943"/>
      <c r="C532" s="943"/>
      <c r="D532" s="943"/>
      <c r="E532" s="943"/>
      <c r="F532" s="943"/>
      <c r="G532" s="943"/>
      <c r="H532" s="943"/>
      <c r="I532" s="943"/>
      <c r="J532" s="943"/>
      <c r="K532" s="943"/>
      <c r="L532" s="943"/>
      <c r="M532" s="943"/>
      <c r="N532" s="943"/>
      <c r="O532" s="943"/>
      <c r="P532" s="943"/>
      <c r="Q532" s="943"/>
      <c r="R532" s="943"/>
      <c r="S532" s="943"/>
      <c r="T532" s="943"/>
      <c r="U532" s="943"/>
      <c r="V532" s="943"/>
      <c r="W532" s="943"/>
      <c r="X532" s="943"/>
      <c r="Y532" s="943"/>
      <c r="Z532" s="943"/>
      <c r="AA532" s="943"/>
      <c r="AB532" s="943"/>
      <c r="AC532" s="943"/>
      <c r="AD532" s="943"/>
      <c r="AE532" s="943"/>
    </row>
    <row r="533" spans="1:31" ht="15.75" customHeight="1">
      <c r="A533" s="943"/>
      <c r="B533" s="943"/>
      <c r="C533" s="943"/>
      <c r="D533" s="943"/>
      <c r="E533" s="943"/>
      <c r="F533" s="943"/>
      <c r="G533" s="943"/>
      <c r="H533" s="943"/>
      <c r="I533" s="943"/>
      <c r="J533" s="943"/>
      <c r="K533" s="943"/>
      <c r="L533" s="943"/>
      <c r="M533" s="943"/>
      <c r="N533" s="943"/>
      <c r="O533" s="943"/>
      <c r="P533" s="943"/>
      <c r="Q533" s="943"/>
      <c r="R533" s="943"/>
      <c r="S533" s="943"/>
      <c r="T533" s="943"/>
      <c r="U533" s="943"/>
      <c r="V533" s="943"/>
      <c r="W533" s="943"/>
      <c r="X533" s="943"/>
      <c r="Y533" s="943"/>
      <c r="Z533" s="943"/>
      <c r="AA533" s="943"/>
      <c r="AB533" s="943"/>
      <c r="AC533" s="943"/>
      <c r="AD533" s="943"/>
      <c r="AE533" s="943"/>
    </row>
    <row r="534" spans="1:31" ht="15.75" customHeight="1">
      <c r="A534" s="943"/>
      <c r="B534" s="943"/>
      <c r="C534" s="943"/>
      <c r="D534" s="943"/>
      <c r="E534" s="943"/>
      <c r="F534" s="943"/>
      <c r="G534" s="943"/>
      <c r="H534" s="943"/>
      <c r="I534" s="943"/>
      <c r="J534" s="943"/>
      <c r="K534" s="943"/>
      <c r="L534" s="943"/>
      <c r="M534" s="943"/>
      <c r="N534" s="943"/>
      <c r="O534" s="943"/>
      <c r="P534" s="943"/>
      <c r="Q534" s="943"/>
      <c r="R534" s="943"/>
      <c r="S534" s="943"/>
      <c r="T534" s="943"/>
      <c r="U534" s="943"/>
      <c r="V534" s="943"/>
      <c r="W534" s="943"/>
      <c r="X534" s="943"/>
      <c r="Y534" s="943"/>
      <c r="Z534" s="943"/>
      <c r="AA534" s="943"/>
      <c r="AB534" s="943"/>
      <c r="AC534" s="943"/>
      <c r="AD534" s="943"/>
      <c r="AE534" s="943"/>
    </row>
    <row r="535" spans="1:31" ht="15.75" customHeight="1">
      <c r="A535" s="943"/>
      <c r="B535" s="943"/>
      <c r="C535" s="943"/>
      <c r="D535" s="943"/>
      <c r="E535" s="943"/>
      <c r="F535" s="943"/>
      <c r="G535" s="943"/>
      <c r="H535" s="943"/>
      <c r="I535" s="943"/>
      <c r="J535" s="943"/>
      <c r="K535" s="943"/>
      <c r="L535" s="943"/>
      <c r="M535" s="943"/>
      <c r="N535" s="943"/>
      <c r="O535" s="943"/>
      <c r="P535" s="943"/>
      <c r="Q535" s="943"/>
      <c r="R535" s="943"/>
      <c r="S535" s="943"/>
      <c r="T535" s="943"/>
      <c r="U535" s="943"/>
      <c r="V535" s="943"/>
      <c r="W535" s="943"/>
      <c r="X535" s="943"/>
      <c r="Y535" s="943"/>
      <c r="Z535" s="943"/>
      <c r="AA535" s="943"/>
      <c r="AB535" s="943"/>
      <c r="AC535" s="943"/>
      <c r="AD535" s="943"/>
      <c r="AE535" s="943"/>
    </row>
    <row r="536" spans="1:31" ht="15.75" customHeight="1">
      <c r="A536" s="943"/>
      <c r="B536" s="943"/>
      <c r="C536" s="943"/>
      <c r="D536" s="943"/>
      <c r="E536" s="943"/>
      <c r="F536" s="943"/>
      <c r="G536" s="943"/>
      <c r="H536" s="943"/>
      <c r="I536" s="943"/>
      <c r="J536" s="943"/>
      <c r="K536" s="943"/>
      <c r="L536" s="943"/>
      <c r="M536" s="943"/>
      <c r="N536" s="943"/>
      <c r="O536" s="943"/>
      <c r="P536" s="943"/>
      <c r="Q536" s="943"/>
      <c r="R536" s="943"/>
      <c r="S536" s="943"/>
      <c r="T536" s="943"/>
      <c r="U536" s="943"/>
      <c r="V536" s="943"/>
      <c r="W536" s="943"/>
      <c r="X536" s="943"/>
      <c r="Y536" s="943"/>
      <c r="Z536" s="943"/>
      <c r="AA536" s="943"/>
      <c r="AB536" s="943"/>
      <c r="AC536" s="943"/>
      <c r="AD536" s="943"/>
      <c r="AE536" s="943"/>
    </row>
    <row r="537" spans="1:31" ht="15.75" customHeight="1">
      <c r="A537" s="943"/>
      <c r="B537" s="943"/>
      <c r="C537" s="943"/>
      <c r="D537" s="943"/>
      <c r="E537" s="943"/>
      <c r="F537" s="943"/>
      <c r="G537" s="943"/>
      <c r="H537" s="943"/>
      <c r="I537" s="943"/>
      <c r="J537" s="943"/>
      <c r="K537" s="943"/>
      <c r="L537" s="943"/>
      <c r="M537" s="943"/>
      <c r="N537" s="943"/>
      <c r="O537" s="943"/>
      <c r="P537" s="943"/>
      <c r="Q537" s="943"/>
      <c r="R537" s="943"/>
      <c r="S537" s="943"/>
      <c r="T537" s="943"/>
      <c r="U537" s="943"/>
      <c r="V537" s="943"/>
      <c r="W537" s="943"/>
      <c r="X537" s="943"/>
      <c r="Y537" s="943"/>
      <c r="Z537" s="943"/>
      <c r="AA537" s="943"/>
      <c r="AB537" s="943"/>
      <c r="AC537" s="943"/>
      <c r="AD537" s="943"/>
      <c r="AE537" s="943"/>
    </row>
    <row r="538" spans="1:31" ht="15.75" customHeight="1">
      <c r="A538" s="943"/>
      <c r="B538" s="943"/>
      <c r="C538" s="943"/>
      <c r="D538" s="943"/>
      <c r="E538" s="943"/>
      <c r="F538" s="943"/>
      <c r="G538" s="943"/>
      <c r="H538" s="943"/>
      <c r="I538" s="943"/>
      <c r="J538" s="943"/>
      <c r="K538" s="943"/>
      <c r="L538" s="943"/>
      <c r="M538" s="943"/>
      <c r="N538" s="943"/>
      <c r="O538" s="943"/>
      <c r="P538" s="943"/>
      <c r="Q538" s="943"/>
      <c r="R538" s="943"/>
      <c r="S538" s="943"/>
      <c r="T538" s="943"/>
      <c r="U538" s="943"/>
      <c r="V538" s="943"/>
      <c r="W538" s="943"/>
      <c r="X538" s="943"/>
      <c r="Y538" s="943"/>
      <c r="Z538" s="943"/>
      <c r="AA538" s="943"/>
      <c r="AB538" s="943"/>
      <c r="AC538" s="943"/>
      <c r="AD538" s="943"/>
      <c r="AE538" s="943"/>
    </row>
    <row r="539" spans="1:31" ht="15.75" customHeight="1">
      <c r="A539" s="943"/>
      <c r="B539" s="943"/>
      <c r="C539" s="943"/>
      <c r="D539" s="943"/>
      <c r="E539" s="943"/>
      <c r="F539" s="943"/>
      <c r="G539" s="943"/>
      <c r="H539" s="943"/>
      <c r="I539" s="943"/>
      <c r="J539" s="943"/>
      <c r="K539" s="943"/>
      <c r="L539" s="943"/>
      <c r="M539" s="943"/>
      <c r="N539" s="943"/>
      <c r="O539" s="943"/>
      <c r="P539" s="943"/>
      <c r="Q539" s="943"/>
      <c r="R539" s="943"/>
      <c r="S539" s="943"/>
      <c r="T539" s="943"/>
      <c r="U539" s="943"/>
      <c r="V539" s="943"/>
      <c r="W539" s="943"/>
      <c r="X539" s="943"/>
      <c r="Y539" s="943"/>
      <c r="Z539" s="943"/>
      <c r="AA539" s="943"/>
      <c r="AB539" s="943"/>
      <c r="AC539" s="943"/>
      <c r="AD539" s="943"/>
      <c r="AE539" s="943"/>
    </row>
    <row r="540" spans="1:31" ht="15.75" customHeight="1">
      <c r="A540" s="943"/>
      <c r="B540" s="943"/>
      <c r="C540" s="943"/>
      <c r="D540" s="943"/>
      <c r="E540" s="943"/>
      <c r="F540" s="943"/>
      <c r="G540" s="943"/>
      <c r="H540" s="943"/>
      <c r="I540" s="943"/>
      <c r="J540" s="943"/>
      <c r="K540" s="943"/>
      <c r="L540" s="943"/>
      <c r="M540" s="943"/>
      <c r="N540" s="943"/>
      <c r="O540" s="943"/>
      <c r="P540" s="943"/>
      <c r="Q540" s="943"/>
      <c r="R540" s="943"/>
      <c r="S540" s="943"/>
      <c r="T540" s="943"/>
      <c r="U540" s="943"/>
      <c r="V540" s="943"/>
      <c r="W540" s="943"/>
      <c r="X540" s="943"/>
      <c r="Y540" s="943"/>
      <c r="Z540" s="943"/>
      <c r="AA540" s="943"/>
      <c r="AB540" s="943"/>
      <c r="AC540" s="943"/>
      <c r="AD540" s="943"/>
      <c r="AE540" s="943"/>
    </row>
    <row r="541" spans="1:31" ht="15.75" customHeight="1">
      <c r="A541" s="943"/>
      <c r="B541" s="943"/>
      <c r="C541" s="943"/>
      <c r="D541" s="943"/>
      <c r="E541" s="943"/>
      <c r="F541" s="943"/>
      <c r="G541" s="943"/>
      <c r="H541" s="943"/>
      <c r="I541" s="943"/>
      <c r="J541" s="943"/>
      <c r="K541" s="943"/>
      <c r="L541" s="943"/>
      <c r="M541" s="943"/>
      <c r="N541" s="943"/>
      <c r="O541" s="943"/>
      <c r="P541" s="943"/>
      <c r="Q541" s="943"/>
      <c r="R541" s="943"/>
      <c r="S541" s="943"/>
      <c r="T541" s="943"/>
      <c r="U541" s="943"/>
      <c r="V541" s="943"/>
      <c r="W541" s="943"/>
      <c r="X541" s="943"/>
      <c r="Y541" s="943"/>
      <c r="Z541" s="943"/>
      <c r="AA541" s="943"/>
      <c r="AB541" s="943"/>
      <c r="AC541" s="943"/>
      <c r="AD541" s="943"/>
      <c r="AE541" s="943"/>
    </row>
    <row r="542" spans="1:31" ht="15.75" customHeight="1">
      <c r="A542" s="943"/>
      <c r="B542" s="943"/>
      <c r="C542" s="943"/>
      <c r="D542" s="943"/>
      <c r="E542" s="943"/>
      <c r="F542" s="943"/>
      <c r="G542" s="943"/>
      <c r="H542" s="943"/>
      <c r="I542" s="943"/>
      <c r="J542" s="943"/>
      <c r="K542" s="943"/>
      <c r="L542" s="943"/>
      <c r="M542" s="943"/>
      <c r="N542" s="943"/>
      <c r="O542" s="943"/>
      <c r="P542" s="943"/>
      <c r="Q542" s="943"/>
      <c r="R542" s="943"/>
      <c r="S542" s="943"/>
      <c r="T542" s="943"/>
      <c r="U542" s="943"/>
      <c r="V542" s="943"/>
      <c r="W542" s="943"/>
      <c r="X542" s="943"/>
      <c r="Y542" s="943"/>
      <c r="Z542" s="943"/>
      <c r="AA542" s="943"/>
      <c r="AB542" s="943"/>
      <c r="AC542" s="943"/>
      <c r="AD542" s="943"/>
      <c r="AE542" s="943"/>
    </row>
    <row r="543" spans="1:31" ht="15.75" customHeight="1">
      <c r="A543" s="943"/>
      <c r="B543" s="943"/>
      <c r="C543" s="943"/>
      <c r="D543" s="943"/>
      <c r="E543" s="943"/>
      <c r="F543" s="943"/>
      <c r="G543" s="943"/>
      <c r="H543" s="943"/>
      <c r="I543" s="943"/>
      <c r="J543" s="943"/>
      <c r="K543" s="943"/>
      <c r="L543" s="943"/>
      <c r="M543" s="943"/>
      <c r="N543" s="943"/>
      <c r="O543" s="943"/>
      <c r="P543" s="943"/>
      <c r="Q543" s="943"/>
      <c r="R543" s="943"/>
      <c r="S543" s="943"/>
      <c r="T543" s="943"/>
      <c r="U543" s="943"/>
      <c r="V543" s="943"/>
      <c r="W543" s="943"/>
      <c r="X543" s="943"/>
      <c r="Y543" s="943"/>
      <c r="Z543" s="943"/>
      <c r="AA543" s="943"/>
      <c r="AB543" s="943"/>
      <c r="AC543" s="943"/>
      <c r="AD543" s="943"/>
      <c r="AE543" s="943"/>
    </row>
    <row r="544" spans="1:31" ht="15.75" customHeight="1">
      <c r="A544" s="943"/>
      <c r="B544" s="943"/>
      <c r="C544" s="943"/>
      <c r="D544" s="943"/>
      <c r="E544" s="943"/>
      <c r="F544" s="943"/>
      <c r="G544" s="943"/>
      <c r="H544" s="943"/>
      <c r="I544" s="943"/>
      <c r="J544" s="943"/>
      <c r="K544" s="943"/>
      <c r="L544" s="943"/>
      <c r="M544" s="943"/>
      <c r="N544" s="943"/>
      <c r="O544" s="943"/>
      <c r="P544" s="943"/>
      <c r="Q544" s="943"/>
      <c r="R544" s="943"/>
      <c r="S544" s="943"/>
      <c r="T544" s="943"/>
      <c r="U544" s="943"/>
      <c r="V544" s="943"/>
      <c r="W544" s="943"/>
      <c r="X544" s="943"/>
      <c r="Y544" s="943"/>
      <c r="Z544" s="943"/>
      <c r="AA544" s="943"/>
      <c r="AB544" s="943"/>
      <c r="AC544" s="943"/>
      <c r="AD544" s="943"/>
      <c r="AE544" s="943"/>
    </row>
    <row r="545" spans="1:31" ht="15.75" customHeight="1">
      <c r="A545" s="943"/>
      <c r="B545" s="943"/>
      <c r="C545" s="943"/>
      <c r="D545" s="943"/>
      <c r="E545" s="943"/>
      <c r="F545" s="943"/>
      <c r="G545" s="943"/>
      <c r="H545" s="943"/>
      <c r="I545" s="943"/>
      <c r="J545" s="943"/>
      <c r="K545" s="943"/>
      <c r="L545" s="943"/>
      <c r="M545" s="943"/>
      <c r="N545" s="943"/>
      <c r="O545" s="943"/>
      <c r="P545" s="943"/>
      <c r="Q545" s="943"/>
      <c r="R545" s="943"/>
      <c r="S545" s="943"/>
      <c r="T545" s="943"/>
      <c r="U545" s="943"/>
      <c r="V545" s="943"/>
      <c r="W545" s="943"/>
      <c r="X545" s="943"/>
      <c r="Y545" s="943"/>
      <c r="Z545" s="943"/>
      <c r="AA545" s="943"/>
      <c r="AB545" s="943"/>
      <c r="AC545" s="943"/>
      <c r="AD545" s="943"/>
      <c r="AE545" s="943"/>
    </row>
    <row r="546" spans="1:31" ht="15.75" customHeight="1">
      <c r="A546" s="943"/>
      <c r="B546" s="943"/>
      <c r="C546" s="943"/>
      <c r="D546" s="943"/>
      <c r="E546" s="943"/>
      <c r="F546" s="943"/>
      <c r="G546" s="943"/>
      <c r="H546" s="943"/>
      <c r="I546" s="943"/>
      <c r="J546" s="943"/>
      <c r="K546" s="943"/>
      <c r="L546" s="943"/>
      <c r="M546" s="943"/>
      <c r="N546" s="943"/>
      <c r="O546" s="943"/>
      <c r="P546" s="943"/>
      <c r="Q546" s="943"/>
      <c r="R546" s="943"/>
      <c r="S546" s="943"/>
      <c r="T546" s="943"/>
      <c r="U546" s="943"/>
      <c r="V546" s="943"/>
      <c r="W546" s="943"/>
      <c r="X546" s="943"/>
      <c r="Y546" s="943"/>
      <c r="Z546" s="943"/>
      <c r="AA546" s="943"/>
      <c r="AB546" s="943"/>
      <c r="AC546" s="943"/>
      <c r="AD546" s="943"/>
      <c r="AE546" s="943"/>
    </row>
    <row r="547" spans="1:31" ht="15.75" customHeight="1">
      <c r="A547" s="943"/>
      <c r="B547" s="943"/>
      <c r="C547" s="943"/>
      <c r="D547" s="943"/>
      <c r="E547" s="943"/>
      <c r="F547" s="943"/>
      <c r="G547" s="943"/>
      <c r="H547" s="943"/>
      <c r="I547" s="943"/>
      <c r="J547" s="943"/>
      <c r="K547" s="943"/>
      <c r="L547" s="943"/>
      <c r="M547" s="943"/>
      <c r="N547" s="943"/>
      <c r="O547" s="943"/>
      <c r="P547" s="943"/>
      <c r="Q547" s="943"/>
      <c r="R547" s="943"/>
      <c r="S547" s="943"/>
      <c r="T547" s="943"/>
      <c r="U547" s="943"/>
      <c r="V547" s="943"/>
      <c r="W547" s="943"/>
      <c r="X547" s="943"/>
      <c r="Y547" s="943"/>
      <c r="Z547" s="943"/>
      <c r="AA547" s="943"/>
      <c r="AB547" s="943"/>
      <c r="AC547" s="943"/>
      <c r="AD547" s="943"/>
      <c r="AE547" s="943"/>
    </row>
    <row r="548" spans="1:31" ht="15.75" customHeight="1">
      <c r="A548" s="943"/>
      <c r="B548" s="943"/>
      <c r="C548" s="943"/>
      <c r="D548" s="943"/>
      <c r="E548" s="943"/>
      <c r="F548" s="943"/>
      <c r="G548" s="943"/>
      <c r="H548" s="943"/>
      <c r="I548" s="943"/>
      <c r="J548" s="943"/>
      <c r="K548" s="943"/>
      <c r="L548" s="943"/>
      <c r="M548" s="943"/>
      <c r="N548" s="943"/>
      <c r="O548" s="943"/>
      <c r="P548" s="943"/>
      <c r="Q548" s="943"/>
      <c r="R548" s="943"/>
      <c r="S548" s="943"/>
      <c r="T548" s="943"/>
      <c r="U548" s="943"/>
      <c r="V548" s="943"/>
      <c r="W548" s="943"/>
      <c r="X548" s="943"/>
      <c r="Y548" s="943"/>
      <c r="Z548" s="943"/>
      <c r="AA548" s="943"/>
      <c r="AB548" s="943"/>
      <c r="AC548" s="943"/>
      <c r="AD548" s="943"/>
      <c r="AE548" s="943"/>
    </row>
    <row r="549" spans="1:31" ht="15.75" customHeight="1">
      <c r="A549" s="943"/>
      <c r="B549" s="943"/>
      <c r="C549" s="943"/>
      <c r="D549" s="943"/>
      <c r="E549" s="943"/>
      <c r="F549" s="943"/>
      <c r="G549" s="943"/>
      <c r="H549" s="943"/>
      <c r="I549" s="943"/>
      <c r="J549" s="943"/>
      <c r="K549" s="943"/>
      <c r="L549" s="943"/>
      <c r="M549" s="943"/>
      <c r="N549" s="943"/>
      <c r="O549" s="943"/>
      <c r="P549" s="943"/>
      <c r="Q549" s="943"/>
      <c r="R549" s="943"/>
      <c r="S549" s="943"/>
      <c r="T549" s="943"/>
      <c r="U549" s="943"/>
      <c r="V549" s="943"/>
      <c r="W549" s="943"/>
      <c r="X549" s="943"/>
      <c r="Y549" s="943"/>
      <c r="Z549" s="943"/>
      <c r="AA549" s="943"/>
      <c r="AB549" s="943"/>
      <c r="AC549" s="943"/>
      <c r="AD549" s="943"/>
      <c r="AE549" s="943"/>
    </row>
    <row r="550" spans="1:31" ht="15.75" customHeight="1">
      <c r="A550" s="943"/>
      <c r="B550" s="943"/>
      <c r="C550" s="943"/>
      <c r="D550" s="943"/>
      <c r="E550" s="943"/>
      <c r="F550" s="943"/>
      <c r="G550" s="943"/>
      <c r="H550" s="943"/>
      <c r="I550" s="943"/>
      <c r="J550" s="943"/>
      <c r="K550" s="943"/>
      <c r="L550" s="943"/>
      <c r="M550" s="943"/>
      <c r="N550" s="943"/>
      <c r="O550" s="943"/>
      <c r="P550" s="943"/>
      <c r="Q550" s="943"/>
      <c r="R550" s="943"/>
      <c r="S550" s="943"/>
      <c r="T550" s="943"/>
      <c r="U550" s="943"/>
      <c r="V550" s="943"/>
      <c r="W550" s="943"/>
      <c r="X550" s="943"/>
      <c r="Y550" s="943"/>
      <c r="Z550" s="943"/>
      <c r="AA550" s="943"/>
      <c r="AB550" s="943"/>
      <c r="AC550" s="943"/>
      <c r="AD550" s="943"/>
      <c r="AE550" s="943"/>
    </row>
    <row r="551" spans="1:31" ht="15.75" customHeight="1">
      <c r="A551" s="943"/>
      <c r="B551" s="943"/>
      <c r="C551" s="943"/>
      <c r="D551" s="943"/>
      <c r="E551" s="943"/>
      <c r="F551" s="943"/>
      <c r="G551" s="943"/>
      <c r="H551" s="943"/>
      <c r="I551" s="943"/>
      <c r="J551" s="943"/>
      <c r="K551" s="943"/>
      <c r="L551" s="943"/>
      <c r="M551" s="943"/>
      <c r="N551" s="943"/>
      <c r="O551" s="943"/>
      <c r="P551" s="943"/>
      <c r="Q551" s="943"/>
      <c r="R551" s="943"/>
      <c r="S551" s="943"/>
      <c r="T551" s="943"/>
      <c r="U551" s="943"/>
      <c r="V551" s="943"/>
      <c r="W551" s="943"/>
      <c r="X551" s="943"/>
      <c r="Y551" s="943"/>
      <c r="Z551" s="943"/>
      <c r="AA551" s="943"/>
      <c r="AB551" s="943"/>
      <c r="AC551" s="943"/>
      <c r="AD551" s="943"/>
      <c r="AE551" s="943"/>
    </row>
    <row r="552" spans="1:31" ht="15.75" customHeight="1">
      <c r="A552" s="943"/>
      <c r="B552" s="943"/>
      <c r="C552" s="943"/>
      <c r="D552" s="943"/>
      <c r="E552" s="943"/>
      <c r="F552" s="943"/>
      <c r="G552" s="943"/>
      <c r="H552" s="943"/>
      <c r="I552" s="943"/>
      <c r="J552" s="943"/>
      <c r="K552" s="943"/>
      <c r="L552" s="943"/>
      <c r="M552" s="943"/>
      <c r="N552" s="943"/>
      <c r="O552" s="943"/>
      <c r="P552" s="943"/>
      <c r="Q552" s="943"/>
      <c r="R552" s="943"/>
      <c r="S552" s="943"/>
      <c r="T552" s="943"/>
      <c r="U552" s="943"/>
      <c r="V552" s="943"/>
      <c r="W552" s="943"/>
      <c r="X552" s="943"/>
      <c r="Y552" s="943"/>
      <c r="Z552" s="943"/>
      <c r="AA552" s="943"/>
      <c r="AB552" s="943"/>
      <c r="AC552" s="943"/>
      <c r="AD552" s="943"/>
      <c r="AE552" s="943"/>
    </row>
    <row r="553" spans="1:31" ht="15.75" customHeight="1">
      <c r="A553" s="943"/>
      <c r="B553" s="943"/>
      <c r="C553" s="943"/>
      <c r="D553" s="943"/>
      <c r="E553" s="943"/>
      <c r="F553" s="943"/>
      <c r="G553" s="943"/>
      <c r="H553" s="943"/>
      <c r="I553" s="943"/>
      <c r="J553" s="943"/>
      <c r="K553" s="943"/>
      <c r="L553" s="943"/>
      <c r="M553" s="943"/>
      <c r="N553" s="943"/>
      <c r="O553" s="943"/>
      <c r="P553" s="943"/>
      <c r="Q553" s="943"/>
      <c r="R553" s="943"/>
      <c r="S553" s="943"/>
      <c r="T553" s="943"/>
      <c r="U553" s="943"/>
      <c r="V553" s="943"/>
      <c r="W553" s="943"/>
      <c r="X553" s="943"/>
      <c r="Y553" s="943"/>
      <c r="Z553" s="943"/>
      <c r="AA553" s="943"/>
      <c r="AB553" s="943"/>
      <c r="AC553" s="943"/>
      <c r="AD553" s="943"/>
      <c r="AE553" s="943"/>
    </row>
    <row r="554" spans="1:31" ht="15.75" customHeight="1">
      <c r="A554" s="943"/>
      <c r="B554" s="943"/>
      <c r="C554" s="943"/>
      <c r="D554" s="943"/>
      <c r="E554" s="943"/>
      <c r="F554" s="943"/>
      <c r="G554" s="943"/>
      <c r="H554" s="943"/>
      <c r="I554" s="943"/>
      <c r="J554" s="943"/>
      <c r="K554" s="943"/>
      <c r="L554" s="943"/>
      <c r="M554" s="943"/>
      <c r="N554" s="943"/>
      <c r="O554" s="943"/>
      <c r="P554" s="943"/>
      <c r="Q554" s="943"/>
      <c r="R554" s="943"/>
      <c r="S554" s="943"/>
      <c r="T554" s="943"/>
      <c r="U554" s="943"/>
      <c r="V554" s="943"/>
      <c r="W554" s="943"/>
      <c r="X554" s="943"/>
      <c r="Y554" s="943"/>
      <c r="Z554" s="943"/>
      <c r="AA554" s="943"/>
      <c r="AB554" s="943"/>
      <c r="AC554" s="943"/>
      <c r="AD554" s="943"/>
      <c r="AE554" s="943"/>
    </row>
    <row r="555" spans="1:31" ht="15.75" customHeight="1">
      <c r="A555" s="943"/>
      <c r="B555" s="943"/>
      <c r="C555" s="943"/>
      <c r="D555" s="943"/>
      <c r="E555" s="943"/>
      <c r="F555" s="943"/>
      <c r="G555" s="943"/>
      <c r="H555" s="943"/>
      <c r="I555" s="943"/>
      <c r="J555" s="943"/>
      <c r="K555" s="943"/>
      <c r="L555" s="943"/>
      <c r="M555" s="943"/>
      <c r="N555" s="943"/>
      <c r="O555" s="943"/>
      <c r="P555" s="943"/>
      <c r="Q555" s="943"/>
      <c r="R555" s="943"/>
      <c r="S555" s="943"/>
      <c r="T555" s="943"/>
      <c r="U555" s="943"/>
      <c r="V555" s="943"/>
      <c r="W555" s="943"/>
      <c r="X555" s="943"/>
      <c r="Y555" s="943"/>
      <c r="Z555" s="943"/>
      <c r="AA555" s="943"/>
      <c r="AB555" s="943"/>
      <c r="AC555" s="943"/>
      <c r="AD555" s="943"/>
      <c r="AE555" s="943"/>
    </row>
    <row r="556" spans="1:31" ht="15.75" customHeight="1">
      <c r="A556" s="943"/>
      <c r="B556" s="943"/>
      <c r="C556" s="943"/>
      <c r="D556" s="943"/>
      <c r="E556" s="943"/>
      <c r="F556" s="943"/>
      <c r="G556" s="943"/>
      <c r="H556" s="943"/>
      <c r="I556" s="943"/>
      <c r="J556" s="943"/>
      <c r="K556" s="943"/>
      <c r="L556" s="943"/>
      <c r="M556" s="943"/>
      <c r="N556" s="943"/>
      <c r="O556" s="943"/>
      <c r="P556" s="943"/>
      <c r="Q556" s="943"/>
      <c r="R556" s="943"/>
      <c r="S556" s="943"/>
      <c r="T556" s="943"/>
      <c r="U556" s="943"/>
      <c r="V556" s="943"/>
      <c r="W556" s="943"/>
      <c r="X556" s="943"/>
      <c r="Y556" s="943"/>
      <c r="Z556" s="943"/>
      <c r="AA556" s="943"/>
      <c r="AB556" s="943"/>
      <c r="AC556" s="943"/>
      <c r="AD556" s="943"/>
      <c r="AE556" s="943"/>
    </row>
    <row r="557" spans="1:31" ht="15.75" customHeight="1">
      <c r="A557" s="943"/>
      <c r="B557" s="943"/>
      <c r="C557" s="943"/>
      <c r="D557" s="943"/>
      <c r="E557" s="943"/>
      <c r="F557" s="943"/>
      <c r="G557" s="943"/>
      <c r="H557" s="943"/>
      <c r="I557" s="943"/>
      <c r="J557" s="943"/>
      <c r="K557" s="943"/>
      <c r="L557" s="943"/>
      <c r="M557" s="943"/>
      <c r="N557" s="943"/>
      <c r="O557" s="943"/>
      <c r="P557" s="943"/>
      <c r="Q557" s="943"/>
      <c r="R557" s="943"/>
      <c r="S557" s="943"/>
      <c r="T557" s="943"/>
      <c r="U557" s="943"/>
      <c r="V557" s="943"/>
      <c r="W557" s="943"/>
      <c r="X557" s="943"/>
      <c r="Y557" s="943"/>
      <c r="Z557" s="943"/>
      <c r="AA557" s="943"/>
      <c r="AB557" s="943"/>
      <c r="AC557" s="943"/>
      <c r="AD557" s="943"/>
      <c r="AE557" s="943"/>
    </row>
    <row r="558" spans="1:31" ht="15.75" customHeight="1">
      <c r="A558" s="943"/>
      <c r="B558" s="943"/>
      <c r="C558" s="943"/>
      <c r="D558" s="943"/>
      <c r="E558" s="943"/>
      <c r="F558" s="943"/>
      <c r="G558" s="943"/>
      <c r="H558" s="943"/>
      <c r="I558" s="943"/>
      <c r="J558" s="943"/>
      <c r="K558" s="943"/>
      <c r="L558" s="943"/>
      <c r="M558" s="943"/>
      <c r="N558" s="943"/>
      <c r="O558" s="943"/>
      <c r="P558" s="943"/>
      <c r="Q558" s="943"/>
      <c r="R558" s="943"/>
      <c r="S558" s="943"/>
      <c r="T558" s="943"/>
      <c r="U558" s="943"/>
      <c r="V558" s="943"/>
      <c r="W558" s="943"/>
      <c r="X558" s="943"/>
      <c r="Y558" s="943"/>
      <c r="Z558" s="943"/>
      <c r="AA558" s="943"/>
      <c r="AB558" s="943"/>
      <c r="AC558" s="943"/>
      <c r="AD558" s="943"/>
      <c r="AE558" s="943"/>
    </row>
    <row r="559" spans="1:31" ht="15.75" customHeight="1">
      <c r="A559" s="943"/>
      <c r="B559" s="943"/>
      <c r="C559" s="943"/>
      <c r="D559" s="943"/>
      <c r="E559" s="943"/>
      <c r="F559" s="943"/>
      <c r="G559" s="943"/>
      <c r="H559" s="943"/>
      <c r="I559" s="943"/>
      <c r="J559" s="943"/>
      <c r="K559" s="943"/>
      <c r="L559" s="943"/>
      <c r="M559" s="943"/>
      <c r="N559" s="943"/>
      <c r="O559" s="943"/>
      <c r="P559" s="943"/>
      <c r="Q559" s="943"/>
      <c r="R559" s="943"/>
      <c r="S559" s="943"/>
      <c r="T559" s="943"/>
      <c r="U559" s="943"/>
      <c r="V559" s="943"/>
      <c r="W559" s="943"/>
      <c r="X559" s="943"/>
      <c r="Y559" s="943"/>
      <c r="Z559" s="943"/>
      <c r="AA559" s="943"/>
      <c r="AB559" s="943"/>
      <c r="AC559" s="943"/>
      <c r="AD559" s="943"/>
      <c r="AE559" s="943"/>
    </row>
    <row r="560" spans="1:31" ht="15.75" customHeight="1">
      <c r="A560" s="943"/>
      <c r="B560" s="943"/>
      <c r="C560" s="943"/>
      <c r="D560" s="943"/>
      <c r="E560" s="943"/>
      <c r="F560" s="943"/>
      <c r="G560" s="943"/>
      <c r="H560" s="943"/>
      <c r="I560" s="943"/>
      <c r="J560" s="943"/>
      <c r="K560" s="943"/>
      <c r="L560" s="943"/>
      <c r="M560" s="943"/>
      <c r="N560" s="943"/>
      <c r="O560" s="943"/>
      <c r="P560" s="943"/>
      <c r="Q560" s="943"/>
      <c r="R560" s="943"/>
      <c r="S560" s="943"/>
      <c r="T560" s="943"/>
      <c r="U560" s="943"/>
      <c r="V560" s="943"/>
      <c r="W560" s="943"/>
      <c r="X560" s="943"/>
      <c r="Y560" s="943"/>
      <c r="Z560" s="943"/>
      <c r="AA560" s="943"/>
      <c r="AB560" s="943"/>
      <c r="AC560" s="943"/>
      <c r="AD560" s="943"/>
      <c r="AE560" s="943"/>
    </row>
    <row r="561" spans="1:31" ht="15.75" customHeight="1">
      <c r="A561" s="943"/>
      <c r="B561" s="943"/>
      <c r="C561" s="943"/>
      <c r="D561" s="943"/>
      <c r="E561" s="943"/>
      <c r="F561" s="943"/>
      <c r="G561" s="943"/>
      <c r="H561" s="943"/>
      <c r="I561" s="943"/>
      <c r="J561" s="943"/>
      <c r="K561" s="943"/>
      <c r="L561" s="943"/>
      <c r="M561" s="943"/>
      <c r="N561" s="943"/>
      <c r="O561" s="943"/>
      <c r="P561" s="943"/>
      <c r="Q561" s="943"/>
      <c r="R561" s="943"/>
      <c r="S561" s="943"/>
      <c r="T561" s="943"/>
      <c r="U561" s="943"/>
      <c r="V561" s="943"/>
      <c r="W561" s="943"/>
      <c r="X561" s="943"/>
      <c r="Y561" s="943"/>
      <c r="Z561" s="943"/>
      <c r="AA561" s="943"/>
      <c r="AB561" s="943"/>
      <c r="AC561" s="943"/>
      <c r="AD561" s="943"/>
      <c r="AE561" s="943"/>
    </row>
    <row r="562" spans="1:31" ht="15.75" customHeight="1">
      <c r="A562" s="943"/>
      <c r="B562" s="943"/>
      <c r="C562" s="943"/>
      <c r="D562" s="943"/>
      <c r="E562" s="943"/>
      <c r="F562" s="943"/>
      <c r="G562" s="943"/>
      <c r="H562" s="943"/>
      <c r="I562" s="943"/>
      <c r="J562" s="943"/>
      <c r="K562" s="943"/>
      <c r="L562" s="943"/>
      <c r="M562" s="943"/>
      <c r="N562" s="943"/>
      <c r="O562" s="943"/>
      <c r="P562" s="943"/>
      <c r="Q562" s="943"/>
      <c r="R562" s="943"/>
      <c r="S562" s="943"/>
      <c r="T562" s="943"/>
      <c r="U562" s="943"/>
      <c r="V562" s="943"/>
      <c r="W562" s="943"/>
      <c r="X562" s="943"/>
      <c r="Y562" s="943"/>
      <c r="Z562" s="943"/>
      <c r="AA562" s="943"/>
      <c r="AB562" s="943"/>
      <c r="AC562" s="943"/>
      <c r="AD562" s="943"/>
      <c r="AE562" s="943"/>
    </row>
    <row r="563" spans="1:31" ht="15.75" customHeight="1">
      <c r="A563" s="943"/>
      <c r="B563" s="943"/>
      <c r="C563" s="943"/>
      <c r="D563" s="943"/>
      <c r="E563" s="943"/>
      <c r="F563" s="943"/>
      <c r="G563" s="943"/>
      <c r="H563" s="943"/>
      <c r="I563" s="943"/>
      <c r="J563" s="943"/>
      <c r="K563" s="943"/>
      <c r="L563" s="943"/>
      <c r="M563" s="943"/>
      <c r="N563" s="943"/>
      <c r="O563" s="943"/>
      <c r="P563" s="943"/>
      <c r="Q563" s="943"/>
      <c r="R563" s="943"/>
      <c r="S563" s="943"/>
      <c r="T563" s="943"/>
      <c r="U563" s="943"/>
      <c r="V563" s="943"/>
      <c r="W563" s="943"/>
      <c r="X563" s="943"/>
      <c r="Y563" s="943"/>
      <c r="Z563" s="943"/>
      <c r="AA563" s="943"/>
      <c r="AB563" s="943"/>
      <c r="AC563" s="943"/>
      <c r="AD563" s="943"/>
      <c r="AE563" s="943"/>
    </row>
    <row r="564" spans="1:31" ht="15.75" customHeight="1">
      <c r="A564" s="943"/>
      <c r="B564" s="943"/>
      <c r="C564" s="943"/>
      <c r="D564" s="943"/>
      <c r="E564" s="943"/>
      <c r="F564" s="943"/>
      <c r="G564" s="943"/>
      <c r="H564" s="943"/>
      <c r="I564" s="943"/>
      <c r="J564" s="943"/>
      <c r="K564" s="943"/>
      <c r="L564" s="943"/>
      <c r="M564" s="943"/>
      <c r="N564" s="943"/>
      <c r="O564" s="943"/>
      <c r="P564" s="943"/>
      <c r="Q564" s="943"/>
      <c r="R564" s="943"/>
      <c r="S564" s="943"/>
      <c r="T564" s="943"/>
      <c r="U564" s="943"/>
      <c r="V564" s="943"/>
      <c r="W564" s="943"/>
      <c r="X564" s="943"/>
      <c r="Y564" s="943"/>
      <c r="Z564" s="943"/>
      <c r="AA564" s="943"/>
      <c r="AB564" s="943"/>
      <c r="AC564" s="943"/>
      <c r="AD564" s="943"/>
      <c r="AE564" s="943"/>
    </row>
    <row r="565" spans="1:31" ht="15.75" customHeight="1">
      <c r="A565" s="943"/>
      <c r="B565" s="943"/>
      <c r="C565" s="943"/>
      <c r="D565" s="943"/>
      <c r="E565" s="943"/>
      <c r="F565" s="943"/>
      <c r="G565" s="943"/>
      <c r="H565" s="943"/>
      <c r="I565" s="943"/>
      <c r="J565" s="943"/>
      <c r="K565" s="943"/>
      <c r="L565" s="943"/>
      <c r="M565" s="943"/>
      <c r="N565" s="943"/>
      <c r="O565" s="943"/>
      <c r="P565" s="943"/>
      <c r="Q565" s="943"/>
      <c r="R565" s="943"/>
      <c r="S565" s="943"/>
      <c r="T565" s="943"/>
      <c r="U565" s="943"/>
      <c r="V565" s="943"/>
      <c r="W565" s="943"/>
      <c r="X565" s="943"/>
      <c r="Y565" s="943"/>
      <c r="Z565" s="943"/>
      <c r="AA565" s="943"/>
      <c r="AB565" s="943"/>
      <c r="AC565" s="943"/>
      <c r="AD565" s="943"/>
      <c r="AE565" s="943"/>
    </row>
    <row r="566" spans="1:31" ht="15.75" customHeight="1">
      <c r="A566" s="943"/>
      <c r="B566" s="943"/>
      <c r="C566" s="943"/>
      <c r="D566" s="943"/>
      <c r="E566" s="943"/>
      <c r="F566" s="943"/>
      <c r="G566" s="943"/>
      <c r="H566" s="943"/>
      <c r="I566" s="943"/>
      <c r="J566" s="943"/>
      <c r="K566" s="943"/>
      <c r="L566" s="943"/>
      <c r="M566" s="943"/>
      <c r="N566" s="943"/>
      <c r="O566" s="943"/>
      <c r="P566" s="943"/>
      <c r="Q566" s="943"/>
      <c r="R566" s="943"/>
      <c r="S566" s="943"/>
      <c r="T566" s="943"/>
      <c r="U566" s="943"/>
      <c r="V566" s="943"/>
      <c r="W566" s="943"/>
      <c r="X566" s="943"/>
      <c r="Y566" s="943"/>
      <c r="Z566" s="943"/>
      <c r="AA566" s="943"/>
      <c r="AB566" s="943"/>
      <c r="AC566" s="943"/>
      <c r="AD566" s="943"/>
      <c r="AE566" s="943"/>
    </row>
    <row r="567" spans="1:31" ht="15.75" customHeight="1">
      <c r="A567" s="943"/>
      <c r="B567" s="943"/>
      <c r="C567" s="943"/>
      <c r="D567" s="943"/>
      <c r="E567" s="943"/>
      <c r="F567" s="943"/>
      <c r="G567" s="943"/>
      <c r="H567" s="943"/>
      <c r="I567" s="943"/>
      <c r="J567" s="943"/>
      <c r="K567" s="943"/>
      <c r="L567" s="943"/>
      <c r="M567" s="943"/>
      <c r="N567" s="943"/>
      <c r="O567" s="943"/>
      <c r="P567" s="943"/>
      <c r="Q567" s="943"/>
      <c r="R567" s="943"/>
      <c r="S567" s="943"/>
      <c r="T567" s="943"/>
      <c r="U567" s="943"/>
      <c r="V567" s="943"/>
      <c r="W567" s="943"/>
      <c r="X567" s="943"/>
      <c r="Y567" s="943"/>
      <c r="Z567" s="943"/>
      <c r="AA567" s="943"/>
      <c r="AB567" s="943"/>
      <c r="AC567" s="943"/>
      <c r="AD567" s="943"/>
      <c r="AE567" s="943"/>
    </row>
    <row r="568" spans="1:31" ht="15.75" customHeight="1">
      <c r="A568" s="943"/>
      <c r="B568" s="943"/>
      <c r="C568" s="943"/>
      <c r="D568" s="943"/>
      <c r="E568" s="943"/>
      <c r="F568" s="943"/>
      <c r="G568" s="943"/>
      <c r="H568" s="943"/>
      <c r="I568" s="943"/>
      <c r="J568" s="943"/>
      <c r="K568" s="943"/>
      <c r="L568" s="943"/>
      <c r="M568" s="943"/>
      <c r="N568" s="943"/>
      <c r="O568" s="943"/>
      <c r="P568" s="943"/>
      <c r="Q568" s="943"/>
      <c r="R568" s="943"/>
      <c r="S568" s="943"/>
      <c r="T568" s="943"/>
      <c r="U568" s="943"/>
      <c r="V568" s="943"/>
      <c r="W568" s="943"/>
      <c r="X568" s="943"/>
      <c r="Y568" s="943"/>
      <c r="Z568" s="943"/>
      <c r="AA568" s="943"/>
      <c r="AB568" s="943"/>
      <c r="AC568" s="943"/>
      <c r="AD568" s="943"/>
      <c r="AE568" s="943"/>
    </row>
    <row r="569" spans="1:31" ht="15.75" customHeight="1">
      <c r="A569" s="943"/>
      <c r="B569" s="943"/>
      <c r="C569" s="943"/>
      <c r="D569" s="943"/>
      <c r="E569" s="943"/>
      <c r="F569" s="943"/>
      <c r="G569" s="943"/>
      <c r="H569" s="943"/>
      <c r="I569" s="943"/>
      <c r="J569" s="943"/>
      <c r="K569" s="943"/>
      <c r="L569" s="943"/>
      <c r="M569" s="943"/>
      <c r="N569" s="943"/>
      <c r="O569" s="943"/>
      <c r="P569" s="943"/>
      <c r="Q569" s="943"/>
      <c r="R569" s="943"/>
      <c r="S569" s="943"/>
      <c r="T569" s="943"/>
      <c r="U569" s="943"/>
      <c r="V569" s="943"/>
      <c r="W569" s="943"/>
      <c r="X569" s="943"/>
      <c r="Y569" s="943"/>
      <c r="Z569" s="943"/>
      <c r="AA569" s="943"/>
      <c r="AB569" s="943"/>
      <c r="AC569" s="943"/>
      <c r="AD569" s="943"/>
      <c r="AE569" s="943"/>
    </row>
    <row r="570" spans="1:31" ht="15.75" customHeight="1">
      <c r="A570" s="943"/>
      <c r="B570" s="943"/>
      <c r="C570" s="943"/>
      <c r="D570" s="943"/>
      <c r="E570" s="943"/>
      <c r="F570" s="943"/>
      <c r="G570" s="943"/>
      <c r="H570" s="943"/>
      <c r="I570" s="943"/>
      <c r="J570" s="943"/>
      <c r="K570" s="943"/>
      <c r="L570" s="943"/>
      <c r="M570" s="943"/>
      <c r="N570" s="943"/>
      <c r="O570" s="943"/>
      <c r="P570" s="943"/>
      <c r="Q570" s="943"/>
      <c r="R570" s="943"/>
      <c r="S570" s="943"/>
      <c r="T570" s="943"/>
      <c r="U570" s="943"/>
      <c r="V570" s="943"/>
      <c r="W570" s="943"/>
      <c r="X570" s="943"/>
      <c r="Y570" s="943"/>
      <c r="Z570" s="943"/>
      <c r="AA570" s="943"/>
      <c r="AB570" s="943"/>
      <c r="AC570" s="943"/>
      <c r="AD570" s="943"/>
      <c r="AE570" s="943"/>
    </row>
    <row r="571" spans="1:31" ht="15.75" customHeight="1">
      <c r="A571" s="943"/>
      <c r="B571" s="943"/>
      <c r="C571" s="943"/>
      <c r="D571" s="943"/>
      <c r="E571" s="943"/>
      <c r="F571" s="943"/>
      <c r="G571" s="943"/>
      <c r="H571" s="943"/>
      <c r="I571" s="943"/>
      <c r="J571" s="943"/>
      <c r="K571" s="943"/>
      <c r="L571" s="943"/>
      <c r="M571" s="943"/>
      <c r="N571" s="943"/>
      <c r="O571" s="943"/>
      <c r="P571" s="943"/>
      <c r="Q571" s="943"/>
      <c r="R571" s="943"/>
      <c r="S571" s="943"/>
      <c r="T571" s="943"/>
      <c r="U571" s="943"/>
      <c r="V571" s="943"/>
      <c r="W571" s="943"/>
      <c r="X571" s="943"/>
      <c r="Y571" s="943"/>
      <c r="Z571" s="943"/>
      <c r="AA571" s="943"/>
      <c r="AB571" s="943"/>
      <c r="AC571" s="943"/>
      <c r="AD571" s="943"/>
      <c r="AE571" s="943"/>
    </row>
    <row r="572" spans="1:31" ht="15.75" customHeight="1">
      <c r="A572" s="943"/>
      <c r="B572" s="943"/>
      <c r="C572" s="943"/>
      <c r="D572" s="943"/>
      <c r="E572" s="943"/>
      <c r="F572" s="943"/>
      <c r="G572" s="943"/>
      <c r="H572" s="943"/>
      <c r="I572" s="943"/>
      <c r="J572" s="943"/>
      <c r="K572" s="943"/>
      <c r="L572" s="943"/>
      <c r="M572" s="943"/>
      <c r="N572" s="943"/>
      <c r="O572" s="943"/>
      <c r="P572" s="943"/>
      <c r="Q572" s="943"/>
      <c r="R572" s="943"/>
      <c r="S572" s="943"/>
      <c r="T572" s="943"/>
      <c r="U572" s="943"/>
      <c r="V572" s="943"/>
      <c r="W572" s="943"/>
      <c r="X572" s="943"/>
      <c r="Y572" s="943"/>
      <c r="Z572" s="943"/>
      <c r="AA572" s="943"/>
      <c r="AB572" s="943"/>
      <c r="AC572" s="943"/>
      <c r="AD572" s="943"/>
      <c r="AE572" s="943"/>
    </row>
    <row r="573" spans="1:31" ht="15.75" customHeight="1">
      <c r="A573" s="943"/>
      <c r="B573" s="943"/>
      <c r="C573" s="943"/>
      <c r="D573" s="943"/>
      <c r="E573" s="943"/>
      <c r="F573" s="943"/>
      <c r="G573" s="943"/>
      <c r="H573" s="943"/>
      <c r="I573" s="943"/>
      <c r="J573" s="943"/>
      <c r="K573" s="943"/>
      <c r="L573" s="943"/>
      <c r="M573" s="943"/>
      <c r="N573" s="943"/>
      <c r="O573" s="943"/>
      <c r="P573" s="943"/>
      <c r="Q573" s="943"/>
      <c r="R573" s="943"/>
      <c r="S573" s="943"/>
      <c r="T573" s="943"/>
      <c r="U573" s="943"/>
      <c r="V573" s="943"/>
      <c r="W573" s="943"/>
      <c r="X573" s="943"/>
      <c r="Y573" s="943"/>
      <c r="Z573" s="943"/>
      <c r="AA573" s="943"/>
      <c r="AB573" s="943"/>
      <c r="AC573" s="943"/>
      <c r="AD573" s="943"/>
      <c r="AE573" s="943"/>
    </row>
    <row r="574" spans="1:31" ht="15.75" customHeight="1">
      <c r="A574" s="943"/>
      <c r="B574" s="943"/>
      <c r="C574" s="943"/>
      <c r="D574" s="943"/>
      <c r="E574" s="943"/>
      <c r="F574" s="943"/>
      <c r="G574" s="943"/>
      <c r="H574" s="943"/>
      <c r="I574" s="943"/>
      <c r="J574" s="943"/>
      <c r="K574" s="943"/>
      <c r="L574" s="943"/>
      <c r="M574" s="943"/>
      <c r="N574" s="943"/>
      <c r="O574" s="943"/>
      <c r="P574" s="943"/>
      <c r="Q574" s="943"/>
      <c r="R574" s="943"/>
      <c r="S574" s="943"/>
      <c r="T574" s="943"/>
      <c r="U574" s="943"/>
      <c r="V574" s="943"/>
      <c r="W574" s="943"/>
      <c r="X574" s="943"/>
      <c r="Y574" s="943"/>
      <c r="Z574" s="943"/>
      <c r="AA574" s="943"/>
      <c r="AB574" s="943"/>
      <c r="AC574" s="943"/>
      <c r="AD574" s="943"/>
      <c r="AE574" s="943"/>
    </row>
    <row r="575" spans="1:31" ht="15.75" customHeight="1">
      <c r="A575" s="943"/>
      <c r="B575" s="943"/>
      <c r="C575" s="943"/>
      <c r="D575" s="943"/>
      <c r="E575" s="943"/>
      <c r="F575" s="943"/>
      <c r="G575" s="943"/>
      <c r="H575" s="943"/>
      <c r="I575" s="943"/>
      <c r="J575" s="943"/>
      <c r="K575" s="943"/>
      <c r="L575" s="943"/>
      <c r="M575" s="943"/>
      <c r="N575" s="943"/>
      <c r="O575" s="943"/>
      <c r="P575" s="943"/>
      <c r="Q575" s="943"/>
      <c r="R575" s="943"/>
      <c r="S575" s="943"/>
      <c r="T575" s="943"/>
      <c r="U575" s="943"/>
      <c r="V575" s="943"/>
      <c r="W575" s="943"/>
      <c r="X575" s="943"/>
      <c r="Y575" s="943"/>
      <c r="Z575" s="943"/>
      <c r="AA575" s="943"/>
      <c r="AB575" s="943"/>
      <c r="AC575" s="943"/>
      <c r="AD575" s="943"/>
      <c r="AE575" s="943"/>
    </row>
    <row r="576" spans="1:31" ht="15.75" customHeight="1">
      <c r="A576" s="943"/>
      <c r="B576" s="943"/>
      <c r="C576" s="943"/>
      <c r="D576" s="943"/>
      <c r="E576" s="943"/>
      <c r="F576" s="943"/>
      <c r="G576" s="943"/>
      <c r="H576" s="943"/>
      <c r="I576" s="943"/>
      <c r="J576" s="943"/>
      <c r="K576" s="943"/>
      <c r="L576" s="943"/>
      <c r="M576" s="943"/>
      <c r="N576" s="943"/>
      <c r="O576" s="943"/>
      <c r="P576" s="943"/>
      <c r="Q576" s="943"/>
      <c r="R576" s="943"/>
      <c r="S576" s="943"/>
      <c r="T576" s="943"/>
      <c r="U576" s="943"/>
      <c r="V576" s="943"/>
      <c r="W576" s="943"/>
      <c r="X576" s="943"/>
      <c r="Y576" s="943"/>
      <c r="Z576" s="943"/>
      <c r="AA576" s="943"/>
      <c r="AB576" s="943"/>
      <c r="AC576" s="943"/>
      <c r="AD576" s="943"/>
      <c r="AE576" s="943"/>
    </row>
    <row r="577" spans="1:31" ht="15.75" customHeight="1">
      <c r="A577" s="943"/>
      <c r="B577" s="943"/>
      <c r="C577" s="943"/>
      <c r="D577" s="943"/>
      <c r="E577" s="943"/>
      <c r="F577" s="943"/>
      <c r="G577" s="943"/>
      <c r="H577" s="943"/>
      <c r="I577" s="943"/>
      <c r="J577" s="943"/>
      <c r="K577" s="943"/>
      <c r="L577" s="943"/>
      <c r="M577" s="943"/>
      <c r="N577" s="943"/>
      <c r="O577" s="943"/>
      <c r="P577" s="943"/>
      <c r="Q577" s="943"/>
      <c r="R577" s="943"/>
      <c r="S577" s="943"/>
      <c r="T577" s="943"/>
      <c r="U577" s="943"/>
      <c r="V577" s="943"/>
      <c r="W577" s="943"/>
      <c r="X577" s="943"/>
      <c r="Y577" s="943"/>
      <c r="Z577" s="943"/>
      <c r="AA577" s="943"/>
      <c r="AB577" s="943"/>
      <c r="AC577" s="943"/>
      <c r="AD577" s="943"/>
      <c r="AE577" s="943"/>
    </row>
    <row r="578" spans="1:31" ht="15.75" customHeight="1">
      <c r="A578" s="943"/>
      <c r="B578" s="943"/>
      <c r="C578" s="943"/>
      <c r="D578" s="943"/>
      <c r="E578" s="943"/>
      <c r="F578" s="943"/>
      <c r="G578" s="943"/>
      <c r="H578" s="943"/>
      <c r="I578" s="943"/>
      <c r="J578" s="943"/>
      <c r="K578" s="943"/>
      <c r="L578" s="943"/>
      <c r="M578" s="943"/>
      <c r="N578" s="943"/>
      <c r="O578" s="943"/>
      <c r="P578" s="943"/>
      <c r="Q578" s="943"/>
      <c r="R578" s="943"/>
      <c r="S578" s="943"/>
      <c r="T578" s="943"/>
      <c r="U578" s="943"/>
      <c r="V578" s="943"/>
      <c r="W578" s="943"/>
      <c r="X578" s="943"/>
      <c r="Y578" s="943"/>
      <c r="Z578" s="943"/>
      <c r="AA578" s="943"/>
      <c r="AB578" s="943"/>
      <c r="AC578" s="943"/>
      <c r="AD578" s="943"/>
      <c r="AE578" s="943"/>
    </row>
    <row r="579" spans="1:31" ht="15.75" customHeight="1">
      <c r="A579" s="943"/>
      <c r="B579" s="943"/>
      <c r="C579" s="943"/>
      <c r="D579" s="943"/>
      <c r="E579" s="943"/>
      <c r="F579" s="943"/>
      <c r="G579" s="943"/>
      <c r="H579" s="943"/>
      <c r="I579" s="943"/>
      <c r="J579" s="943"/>
      <c r="K579" s="943"/>
      <c r="L579" s="943"/>
      <c r="M579" s="943"/>
      <c r="N579" s="943"/>
      <c r="O579" s="943"/>
      <c r="P579" s="943"/>
      <c r="Q579" s="943"/>
      <c r="R579" s="943"/>
      <c r="S579" s="943"/>
      <c r="T579" s="943"/>
      <c r="U579" s="943"/>
      <c r="V579" s="943"/>
      <c r="W579" s="943"/>
      <c r="X579" s="943"/>
      <c r="Y579" s="943"/>
      <c r="Z579" s="943"/>
      <c r="AA579" s="943"/>
      <c r="AB579" s="943"/>
      <c r="AC579" s="943"/>
      <c r="AD579" s="943"/>
      <c r="AE579" s="943"/>
    </row>
    <row r="580" spans="1:31" ht="15.75" customHeight="1">
      <c r="A580" s="943"/>
      <c r="B580" s="943"/>
      <c r="C580" s="943"/>
      <c r="D580" s="943"/>
      <c r="E580" s="943"/>
      <c r="F580" s="943"/>
      <c r="G580" s="943"/>
      <c r="H580" s="943"/>
      <c r="I580" s="943"/>
      <c r="J580" s="943"/>
      <c r="K580" s="943"/>
      <c r="L580" s="943"/>
      <c r="M580" s="943"/>
      <c r="N580" s="943"/>
      <c r="O580" s="943"/>
      <c r="P580" s="943"/>
      <c r="Q580" s="943"/>
      <c r="R580" s="943"/>
      <c r="S580" s="943"/>
      <c r="T580" s="943"/>
      <c r="U580" s="943"/>
      <c r="V580" s="943"/>
      <c r="W580" s="943"/>
      <c r="X580" s="943"/>
      <c r="Y580" s="943"/>
      <c r="Z580" s="943"/>
      <c r="AA580" s="943"/>
      <c r="AB580" s="943"/>
      <c r="AC580" s="943"/>
      <c r="AD580" s="943"/>
      <c r="AE580" s="943"/>
    </row>
    <row r="581" spans="1:31" ht="15.75" customHeight="1">
      <c r="A581" s="943"/>
      <c r="B581" s="943"/>
      <c r="C581" s="943"/>
      <c r="D581" s="943"/>
      <c r="E581" s="943"/>
      <c r="F581" s="943"/>
      <c r="G581" s="943"/>
      <c r="H581" s="943"/>
      <c r="I581" s="943"/>
      <c r="J581" s="943"/>
      <c r="K581" s="943"/>
      <c r="L581" s="943"/>
      <c r="M581" s="943"/>
      <c r="N581" s="943"/>
      <c r="O581" s="943"/>
      <c r="P581" s="943"/>
      <c r="Q581" s="943"/>
      <c r="R581" s="943"/>
      <c r="S581" s="943"/>
      <c r="T581" s="943"/>
      <c r="U581" s="943"/>
      <c r="V581" s="943"/>
      <c r="W581" s="943"/>
      <c r="X581" s="943"/>
      <c r="Y581" s="943"/>
      <c r="Z581" s="943"/>
      <c r="AA581" s="943"/>
      <c r="AB581" s="943"/>
      <c r="AC581" s="943"/>
      <c r="AD581" s="943"/>
      <c r="AE581" s="943"/>
    </row>
    <row r="582" spans="1:31" ht="15.75" customHeight="1">
      <c r="A582" s="943"/>
      <c r="B582" s="943"/>
      <c r="C582" s="943"/>
      <c r="D582" s="943"/>
      <c r="E582" s="943"/>
      <c r="F582" s="943"/>
      <c r="G582" s="943"/>
      <c r="H582" s="943"/>
      <c r="I582" s="943"/>
      <c r="J582" s="943"/>
      <c r="K582" s="943"/>
      <c r="L582" s="943"/>
      <c r="M582" s="943"/>
      <c r="N582" s="943"/>
      <c r="O582" s="943"/>
      <c r="P582" s="943"/>
      <c r="Q582" s="943"/>
      <c r="R582" s="943"/>
      <c r="S582" s="943"/>
      <c r="T582" s="943"/>
      <c r="U582" s="943"/>
      <c r="V582" s="943"/>
      <c r="W582" s="943"/>
      <c r="X582" s="943"/>
      <c r="Y582" s="943"/>
      <c r="Z582" s="943"/>
      <c r="AA582" s="943"/>
      <c r="AB582" s="943"/>
      <c r="AC582" s="943"/>
      <c r="AD582" s="943"/>
      <c r="AE582" s="943"/>
    </row>
    <row r="583" spans="1:31" ht="15.75" customHeight="1">
      <c r="A583" s="943"/>
      <c r="B583" s="943"/>
      <c r="C583" s="943"/>
      <c r="D583" s="943"/>
      <c r="E583" s="943"/>
      <c r="F583" s="943"/>
      <c r="G583" s="943"/>
      <c r="H583" s="943"/>
      <c r="I583" s="943"/>
      <c r="J583" s="943"/>
      <c r="K583" s="943"/>
      <c r="L583" s="943"/>
      <c r="M583" s="943"/>
      <c r="N583" s="943"/>
      <c r="O583" s="943"/>
      <c r="P583" s="943"/>
      <c r="Q583" s="943"/>
      <c r="R583" s="943"/>
      <c r="S583" s="943"/>
      <c r="T583" s="943"/>
      <c r="U583" s="943"/>
      <c r="V583" s="943"/>
      <c r="W583" s="943"/>
      <c r="X583" s="943"/>
      <c r="Y583" s="943"/>
      <c r="Z583" s="943"/>
      <c r="AA583" s="943"/>
      <c r="AB583" s="943"/>
      <c r="AC583" s="943"/>
      <c r="AD583" s="943"/>
      <c r="AE583" s="943"/>
    </row>
    <row r="584" spans="1:31" ht="15.75" customHeight="1">
      <c r="A584" s="943"/>
      <c r="B584" s="943"/>
      <c r="C584" s="943"/>
      <c r="D584" s="943"/>
      <c r="E584" s="943"/>
      <c r="F584" s="943"/>
      <c r="G584" s="943"/>
      <c r="H584" s="943"/>
      <c r="I584" s="943"/>
      <c r="J584" s="943"/>
      <c r="K584" s="943"/>
      <c r="L584" s="943"/>
      <c r="M584" s="943"/>
      <c r="N584" s="943"/>
      <c r="O584" s="943"/>
      <c r="P584" s="943"/>
      <c r="Q584" s="943"/>
      <c r="R584" s="943"/>
      <c r="S584" s="943"/>
      <c r="T584" s="943"/>
      <c r="U584" s="943"/>
      <c r="V584" s="943"/>
      <c r="W584" s="943"/>
      <c r="X584" s="943"/>
      <c r="Y584" s="943"/>
      <c r="Z584" s="943"/>
      <c r="AA584" s="943"/>
      <c r="AB584" s="943"/>
      <c r="AC584" s="943"/>
      <c r="AD584" s="943"/>
      <c r="AE584" s="943"/>
    </row>
    <row r="585" spans="1:31" ht="15.75" customHeight="1">
      <c r="A585" s="943"/>
      <c r="B585" s="943"/>
      <c r="C585" s="943"/>
      <c r="D585" s="943"/>
      <c r="E585" s="943"/>
      <c r="F585" s="943"/>
      <c r="G585" s="943"/>
      <c r="H585" s="943"/>
      <c r="I585" s="943"/>
      <c r="J585" s="943"/>
      <c r="K585" s="943"/>
      <c r="L585" s="943"/>
      <c r="M585" s="943"/>
      <c r="N585" s="943"/>
      <c r="O585" s="943"/>
      <c r="P585" s="943"/>
      <c r="Q585" s="943"/>
      <c r="R585" s="943"/>
      <c r="S585" s="943"/>
      <c r="T585" s="943"/>
      <c r="U585" s="943"/>
      <c r="V585" s="943"/>
      <c r="W585" s="943"/>
      <c r="X585" s="943"/>
      <c r="Y585" s="943"/>
      <c r="Z585" s="943"/>
      <c r="AA585" s="943"/>
      <c r="AB585" s="943"/>
      <c r="AC585" s="943"/>
      <c r="AD585" s="943"/>
      <c r="AE585" s="943"/>
    </row>
    <row r="586" spans="1:31" ht="15.75" customHeight="1">
      <c r="A586" s="943"/>
      <c r="B586" s="943"/>
      <c r="C586" s="943"/>
      <c r="D586" s="943"/>
      <c r="E586" s="943"/>
      <c r="F586" s="943"/>
      <c r="G586" s="943"/>
      <c r="H586" s="943"/>
      <c r="I586" s="943"/>
      <c r="J586" s="943"/>
      <c r="K586" s="943"/>
      <c r="L586" s="943"/>
      <c r="M586" s="943"/>
      <c r="N586" s="943"/>
      <c r="O586" s="943"/>
      <c r="P586" s="943"/>
      <c r="Q586" s="943"/>
      <c r="R586" s="943"/>
      <c r="S586" s="943"/>
      <c r="T586" s="943"/>
      <c r="U586" s="943"/>
      <c r="V586" s="943"/>
      <c r="W586" s="943"/>
      <c r="X586" s="943"/>
      <c r="Y586" s="943"/>
      <c r="Z586" s="943"/>
      <c r="AA586" s="943"/>
      <c r="AB586" s="943"/>
      <c r="AC586" s="943"/>
      <c r="AD586" s="943"/>
      <c r="AE586" s="943"/>
    </row>
    <row r="587" spans="1:31" ht="15.75" customHeight="1">
      <c r="A587" s="943"/>
      <c r="B587" s="943"/>
      <c r="C587" s="943"/>
      <c r="D587" s="943"/>
      <c r="E587" s="943"/>
      <c r="F587" s="943"/>
      <c r="G587" s="943"/>
      <c r="H587" s="943"/>
      <c r="I587" s="943"/>
      <c r="J587" s="943"/>
      <c r="K587" s="943"/>
      <c r="L587" s="943"/>
      <c r="M587" s="943"/>
      <c r="N587" s="943"/>
      <c r="O587" s="943"/>
      <c r="P587" s="943"/>
      <c r="Q587" s="943"/>
      <c r="R587" s="943"/>
      <c r="S587" s="943"/>
      <c r="T587" s="943"/>
      <c r="U587" s="943"/>
      <c r="V587" s="943"/>
      <c r="W587" s="943"/>
      <c r="X587" s="943"/>
      <c r="Y587" s="943"/>
      <c r="Z587" s="943"/>
      <c r="AA587" s="943"/>
      <c r="AB587" s="943"/>
      <c r="AC587" s="943"/>
      <c r="AD587" s="943"/>
      <c r="AE587" s="943"/>
    </row>
    <row r="588" spans="1:31" ht="15.75" customHeight="1">
      <c r="A588" s="943"/>
      <c r="B588" s="943"/>
      <c r="C588" s="943"/>
      <c r="D588" s="943"/>
      <c r="E588" s="943"/>
      <c r="F588" s="943"/>
      <c r="G588" s="943"/>
      <c r="H588" s="943"/>
      <c r="I588" s="943"/>
      <c r="J588" s="943"/>
      <c r="K588" s="943"/>
      <c r="L588" s="943"/>
      <c r="M588" s="943"/>
      <c r="N588" s="943"/>
      <c r="O588" s="943"/>
      <c r="P588" s="943"/>
      <c r="Q588" s="943"/>
      <c r="R588" s="943"/>
      <c r="S588" s="943"/>
      <c r="T588" s="943"/>
      <c r="U588" s="943"/>
      <c r="V588" s="943"/>
      <c r="W588" s="943"/>
      <c r="X588" s="943"/>
      <c r="Y588" s="943"/>
      <c r="Z588" s="943"/>
      <c r="AA588" s="943"/>
      <c r="AB588" s="943"/>
      <c r="AC588" s="943"/>
      <c r="AD588" s="943"/>
      <c r="AE588" s="943"/>
    </row>
    <row r="589" spans="1:31" ht="15.75" customHeight="1">
      <c r="A589" s="943"/>
      <c r="B589" s="943"/>
      <c r="C589" s="943"/>
      <c r="D589" s="943"/>
      <c r="E589" s="943"/>
      <c r="F589" s="943"/>
      <c r="G589" s="943"/>
      <c r="H589" s="943"/>
      <c r="I589" s="943"/>
      <c r="J589" s="943"/>
      <c r="K589" s="943"/>
      <c r="L589" s="943"/>
      <c r="M589" s="943"/>
      <c r="N589" s="943"/>
      <c r="O589" s="943"/>
      <c r="P589" s="943"/>
      <c r="Q589" s="943"/>
      <c r="R589" s="943"/>
      <c r="S589" s="943"/>
      <c r="T589" s="943"/>
      <c r="U589" s="943"/>
      <c r="V589" s="943"/>
      <c r="W589" s="943"/>
      <c r="X589" s="943"/>
      <c r="Y589" s="943"/>
      <c r="Z589" s="943"/>
      <c r="AA589" s="943"/>
      <c r="AB589" s="943"/>
      <c r="AC589" s="943"/>
      <c r="AD589" s="943"/>
      <c r="AE589" s="943"/>
    </row>
    <row r="590" spans="1:31" ht="15.75" customHeight="1">
      <c r="A590" s="943"/>
      <c r="B590" s="943"/>
      <c r="C590" s="943"/>
      <c r="D590" s="943"/>
      <c r="E590" s="943"/>
      <c r="F590" s="943"/>
      <c r="G590" s="943"/>
      <c r="H590" s="943"/>
      <c r="I590" s="943"/>
      <c r="J590" s="943"/>
      <c r="K590" s="943"/>
      <c r="L590" s="943"/>
      <c r="M590" s="943"/>
      <c r="N590" s="943"/>
      <c r="O590" s="943"/>
      <c r="P590" s="943"/>
      <c r="Q590" s="943"/>
      <c r="R590" s="943"/>
      <c r="S590" s="943"/>
      <c r="T590" s="943"/>
      <c r="U590" s="943"/>
      <c r="V590" s="943"/>
      <c r="W590" s="943"/>
      <c r="X590" s="943"/>
      <c r="Y590" s="943"/>
      <c r="Z590" s="943"/>
      <c r="AA590" s="943"/>
      <c r="AB590" s="943"/>
      <c r="AC590" s="943"/>
      <c r="AD590" s="943"/>
      <c r="AE590" s="943"/>
    </row>
    <row r="591" spans="1:31" ht="15.75" customHeight="1">
      <c r="A591" s="943"/>
      <c r="B591" s="943"/>
      <c r="C591" s="943"/>
      <c r="D591" s="943"/>
      <c r="E591" s="943"/>
      <c r="F591" s="943"/>
      <c r="G591" s="943"/>
      <c r="H591" s="943"/>
      <c r="I591" s="943"/>
      <c r="J591" s="943"/>
      <c r="K591" s="943"/>
      <c r="L591" s="943"/>
      <c r="M591" s="943"/>
      <c r="N591" s="943"/>
      <c r="O591" s="943"/>
      <c r="P591" s="943"/>
      <c r="Q591" s="943"/>
      <c r="R591" s="943"/>
      <c r="S591" s="943"/>
      <c r="T591" s="943"/>
      <c r="U591" s="943"/>
      <c r="V591" s="943"/>
      <c r="W591" s="943"/>
      <c r="X591" s="943"/>
      <c r="Y591" s="943"/>
      <c r="Z591" s="943"/>
      <c r="AA591" s="943"/>
      <c r="AB591" s="943"/>
      <c r="AC591" s="943"/>
      <c r="AD591" s="943"/>
      <c r="AE591" s="943"/>
    </row>
    <row r="592" spans="1:31" ht="15.75" customHeight="1">
      <c r="A592" s="943"/>
      <c r="B592" s="943"/>
      <c r="C592" s="943"/>
      <c r="D592" s="943"/>
      <c r="E592" s="943"/>
      <c r="F592" s="943"/>
      <c r="G592" s="943"/>
      <c r="H592" s="943"/>
      <c r="I592" s="943"/>
      <c r="J592" s="943"/>
      <c r="K592" s="943"/>
      <c r="L592" s="943"/>
      <c r="M592" s="943"/>
      <c r="N592" s="943"/>
      <c r="O592" s="943"/>
      <c r="P592" s="943"/>
      <c r="Q592" s="943"/>
      <c r="R592" s="943"/>
      <c r="S592" s="943"/>
      <c r="T592" s="943"/>
      <c r="U592" s="943"/>
      <c r="V592" s="943"/>
      <c r="W592" s="943"/>
      <c r="X592" s="943"/>
      <c r="Y592" s="943"/>
      <c r="Z592" s="943"/>
      <c r="AA592" s="943"/>
      <c r="AB592" s="943"/>
      <c r="AC592" s="943"/>
      <c r="AD592" s="943"/>
      <c r="AE592" s="943"/>
    </row>
    <row r="593" spans="1:31" ht="15.75" customHeight="1">
      <c r="A593" s="943"/>
      <c r="B593" s="943"/>
      <c r="C593" s="943"/>
      <c r="D593" s="943"/>
      <c r="E593" s="943"/>
      <c r="F593" s="943"/>
      <c r="G593" s="943"/>
      <c r="H593" s="943"/>
      <c r="I593" s="943"/>
      <c r="J593" s="943"/>
      <c r="K593" s="943"/>
      <c r="L593" s="943"/>
      <c r="M593" s="943"/>
      <c r="N593" s="943"/>
      <c r="O593" s="943"/>
      <c r="P593" s="943"/>
      <c r="Q593" s="943"/>
      <c r="R593" s="943"/>
      <c r="S593" s="943"/>
      <c r="T593" s="943"/>
      <c r="U593" s="943"/>
      <c r="V593" s="943"/>
      <c r="W593" s="943"/>
      <c r="X593" s="943"/>
      <c r="Y593" s="943"/>
      <c r="Z593" s="943"/>
      <c r="AA593" s="943"/>
      <c r="AB593" s="943"/>
      <c r="AC593" s="943"/>
      <c r="AD593" s="943"/>
      <c r="AE593" s="943"/>
    </row>
    <row r="594" spans="1:31" ht="15.75" customHeight="1">
      <c r="A594" s="943"/>
      <c r="B594" s="943"/>
      <c r="C594" s="943"/>
      <c r="D594" s="943"/>
      <c r="E594" s="943"/>
      <c r="F594" s="943"/>
      <c r="G594" s="943"/>
      <c r="H594" s="943"/>
      <c r="I594" s="943"/>
      <c r="J594" s="943"/>
      <c r="K594" s="943"/>
      <c r="L594" s="943"/>
      <c r="M594" s="943"/>
      <c r="N594" s="943"/>
      <c r="O594" s="943"/>
      <c r="P594" s="943"/>
      <c r="Q594" s="943"/>
      <c r="R594" s="943"/>
      <c r="S594" s="943"/>
      <c r="T594" s="943"/>
      <c r="U594" s="943"/>
      <c r="V594" s="943"/>
      <c r="W594" s="943"/>
      <c r="X594" s="943"/>
      <c r="Y594" s="943"/>
      <c r="Z594" s="943"/>
      <c r="AA594" s="943"/>
      <c r="AB594" s="943"/>
      <c r="AC594" s="943"/>
      <c r="AD594" s="943"/>
      <c r="AE594" s="943"/>
    </row>
    <row r="595" spans="1:31" ht="15.75" customHeight="1">
      <c r="A595" s="943"/>
      <c r="B595" s="943"/>
      <c r="C595" s="943"/>
      <c r="D595" s="943"/>
      <c r="E595" s="943"/>
      <c r="F595" s="943"/>
      <c r="G595" s="943"/>
      <c r="H595" s="943"/>
      <c r="I595" s="943"/>
      <c r="J595" s="943"/>
      <c r="K595" s="943"/>
      <c r="L595" s="943"/>
      <c r="M595" s="943"/>
      <c r="N595" s="943"/>
      <c r="O595" s="943"/>
      <c r="P595" s="943"/>
      <c r="Q595" s="943"/>
      <c r="R595" s="943"/>
      <c r="S595" s="943"/>
      <c r="T595" s="943"/>
      <c r="U595" s="943"/>
      <c r="V595" s="943"/>
      <c r="W595" s="943"/>
      <c r="X595" s="943"/>
      <c r="Y595" s="943"/>
      <c r="Z595" s="943"/>
      <c r="AA595" s="943"/>
      <c r="AB595" s="943"/>
      <c r="AC595" s="943"/>
      <c r="AD595" s="943"/>
      <c r="AE595" s="943"/>
    </row>
    <row r="596" spans="1:31" ht="15.75" customHeight="1">
      <c r="A596" s="943"/>
      <c r="B596" s="943"/>
      <c r="C596" s="943"/>
      <c r="D596" s="943"/>
      <c r="E596" s="943"/>
      <c r="F596" s="943"/>
      <c r="G596" s="943"/>
      <c r="H596" s="943"/>
      <c r="I596" s="943"/>
      <c r="J596" s="943"/>
      <c r="K596" s="943"/>
      <c r="L596" s="943"/>
      <c r="M596" s="943"/>
      <c r="N596" s="943"/>
      <c r="O596" s="943"/>
      <c r="P596" s="943"/>
      <c r="Q596" s="943"/>
      <c r="R596" s="943"/>
      <c r="S596" s="943"/>
      <c r="T596" s="943"/>
      <c r="U596" s="943"/>
      <c r="V596" s="943"/>
      <c r="W596" s="943"/>
      <c r="X596" s="943"/>
      <c r="Y596" s="943"/>
      <c r="Z596" s="943"/>
      <c r="AA596" s="943"/>
      <c r="AB596" s="943"/>
      <c r="AC596" s="943"/>
      <c r="AD596" s="943"/>
      <c r="AE596" s="943"/>
    </row>
    <row r="597" spans="1:31" ht="15.75" customHeight="1">
      <c r="A597" s="943"/>
      <c r="B597" s="943"/>
      <c r="C597" s="943"/>
      <c r="D597" s="943"/>
      <c r="E597" s="943"/>
      <c r="F597" s="943"/>
      <c r="G597" s="943"/>
      <c r="H597" s="943"/>
      <c r="I597" s="943"/>
      <c r="J597" s="943"/>
      <c r="K597" s="943"/>
      <c r="L597" s="943"/>
      <c r="M597" s="943"/>
      <c r="N597" s="943"/>
      <c r="O597" s="943"/>
      <c r="P597" s="943"/>
      <c r="Q597" s="943"/>
      <c r="R597" s="943"/>
      <c r="S597" s="943"/>
      <c r="T597" s="943"/>
      <c r="U597" s="943"/>
      <c r="V597" s="943"/>
      <c r="W597" s="943"/>
      <c r="X597" s="943"/>
      <c r="Y597" s="943"/>
      <c r="Z597" s="943"/>
      <c r="AA597" s="943"/>
      <c r="AB597" s="943"/>
      <c r="AC597" s="943"/>
      <c r="AD597" s="943"/>
      <c r="AE597" s="943"/>
    </row>
    <row r="598" spans="1:31" ht="15.75" customHeight="1">
      <c r="A598" s="943"/>
      <c r="B598" s="943"/>
      <c r="C598" s="943"/>
      <c r="D598" s="943"/>
      <c r="E598" s="943"/>
      <c r="F598" s="943"/>
      <c r="G598" s="943"/>
      <c r="H598" s="943"/>
      <c r="I598" s="943"/>
      <c r="J598" s="943"/>
      <c r="K598" s="943"/>
      <c r="L598" s="943"/>
      <c r="M598" s="943"/>
      <c r="N598" s="943"/>
      <c r="O598" s="943"/>
      <c r="P598" s="943"/>
      <c r="Q598" s="943"/>
      <c r="R598" s="943"/>
      <c r="S598" s="943"/>
      <c r="T598" s="943"/>
      <c r="U598" s="943"/>
      <c r="V598" s="943"/>
      <c r="W598" s="943"/>
      <c r="X598" s="943"/>
      <c r="Y598" s="943"/>
      <c r="Z598" s="943"/>
      <c r="AA598" s="943"/>
      <c r="AB598" s="943"/>
      <c r="AC598" s="943"/>
      <c r="AD598" s="943"/>
      <c r="AE598" s="943"/>
    </row>
    <row r="599" spans="1:31" ht="15.75" customHeight="1">
      <c r="A599" s="943"/>
      <c r="B599" s="943"/>
      <c r="C599" s="943"/>
      <c r="D599" s="943"/>
      <c r="E599" s="943"/>
      <c r="F599" s="943"/>
      <c r="G599" s="943"/>
      <c r="H599" s="943"/>
      <c r="I599" s="943"/>
      <c r="J599" s="943"/>
      <c r="K599" s="943"/>
      <c r="L599" s="943"/>
      <c r="M599" s="943"/>
      <c r="N599" s="943"/>
      <c r="O599" s="943"/>
      <c r="P599" s="943"/>
      <c r="Q599" s="943"/>
      <c r="R599" s="943"/>
      <c r="S599" s="943"/>
      <c r="T599" s="943"/>
      <c r="U599" s="943"/>
      <c r="V599" s="943"/>
      <c r="W599" s="943"/>
      <c r="X599" s="943"/>
      <c r="Y599" s="943"/>
      <c r="Z599" s="943"/>
      <c r="AA599" s="943"/>
      <c r="AB599" s="943"/>
      <c r="AC599" s="943"/>
      <c r="AD599" s="943"/>
      <c r="AE599" s="943"/>
    </row>
    <row r="600" spans="1:31" ht="15.75" customHeight="1">
      <c r="A600" s="943"/>
      <c r="B600" s="943"/>
      <c r="C600" s="943"/>
      <c r="D600" s="943"/>
      <c r="E600" s="943"/>
      <c r="F600" s="943"/>
      <c r="G600" s="943"/>
      <c r="H600" s="943"/>
      <c r="I600" s="943"/>
      <c r="J600" s="943"/>
      <c r="K600" s="943"/>
      <c r="L600" s="943"/>
      <c r="M600" s="943"/>
      <c r="N600" s="943"/>
      <c r="O600" s="943"/>
      <c r="P600" s="943"/>
      <c r="Q600" s="943"/>
      <c r="R600" s="943"/>
      <c r="S600" s="943"/>
      <c r="T600" s="943"/>
      <c r="U600" s="943"/>
      <c r="V600" s="943"/>
      <c r="W600" s="943"/>
      <c r="X600" s="943"/>
      <c r="Y600" s="943"/>
      <c r="Z600" s="943"/>
      <c r="AA600" s="943"/>
      <c r="AB600" s="943"/>
      <c r="AC600" s="943"/>
      <c r="AD600" s="943"/>
      <c r="AE600" s="943"/>
    </row>
    <row r="601" spans="1:31" ht="15.75" customHeight="1">
      <c r="A601" s="943"/>
      <c r="B601" s="943"/>
      <c r="C601" s="943"/>
      <c r="D601" s="943"/>
      <c r="E601" s="943"/>
      <c r="F601" s="943"/>
      <c r="G601" s="943"/>
      <c r="H601" s="943"/>
      <c r="I601" s="943"/>
      <c r="J601" s="943"/>
      <c r="K601" s="943"/>
      <c r="L601" s="943"/>
      <c r="M601" s="943"/>
      <c r="N601" s="943"/>
      <c r="O601" s="943"/>
      <c r="P601" s="943"/>
      <c r="Q601" s="943"/>
      <c r="R601" s="943"/>
      <c r="S601" s="943"/>
      <c r="T601" s="943"/>
      <c r="U601" s="943"/>
      <c r="V601" s="943"/>
      <c r="W601" s="943"/>
      <c r="X601" s="943"/>
      <c r="Y601" s="943"/>
      <c r="Z601" s="943"/>
      <c r="AA601" s="943"/>
      <c r="AB601" s="943"/>
      <c r="AC601" s="943"/>
      <c r="AD601" s="943"/>
      <c r="AE601" s="943"/>
    </row>
    <row r="602" spans="1:31" ht="15.75" customHeight="1">
      <c r="A602" s="943"/>
      <c r="B602" s="943"/>
      <c r="C602" s="943"/>
      <c r="D602" s="943"/>
      <c r="E602" s="943"/>
      <c r="F602" s="943"/>
      <c r="G602" s="943"/>
      <c r="H602" s="943"/>
      <c r="I602" s="943"/>
      <c r="J602" s="943"/>
      <c r="K602" s="943"/>
      <c r="L602" s="943"/>
      <c r="M602" s="943"/>
      <c r="N602" s="943"/>
      <c r="O602" s="943"/>
      <c r="P602" s="943"/>
      <c r="Q602" s="943"/>
      <c r="R602" s="943"/>
      <c r="S602" s="943"/>
      <c r="T602" s="943"/>
      <c r="U602" s="943"/>
      <c r="V602" s="943"/>
      <c r="W602" s="943"/>
      <c r="X602" s="943"/>
      <c r="Y602" s="943"/>
      <c r="Z602" s="943"/>
      <c r="AA602" s="943"/>
      <c r="AB602" s="943"/>
      <c r="AC602" s="943"/>
      <c r="AD602" s="943"/>
      <c r="AE602" s="943"/>
    </row>
    <row r="603" spans="1:31" ht="15.75" customHeight="1">
      <c r="A603" s="943"/>
      <c r="B603" s="943"/>
      <c r="C603" s="943"/>
      <c r="D603" s="943"/>
      <c r="E603" s="943"/>
      <c r="F603" s="943"/>
      <c r="G603" s="943"/>
      <c r="H603" s="943"/>
      <c r="I603" s="943"/>
      <c r="J603" s="943"/>
      <c r="K603" s="943"/>
      <c r="L603" s="943"/>
      <c r="M603" s="943"/>
      <c r="N603" s="943"/>
      <c r="O603" s="943"/>
      <c r="P603" s="943"/>
      <c r="Q603" s="943"/>
      <c r="R603" s="943"/>
      <c r="S603" s="943"/>
      <c r="T603" s="943"/>
      <c r="U603" s="943"/>
      <c r="V603" s="943"/>
      <c r="W603" s="943"/>
      <c r="X603" s="943"/>
      <c r="Y603" s="943"/>
      <c r="Z603" s="943"/>
      <c r="AA603" s="943"/>
      <c r="AB603" s="943"/>
      <c r="AC603" s="943"/>
      <c r="AD603" s="943"/>
      <c r="AE603" s="943"/>
    </row>
    <row r="604" spans="1:31" ht="15.75" customHeight="1">
      <c r="A604" s="943"/>
      <c r="B604" s="943"/>
      <c r="C604" s="943"/>
      <c r="D604" s="943"/>
      <c r="E604" s="943"/>
      <c r="F604" s="943"/>
      <c r="G604" s="943"/>
      <c r="H604" s="943"/>
      <c r="I604" s="943"/>
      <c r="J604" s="943"/>
      <c r="K604" s="943"/>
      <c r="L604" s="943"/>
      <c r="M604" s="943"/>
      <c r="N604" s="943"/>
      <c r="O604" s="943"/>
      <c r="P604" s="943"/>
      <c r="Q604" s="943"/>
      <c r="R604" s="943"/>
      <c r="S604" s="943"/>
      <c r="T604" s="943"/>
      <c r="U604" s="943"/>
      <c r="V604" s="943"/>
      <c r="W604" s="943"/>
      <c r="X604" s="943"/>
      <c r="Y604" s="943"/>
      <c r="Z604" s="943"/>
      <c r="AA604" s="943"/>
      <c r="AB604" s="943"/>
      <c r="AC604" s="943"/>
      <c r="AD604" s="943"/>
      <c r="AE604" s="943"/>
    </row>
    <row r="605" spans="1:31" ht="15.75" customHeight="1">
      <c r="A605" s="943"/>
      <c r="B605" s="943"/>
      <c r="C605" s="943"/>
      <c r="D605" s="943"/>
      <c r="E605" s="943"/>
      <c r="F605" s="943"/>
      <c r="G605" s="943"/>
      <c r="H605" s="943"/>
      <c r="I605" s="943"/>
      <c r="J605" s="943"/>
      <c r="K605" s="943"/>
      <c r="L605" s="943"/>
      <c r="M605" s="943"/>
      <c r="N605" s="943"/>
      <c r="O605" s="943"/>
      <c r="P605" s="943"/>
      <c r="Q605" s="943"/>
      <c r="R605" s="943"/>
      <c r="S605" s="943"/>
      <c r="T605" s="943"/>
      <c r="U605" s="943"/>
      <c r="V605" s="943"/>
      <c r="W605" s="943"/>
      <c r="X605" s="943"/>
      <c r="Y605" s="943"/>
      <c r="Z605" s="943"/>
      <c r="AA605" s="943"/>
      <c r="AB605" s="943"/>
      <c r="AC605" s="943"/>
      <c r="AD605" s="943"/>
      <c r="AE605" s="943"/>
    </row>
    <row r="606" spans="1:31" ht="15.75" customHeight="1">
      <c r="A606" s="943"/>
      <c r="B606" s="943"/>
      <c r="C606" s="943"/>
      <c r="D606" s="943"/>
      <c r="E606" s="943"/>
      <c r="F606" s="943"/>
      <c r="G606" s="943"/>
      <c r="H606" s="943"/>
      <c r="I606" s="943"/>
      <c r="J606" s="943"/>
      <c r="K606" s="943"/>
      <c r="L606" s="943"/>
      <c r="M606" s="943"/>
      <c r="N606" s="943"/>
      <c r="O606" s="943"/>
      <c r="P606" s="943"/>
      <c r="Q606" s="943"/>
      <c r="R606" s="943"/>
      <c r="S606" s="943"/>
      <c r="T606" s="943"/>
      <c r="U606" s="943"/>
      <c r="V606" s="943"/>
      <c r="W606" s="943"/>
      <c r="X606" s="943"/>
      <c r="Y606" s="943"/>
      <c r="Z606" s="943"/>
      <c r="AA606" s="943"/>
      <c r="AB606" s="943"/>
      <c r="AC606" s="943"/>
      <c r="AD606" s="943"/>
      <c r="AE606" s="943"/>
    </row>
    <row r="607" spans="1:31" ht="15.75" customHeight="1">
      <c r="A607" s="943"/>
      <c r="B607" s="943"/>
      <c r="C607" s="943"/>
      <c r="D607" s="943"/>
      <c r="E607" s="943"/>
      <c r="F607" s="943"/>
      <c r="G607" s="943"/>
      <c r="H607" s="943"/>
      <c r="I607" s="943"/>
      <c r="J607" s="943"/>
      <c r="K607" s="943"/>
      <c r="L607" s="943"/>
      <c r="M607" s="943"/>
      <c r="N607" s="943"/>
      <c r="O607" s="943"/>
      <c r="P607" s="943"/>
      <c r="Q607" s="943"/>
      <c r="R607" s="943"/>
      <c r="S607" s="943"/>
      <c r="T607" s="943"/>
      <c r="U607" s="943"/>
      <c r="V607" s="943"/>
      <c r="W607" s="943"/>
      <c r="X607" s="943"/>
      <c r="Y607" s="943"/>
      <c r="Z607" s="943"/>
      <c r="AA607" s="943"/>
      <c r="AB607" s="943"/>
      <c r="AC607" s="943"/>
      <c r="AD607" s="943"/>
      <c r="AE607" s="943"/>
    </row>
    <row r="608" spans="1:31" ht="15.75" customHeight="1">
      <c r="A608" s="943"/>
      <c r="B608" s="943"/>
      <c r="C608" s="943"/>
      <c r="D608" s="943"/>
      <c r="E608" s="943"/>
      <c r="F608" s="943"/>
      <c r="G608" s="943"/>
      <c r="H608" s="943"/>
      <c r="I608" s="943"/>
      <c r="J608" s="943"/>
      <c r="K608" s="943"/>
      <c r="L608" s="943"/>
      <c r="M608" s="943"/>
      <c r="N608" s="943"/>
      <c r="O608" s="943"/>
      <c r="P608" s="943"/>
      <c r="Q608" s="943"/>
      <c r="R608" s="943"/>
      <c r="S608" s="943"/>
      <c r="T608" s="943"/>
      <c r="U608" s="943"/>
      <c r="V608" s="943"/>
      <c r="W608" s="943"/>
      <c r="X608" s="943"/>
      <c r="Y608" s="943"/>
      <c r="Z608" s="943"/>
      <c r="AA608" s="943"/>
      <c r="AB608" s="943"/>
      <c r="AC608" s="943"/>
      <c r="AD608" s="943"/>
      <c r="AE608" s="943"/>
    </row>
    <row r="609" spans="1:31" ht="15.75" customHeight="1">
      <c r="A609" s="943"/>
      <c r="B609" s="943"/>
      <c r="C609" s="943"/>
      <c r="D609" s="943"/>
      <c r="E609" s="943"/>
      <c r="F609" s="943"/>
      <c r="G609" s="943"/>
      <c r="H609" s="943"/>
      <c r="I609" s="943"/>
      <c r="J609" s="943"/>
      <c r="K609" s="943"/>
      <c r="L609" s="943"/>
      <c r="M609" s="943"/>
      <c r="N609" s="943"/>
      <c r="O609" s="943"/>
      <c r="P609" s="943"/>
      <c r="Q609" s="943"/>
      <c r="R609" s="943"/>
      <c r="S609" s="943"/>
      <c r="T609" s="943"/>
      <c r="U609" s="943"/>
      <c r="V609" s="943"/>
      <c r="W609" s="943"/>
      <c r="X609" s="943"/>
      <c r="Y609" s="943"/>
      <c r="Z609" s="943"/>
      <c r="AA609" s="943"/>
      <c r="AB609" s="943"/>
      <c r="AC609" s="943"/>
      <c r="AD609" s="943"/>
      <c r="AE609" s="943"/>
    </row>
    <row r="610" spans="1:31" ht="15.75" customHeight="1">
      <c r="A610" s="943"/>
      <c r="B610" s="943"/>
      <c r="C610" s="943"/>
      <c r="D610" s="943"/>
      <c r="E610" s="943"/>
      <c r="F610" s="943"/>
      <c r="G610" s="943"/>
      <c r="H610" s="943"/>
      <c r="I610" s="943"/>
      <c r="J610" s="943"/>
      <c r="K610" s="943"/>
      <c r="L610" s="943"/>
      <c r="M610" s="943"/>
      <c r="N610" s="943"/>
      <c r="O610" s="943"/>
      <c r="P610" s="943"/>
      <c r="Q610" s="943"/>
      <c r="R610" s="943"/>
      <c r="S610" s="943"/>
      <c r="T610" s="943"/>
      <c r="U610" s="943"/>
      <c r="V610" s="943"/>
      <c r="W610" s="943"/>
      <c r="X610" s="943"/>
      <c r="Y610" s="943"/>
      <c r="Z610" s="943"/>
      <c r="AA610" s="943"/>
      <c r="AB610" s="943"/>
      <c r="AC610" s="943"/>
      <c r="AD610" s="943"/>
      <c r="AE610" s="943"/>
    </row>
    <row r="611" spans="1:31" ht="15.75" customHeight="1">
      <c r="A611" s="943"/>
      <c r="B611" s="943"/>
      <c r="C611" s="943"/>
      <c r="D611" s="943"/>
      <c r="E611" s="943"/>
      <c r="F611" s="943"/>
      <c r="G611" s="943"/>
      <c r="H611" s="943"/>
      <c r="I611" s="943"/>
      <c r="J611" s="943"/>
      <c r="K611" s="943"/>
      <c r="L611" s="943"/>
      <c r="M611" s="943"/>
      <c r="N611" s="943"/>
      <c r="O611" s="943"/>
      <c r="P611" s="943"/>
      <c r="Q611" s="943"/>
      <c r="R611" s="943"/>
      <c r="S611" s="943"/>
      <c r="T611" s="943"/>
      <c r="U611" s="943"/>
      <c r="V611" s="943"/>
      <c r="W611" s="943"/>
      <c r="X611" s="943"/>
      <c r="Y611" s="943"/>
      <c r="Z611" s="943"/>
      <c r="AA611" s="943"/>
      <c r="AB611" s="943"/>
      <c r="AC611" s="943"/>
      <c r="AD611" s="943"/>
      <c r="AE611" s="943"/>
    </row>
    <row r="612" spans="1:31" ht="15.75" customHeight="1">
      <c r="A612" s="943"/>
      <c r="B612" s="943"/>
      <c r="C612" s="943"/>
      <c r="D612" s="943"/>
      <c r="E612" s="943"/>
      <c r="F612" s="943"/>
      <c r="G612" s="943"/>
      <c r="H612" s="943"/>
      <c r="I612" s="943"/>
      <c r="J612" s="943"/>
      <c r="K612" s="943"/>
      <c r="L612" s="943"/>
      <c r="M612" s="943"/>
      <c r="N612" s="943"/>
      <c r="O612" s="943"/>
      <c r="P612" s="943"/>
      <c r="Q612" s="943"/>
      <c r="R612" s="943"/>
      <c r="S612" s="943"/>
      <c r="T612" s="943"/>
      <c r="U612" s="943"/>
      <c r="V612" s="943"/>
      <c r="W612" s="943"/>
      <c r="X612" s="943"/>
      <c r="Y612" s="943"/>
      <c r="Z612" s="943"/>
      <c r="AA612" s="943"/>
      <c r="AB612" s="943"/>
      <c r="AC612" s="943"/>
      <c r="AD612" s="943"/>
      <c r="AE612" s="943"/>
    </row>
    <row r="613" spans="1:31" ht="15.75" customHeight="1">
      <c r="A613" s="943"/>
      <c r="B613" s="943"/>
      <c r="C613" s="943"/>
      <c r="D613" s="943"/>
      <c r="E613" s="943"/>
      <c r="F613" s="943"/>
      <c r="G613" s="943"/>
      <c r="H613" s="943"/>
      <c r="I613" s="943"/>
      <c r="J613" s="943"/>
      <c r="K613" s="943"/>
      <c r="L613" s="943"/>
      <c r="M613" s="943"/>
      <c r="N613" s="943"/>
      <c r="O613" s="943"/>
      <c r="P613" s="943"/>
      <c r="Q613" s="943"/>
      <c r="R613" s="943"/>
      <c r="S613" s="943"/>
      <c r="T613" s="943"/>
      <c r="U613" s="943"/>
      <c r="V613" s="943"/>
      <c r="W613" s="943"/>
      <c r="X613" s="943"/>
      <c r="Y613" s="943"/>
      <c r="Z613" s="943"/>
      <c r="AA613" s="943"/>
      <c r="AB613" s="943"/>
      <c r="AC613" s="943"/>
      <c r="AD613" s="943"/>
      <c r="AE613" s="943"/>
    </row>
    <row r="614" spans="1:31" ht="15.75" customHeight="1">
      <c r="A614" s="943"/>
      <c r="B614" s="943"/>
      <c r="C614" s="943"/>
      <c r="D614" s="943"/>
      <c r="E614" s="943"/>
      <c r="F614" s="943"/>
      <c r="G614" s="943"/>
      <c r="H614" s="943"/>
      <c r="I614" s="943"/>
      <c r="J614" s="943"/>
      <c r="K614" s="943"/>
      <c r="L614" s="943"/>
      <c r="M614" s="943"/>
      <c r="N614" s="943"/>
      <c r="O614" s="943"/>
      <c r="P614" s="943"/>
      <c r="Q614" s="943"/>
      <c r="R614" s="943"/>
      <c r="S614" s="943"/>
      <c r="T614" s="943"/>
      <c r="U614" s="943"/>
      <c r="V614" s="943"/>
      <c r="W614" s="943"/>
      <c r="X614" s="943"/>
      <c r="Y614" s="943"/>
      <c r="Z614" s="943"/>
      <c r="AA614" s="943"/>
      <c r="AB614" s="943"/>
      <c r="AC614" s="943"/>
      <c r="AD614" s="943"/>
      <c r="AE614" s="943"/>
    </row>
    <row r="615" spans="1:31" ht="15.75" customHeight="1">
      <c r="A615" s="943"/>
      <c r="B615" s="943"/>
      <c r="C615" s="943"/>
      <c r="D615" s="943"/>
      <c r="E615" s="943"/>
      <c r="F615" s="943"/>
      <c r="G615" s="943"/>
      <c r="H615" s="943"/>
      <c r="I615" s="943"/>
      <c r="J615" s="943"/>
      <c r="K615" s="943"/>
      <c r="L615" s="943"/>
      <c r="M615" s="943"/>
      <c r="N615" s="943"/>
      <c r="O615" s="943"/>
      <c r="P615" s="943"/>
      <c r="Q615" s="943"/>
      <c r="R615" s="943"/>
      <c r="S615" s="943"/>
      <c r="T615" s="943"/>
      <c r="U615" s="943"/>
      <c r="V615" s="943"/>
      <c r="W615" s="943"/>
      <c r="X615" s="943"/>
      <c r="Y615" s="943"/>
      <c r="Z615" s="943"/>
      <c r="AA615" s="943"/>
      <c r="AB615" s="943"/>
      <c r="AC615" s="943"/>
      <c r="AD615" s="943"/>
      <c r="AE615" s="943"/>
    </row>
    <row r="616" spans="1:31" ht="15.75" customHeight="1">
      <c r="A616" s="943"/>
      <c r="B616" s="943"/>
      <c r="C616" s="943"/>
      <c r="D616" s="943"/>
      <c r="E616" s="943"/>
      <c r="F616" s="943"/>
      <c r="G616" s="943"/>
      <c r="H616" s="943"/>
      <c r="I616" s="943"/>
      <c r="J616" s="943"/>
      <c r="K616" s="943"/>
      <c r="L616" s="943"/>
      <c r="M616" s="943"/>
      <c r="N616" s="943"/>
      <c r="O616" s="943"/>
      <c r="P616" s="943"/>
      <c r="Q616" s="943"/>
      <c r="R616" s="943"/>
      <c r="S616" s="943"/>
      <c r="T616" s="943"/>
      <c r="U616" s="943"/>
      <c r="V616" s="943"/>
      <c r="W616" s="943"/>
      <c r="X616" s="943"/>
      <c r="Y616" s="943"/>
      <c r="Z616" s="943"/>
      <c r="AA616" s="943"/>
      <c r="AB616" s="943"/>
      <c r="AC616" s="943"/>
      <c r="AD616" s="943"/>
      <c r="AE616" s="943"/>
    </row>
    <row r="617" spans="1:31" ht="15.75" customHeight="1">
      <c r="A617" s="943"/>
      <c r="B617" s="943"/>
      <c r="C617" s="943"/>
      <c r="D617" s="943"/>
      <c r="E617" s="943"/>
      <c r="F617" s="943"/>
      <c r="G617" s="943"/>
      <c r="H617" s="943"/>
      <c r="I617" s="943"/>
      <c r="J617" s="943"/>
      <c r="K617" s="943"/>
      <c r="L617" s="943"/>
      <c r="M617" s="943"/>
      <c r="N617" s="943"/>
      <c r="O617" s="943"/>
      <c r="P617" s="943"/>
      <c r="Q617" s="943"/>
      <c r="R617" s="943"/>
      <c r="S617" s="943"/>
      <c r="T617" s="943"/>
      <c r="U617" s="943"/>
      <c r="V617" s="943"/>
      <c r="W617" s="943"/>
      <c r="X617" s="943"/>
      <c r="Y617" s="943"/>
      <c r="Z617" s="943"/>
      <c r="AA617" s="943"/>
      <c r="AB617" s="943"/>
      <c r="AC617" s="943"/>
      <c r="AD617" s="943"/>
      <c r="AE617" s="943"/>
    </row>
    <row r="618" spans="1:31" ht="15.75" customHeight="1">
      <c r="A618" s="943"/>
      <c r="B618" s="943"/>
      <c r="C618" s="943"/>
      <c r="D618" s="943"/>
      <c r="E618" s="943"/>
      <c r="F618" s="943"/>
      <c r="G618" s="943"/>
      <c r="H618" s="943"/>
      <c r="I618" s="943"/>
      <c r="J618" s="943"/>
      <c r="K618" s="943"/>
      <c r="L618" s="943"/>
      <c r="M618" s="943"/>
      <c r="N618" s="943"/>
      <c r="O618" s="943"/>
      <c r="P618" s="943"/>
      <c r="Q618" s="943"/>
      <c r="R618" s="943"/>
      <c r="S618" s="943"/>
      <c r="T618" s="943"/>
      <c r="U618" s="943"/>
      <c r="V618" s="943"/>
      <c r="W618" s="943"/>
      <c r="X618" s="943"/>
      <c r="Y618" s="943"/>
      <c r="Z618" s="943"/>
      <c r="AA618" s="943"/>
      <c r="AB618" s="943"/>
      <c r="AC618" s="943"/>
      <c r="AD618" s="943"/>
      <c r="AE618" s="943"/>
    </row>
    <row r="619" spans="1:31" ht="15.75" customHeight="1">
      <c r="A619" s="943"/>
      <c r="B619" s="943"/>
      <c r="C619" s="943"/>
      <c r="D619" s="943"/>
      <c r="E619" s="943"/>
      <c r="F619" s="943"/>
      <c r="G619" s="943"/>
      <c r="H619" s="943"/>
      <c r="I619" s="943"/>
      <c r="J619" s="943"/>
      <c r="K619" s="943"/>
      <c r="L619" s="943"/>
      <c r="M619" s="943"/>
      <c r="N619" s="943"/>
      <c r="O619" s="943"/>
      <c r="P619" s="943"/>
      <c r="Q619" s="943"/>
      <c r="R619" s="943"/>
      <c r="S619" s="943"/>
      <c r="T619" s="943"/>
      <c r="U619" s="943"/>
      <c r="V619" s="943"/>
      <c r="W619" s="943"/>
      <c r="X619" s="943"/>
      <c r="Y619" s="943"/>
      <c r="Z619" s="943"/>
      <c r="AA619" s="943"/>
      <c r="AB619" s="943"/>
      <c r="AC619" s="943"/>
      <c r="AD619" s="943"/>
      <c r="AE619" s="943"/>
    </row>
    <row r="620" spans="1:31" ht="15.75" customHeight="1">
      <c r="A620" s="943"/>
      <c r="B620" s="943"/>
      <c r="C620" s="943"/>
      <c r="D620" s="943"/>
      <c r="E620" s="943"/>
      <c r="F620" s="943"/>
      <c r="G620" s="943"/>
      <c r="H620" s="943"/>
      <c r="I620" s="943"/>
      <c r="J620" s="943"/>
      <c r="K620" s="943"/>
      <c r="L620" s="943"/>
      <c r="M620" s="943"/>
      <c r="N620" s="943"/>
      <c r="O620" s="943"/>
      <c r="P620" s="943"/>
      <c r="Q620" s="943"/>
      <c r="R620" s="943"/>
      <c r="S620" s="943"/>
      <c r="T620" s="943"/>
      <c r="U620" s="943"/>
      <c r="V620" s="943"/>
      <c r="W620" s="943"/>
      <c r="X620" s="943"/>
      <c r="Y620" s="943"/>
      <c r="Z620" s="943"/>
      <c r="AA620" s="943"/>
      <c r="AB620" s="943"/>
      <c r="AC620" s="943"/>
      <c r="AD620" s="943"/>
      <c r="AE620" s="943"/>
    </row>
    <row r="621" spans="1:31" ht="15.75" customHeight="1">
      <c r="A621" s="943"/>
      <c r="B621" s="943"/>
      <c r="C621" s="943"/>
      <c r="D621" s="943"/>
      <c r="E621" s="943"/>
      <c r="F621" s="943"/>
      <c r="G621" s="943"/>
      <c r="H621" s="943"/>
      <c r="I621" s="943"/>
      <c r="J621" s="943"/>
      <c r="K621" s="943"/>
      <c r="L621" s="943"/>
      <c r="M621" s="943"/>
      <c r="N621" s="943"/>
      <c r="O621" s="943"/>
      <c r="P621" s="943"/>
      <c r="Q621" s="943"/>
      <c r="R621" s="943"/>
      <c r="S621" s="943"/>
      <c r="T621" s="943"/>
      <c r="U621" s="943"/>
      <c r="V621" s="943"/>
      <c r="W621" s="943"/>
      <c r="X621" s="943"/>
      <c r="Y621" s="943"/>
      <c r="Z621" s="943"/>
      <c r="AA621" s="943"/>
      <c r="AB621" s="943"/>
      <c r="AC621" s="943"/>
      <c r="AD621" s="943"/>
      <c r="AE621" s="943"/>
    </row>
    <row r="622" spans="1:31" ht="15.75" customHeight="1">
      <c r="A622" s="943"/>
      <c r="B622" s="943"/>
      <c r="C622" s="943"/>
      <c r="D622" s="943"/>
      <c r="E622" s="943"/>
      <c r="F622" s="943"/>
      <c r="G622" s="943"/>
      <c r="H622" s="943"/>
      <c r="I622" s="943"/>
      <c r="J622" s="943"/>
      <c r="K622" s="943"/>
      <c r="L622" s="943"/>
      <c r="M622" s="943"/>
      <c r="N622" s="943"/>
      <c r="O622" s="943"/>
      <c r="P622" s="943"/>
      <c r="Q622" s="943"/>
      <c r="R622" s="943"/>
      <c r="S622" s="943"/>
      <c r="T622" s="943"/>
      <c r="U622" s="943"/>
      <c r="V622" s="943"/>
      <c r="W622" s="943"/>
      <c r="X622" s="943"/>
      <c r="Y622" s="943"/>
      <c r="Z622" s="943"/>
      <c r="AA622" s="943"/>
      <c r="AB622" s="943"/>
      <c r="AC622" s="943"/>
      <c r="AD622" s="943"/>
      <c r="AE622" s="943"/>
    </row>
    <row r="623" spans="1:31" ht="15.75" customHeight="1">
      <c r="A623" s="943"/>
      <c r="B623" s="943"/>
      <c r="C623" s="943"/>
      <c r="D623" s="943"/>
      <c r="E623" s="943"/>
      <c r="F623" s="943"/>
      <c r="G623" s="943"/>
      <c r="H623" s="943"/>
      <c r="I623" s="943"/>
      <c r="J623" s="943"/>
      <c r="K623" s="943"/>
      <c r="L623" s="943"/>
      <c r="M623" s="943"/>
      <c r="N623" s="943"/>
      <c r="O623" s="943"/>
      <c r="P623" s="943"/>
      <c r="Q623" s="943"/>
      <c r="R623" s="943"/>
      <c r="S623" s="943"/>
      <c r="T623" s="943"/>
      <c r="U623" s="943"/>
      <c r="V623" s="943"/>
      <c r="W623" s="943"/>
      <c r="X623" s="943"/>
      <c r="Y623" s="943"/>
      <c r="Z623" s="943"/>
      <c r="AA623" s="943"/>
      <c r="AB623" s="943"/>
      <c r="AC623" s="943"/>
      <c r="AD623" s="943"/>
      <c r="AE623" s="943"/>
    </row>
    <row r="624" spans="1:31" ht="15.75" customHeight="1">
      <c r="A624" s="943"/>
      <c r="B624" s="943"/>
      <c r="C624" s="943"/>
      <c r="D624" s="943"/>
      <c r="E624" s="943"/>
      <c r="F624" s="943"/>
      <c r="G624" s="943"/>
      <c r="H624" s="943"/>
      <c r="I624" s="943"/>
      <c r="J624" s="943"/>
      <c r="K624" s="943"/>
      <c r="L624" s="943"/>
      <c r="M624" s="943"/>
      <c r="N624" s="943"/>
      <c r="O624" s="943"/>
      <c r="P624" s="943"/>
      <c r="Q624" s="943"/>
      <c r="R624" s="943"/>
      <c r="S624" s="943"/>
      <c r="T624" s="943"/>
      <c r="U624" s="943"/>
      <c r="V624" s="943"/>
      <c r="W624" s="943"/>
      <c r="X624" s="943"/>
      <c r="Y624" s="943"/>
      <c r="Z624" s="943"/>
      <c r="AA624" s="943"/>
      <c r="AB624" s="943"/>
      <c r="AC624" s="943"/>
      <c r="AD624" s="943"/>
      <c r="AE624" s="943"/>
    </row>
    <row r="625" spans="1:31" ht="15.75" customHeight="1">
      <c r="A625" s="943"/>
      <c r="B625" s="943"/>
      <c r="C625" s="943"/>
      <c r="D625" s="943"/>
      <c r="E625" s="943"/>
      <c r="F625" s="943"/>
      <c r="G625" s="943"/>
      <c r="H625" s="943"/>
      <c r="I625" s="943"/>
      <c r="J625" s="943"/>
      <c r="K625" s="943"/>
      <c r="L625" s="943"/>
      <c r="M625" s="943"/>
      <c r="N625" s="943"/>
      <c r="O625" s="943"/>
      <c r="P625" s="943"/>
      <c r="Q625" s="943"/>
      <c r="R625" s="943"/>
      <c r="S625" s="943"/>
      <c r="T625" s="943"/>
      <c r="U625" s="943"/>
      <c r="V625" s="943"/>
      <c r="W625" s="943"/>
      <c r="X625" s="943"/>
      <c r="Y625" s="943"/>
      <c r="Z625" s="943"/>
      <c r="AA625" s="943"/>
      <c r="AB625" s="943"/>
      <c r="AC625" s="943"/>
      <c r="AD625" s="943"/>
      <c r="AE625" s="943"/>
    </row>
    <row r="626" spans="1:31" ht="15.75" customHeight="1">
      <c r="A626" s="943"/>
      <c r="B626" s="943"/>
      <c r="C626" s="943"/>
      <c r="D626" s="943"/>
      <c r="E626" s="943"/>
      <c r="F626" s="943"/>
      <c r="G626" s="943"/>
      <c r="H626" s="943"/>
      <c r="I626" s="943"/>
      <c r="J626" s="943"/>
      <c r="K626" s="943"/>
      <c r="L626" s="943"/>
      <c r="M626" s="943"/>
      <c r="N626" s="943"/>
      <c r="O626" s="943"/>
      <c r="P626" s="943"/>
      <c r="Q626" s="943"/>
      <c r="R626" s="943"/>
      <c r="S626" s="943"/>
      <c r="T626" s="943"/>
      <c r="U626" s="943"/>
      <c r="V626" s="943"/>
      <c r="W626" s="943"/>
      <c r="X626" s="943"/>
      <c r="Y626" s="943"/>
      <c r="Z626" s="943"/>
      <c r="AA626" s="943"/>
      <c r="AB626" s="943"/>
      <c r="AC626" s="943"/>
      <c r="AD626" s="943"/>
      <c r="AE626" s="943"/>
    </row>
    <row r="627" spans="1:31" ht="15.75" customHeight="1">
      <c r="A627" s="943"/>
      <c r="B627" s="943"/>
      <c r="C627" s="943"/>
      <c r="D627" s="943"/>
      <c r="E627" s="943"/>
      <c r="F627" s="943"/>
      <c r="G627" s="943"/>
      <c r="H627" s="943"/>
      <c r="I627" s="943"/>
      <c r="J627" s="943"/>
      <c r="K627" s="943"/>
      <c r="L627" s="943"/>
      <c r="M627" s="943"/>
      <c r="N627" s="943"/>
      <c r="O627" s="943"/>
      <c r="P627" s="943"/>
      <c r="Q627" s="943"/>
      <c r="R627" s="943"/>
      <c r="S627" s="943"/>
      <c r="T627" s="943"/>
      <c r="U627" s="943"/>
      <c r="V627" s="943"/>
      <c r="W627" s="943"/>
      <c r="X627" s="943"/>
      <c r="Y627" s="943"/>
      <c r="Z627" s="943"/>
      <c r="AA627" s="943"/>
      <c r="AB627" s="943"/>
      <c r="AC627" s="943"/>
      <c r="AD627" s="943"/>
      <c r="AE627" s="943"/>
    </row>
    <row r="628" spans="1:31" ht="15.75" customHeight="1">
      <c r="A628" s="943"/>
      <c r="B628" s="943"/>
      <c r="C628" s="943"/>
      <c r="D628" s="943"/>
      <c r="E628" s="943"/>
      <c r="F628" s="943"/>
      <c r="G628" s="943"/>
      <c r="H628" s="943"/>
      <c r="I628" s="943"/>
      <c r="J628" s="943"/>
      <c r="K628" s="943"/>
      <c r="L628" s="943"/>
      <c r="M628" s="943"/>
      <c r="N628" s="943"/>
      <c r="O628" s="943"/>
      <c r="P628" s="943"/>
      <c r="Q628" s="943"/>
      <c r="R628" s="943"/>
      <c r="S628" s="943"/>
      <c r="T628" s="943"/>
      <c r="U628" s="943"/>
      <c r="V628" s="943"/>
      <c r="W628" s="943"/>
      <c r="X628" s="943"/>
      <c r="Y628" s="943"/>
      <c r="Z628" s="943"/>
      <c r="AA628" s="943"/>
      <c r="AB628" s="943"/>
      <c r="AC628" s="943"/>
      <c r="AD628" s="943"/>
      <c r="AE628" s="943"/>
    </row>
    <row r="629" spans="1:31" ht="15.75" customHeight="1">
      <c r="A629" s="943"/>
      <c r="B629" s="943"/>
      <c r="C629" s="943"/>
      <c r="D629" s="943"/>
      <c r="E629" s="943"/>
      <c r="F629" s="943"/>
      <c r="G629" s="943"/>
      <c r="H629" s="943"/>
      <c r="I629" s="943"/>
      <c r="J629" s="943"/>
      <c r="K629" s="943"/>
      <c r="L629" s="943"/>
      <c r="M629" s="943"/>
      <c r="N629" s="943"/>
      <c r="O629" s="943"/>
      <c r="P629" s="943"/>
      <c r="Q629" s="943"/>
      <c r="R629" s="943"/>
      <c r="S629" s="943"/>
      <c r="T629" s="943"/>
      <c r="U629" s="943"/>
      <c r="V629" s="943"/>
      <c r="W629" s="943"/>
      <c r="X629" s="943"/>
      <c r="Y629" s="943"/>
      <c r="Z629" s="943"/>
      <c r="AA629" s="943"/>
      <c r="AB629" s="943"/>
      <c r="AC629" s="943"/>
      <c r="AD629" s="943"/>
      <c r="AE629" s="943"/>
    </row>
    <row r="630" spans="1:31" ht="15.75" customHeight="1">
      <c r="A630" s="943"/>
      <c r="B630" s="943"/>
      <c r="C630" s="943"/>
      <c r="D630" s="943"/>
      <c r="E630" s="943"/>
      <c r="F630" s="943"/>
      <c r="G630" s="943"/>
      <c r="H630" s="943"/>
      <c r="I630" s="943"/>
      <c r="J630" s="943"/>
      <c r="K630" s="943"/>
      <c r="L630" s="943"/>
      <c r="M630" s="943"/>
      <c r="N630" s="943"/>
      <c r="O630" s="943"/>
      <c r="P630" s="943"/>
      <c r="Q630" s="943"/>
      <c r="R630" s="943"/>
      <c r="S630" s="943"/>
      <c r="T630" s="943"/>
      <c r="U630" s="943"/>
      <c r="V630" s="943"/>
      <c r="W630" s="943"/>
      <c r="X630" s="943"/>
      <c r="Y630" s="943"/>
      <c r="Z630" s="943"/>
      <c r="AA630" s="943"/>
      <c r="AB630" s="943"/>
      <c r="AC630" s="943"/>
      <c r="AD630" s="943"/>
      <c r="AE630" s="943"/>
    </row>
    <row r="631" spans="1:31" ht="15.75" customHeight="1">
      <c r="A631" s="943"/>
      <c r="B631" s="943"/>
      <c r="C631" s="943"/>
      <c r="D631" s="943"/>
      <c r="E631" s="943"/>
      <c r="F631" s="943"/>
      <c r="G631" s="943"/>
      <c r="H631" s="943"/>
      <c r="I631" s="943"/>
      <c r="J631" s="943"/>
      <c r="K631" s="943"/>
      <c r="L631" s="943"/>
      <c r="M631" s="943"/>
      <c r="N631" s="943"/>
      <c r="O631" s="943"/>
      <c r="P631" s="943"/>
      <c r="Q631" s="943"/>
      <c r="R631" s="943"/>
      <c r="S631" s="943"/>
      <c r="T631" s="943"/>
      <c r="U631" s="943"/>
      <c r="V631" s="943"/>
      <c r="W631" s="943"/>
      <c r="X631" s="943"/>
      <c r="Y631" s="943"/>
      <c r="Z631" s="943"/>
      <c r="AA631" s="943"/>
      <c r="AB631" s="943"/>
      <c r="AC631" s="943"/>
      <c r="AD631" s="943"/>
      <c r="AE631" s="943"/>
    </row>
    <row r="632" spans="1:31" ht="15.75" customHeight="1">
      <c r="A632" s="943"/>
      <c r="B632" s="943"/>
      <c r="C632" s="943"/>
      <c r="D632" s="943"/>
      <c r="E632" s="943"/>
      <c r="F632" s="943"/>
      <c r="G632" s="943"/>
      <c r="H632" s="943"/>
      <c r="I632" s="943"/>
      <c r="J632" s="943"/>
      <c r="K632" s="943"/>
      <c r="L632" s="943"/>
      <c r="M632" s="943"/>
      <c r="N632" s="943"/>
      <c r="O632" s="943"/>
      <c r="P632" s="943"/>
      <c r="Q632" s="943"/>
      <c r="R632" s="943"/>
      <c r="S632" s="943"/>
      <c r="T632" s="943"/>
      <c r="U632" s="943"/>
      <c r="V632" s="943"/>
      <c r="W632" s="943"/>
      <c r="X632" s="943"/>
      <c r="Y632" s="943"/>
      <c r="Z632" s="943"/>
      <c r="AA632" s="943"/>
      <c r="AB632" s="943"/>
      <c r="AC632" s="943"/>
      <c r="AD632" s="943"/>
      <c r="AE632" s="943"/>
    </row>
    <row r="633" spans="1:31" ht="15.75" customHeight="1">
      <c r="A633" s="943"/>
      <c r="B633" s="943"/>
      <c r="C633" s="943"/>
      <c r="D633" s="943"/>
      <c r="E633" s="943"/>
      <c r="F633" s="943"/>
      <c r="G633" s="943"/>
      <c r="H633" s="943"/>
      <c r="I633" s="943"/>
      <c r="J633" s="943"/>
      <c r="K633" s="943"/>
      <c r="L633" s="943"/>
      <c r="M633" s="943"/>
      <c r="N633" s="943"/>
      <c r="O633" s="943"/>
      <c r="P633" s="943"/>
      <c r="Q633" s="943"/>
      <c r="R633" s="943"/>
      <c r="S633" s="943"/>
      <c r="T633" s="943"/>
      <c r="U633" s="943"/>
      <c r="V633" s="943"/>
      <c r="W633" s="943"/>
      <c r="X633" s="943"/>
      <c r="Y633" s="943"/>
      <c r="Z633" s="943"/>
      <c r="AA633" s="943"/>
      <c r="AB633" s="943"/>
      <c r="AC633" s="943"/>
      <c r="AD633" s="943"/>
      <c r="AE633" s="943"/>
    </row>
    <row r="634" spans="1:31" ht="15.75" customHeight="1">
      <c r="A634" s="943"/>
      <c r="B634" s="943"/>
      <c r="C634" s="943"/>
      <c r="D634" s="943"/>
      <c r="E634" s="943"/>
      <c r="F634" s="943"/>
      <c r="G634" s="943"/>
      <c r="H634" s="943"/>
      <c r="I634" s="943"/>
      <c r="J634" s="943"/>
      <c r="K634" s="943"/>
      <c r="L634" s="943"/>
      <c r="M634" s="943"/>
      <c r="N634" s="943"/>
      <c r="O634" s="943"/>
      <c r="P634" s="943"/>
      <c r="Q634" s="943"/>
      <c r="R634" s="943"/>
      <c r="S634" s="943"/>
      <c r="T634" s="943"/>
      <c r="U634" s="943"/>
      <c r="V634" s="943"/>
      <c r="W634" s="943"/>
      <c r="X634" s="943"/>
      <c r="Y634" s="943"/>
      <c r="Z634" s="943"/>
      <c r="AA634" s="943"/>
      <c r="AB634" s="943"/>
      <c r="AC634" s="943"/>
      <c r="AD634" s="943"/>
      <c r="AE634" s="943"/>
    </row>
    <row r="635" spans="1:31" ht="15.75" customHeight="1">
      <c r="A635" s="943"/>
      <c r="B635" s="943"/>
      <c r="C635" s="943"/>
      <c r="D635" s="943"/>
      <c r="E635" s="943"/>
      <c r="F635" s="943"/>
      <c r="G635" s="943"/>
      <c r="H635" s="943"/>
      <c r="I635" s="943"/>
      <c r="J635" s="943"/>
      <c r="K635" s="943"/>
      <c r="L635" s="943"/>
      <c r="M635" s="943"/>
      <c r="N635" s="943"/>
      <c r="O635" s="943"/>
      <c r="P635" s="943"/>
      <c r="Q635" s="943"/>
      <c r="R635" s="943"/>
      <c r="S635" s="943"/>
      <c r="T635" s="943"/>
      <c r="U635" s="943"/>
      <c r="V635" s="943"/>
      <c r="W635" s="943"/>
      <c r="X635" s="943"/>
      <c r="Y635" s="943"/>
      <c r="Z635" s="943"/>
      <c r="AA635" s="943"/>
      <c r="AB635" s="943"/>
      <c r="AC635" s="943"/>
      <c r="AD635" s="943"/>
      <c r="AE635" s="943"/>
    </row>
    <row r="636" spans="1:31" ht="15.75" customHeight="1">
      <c r="A636" s="943"/>
      <c r="B636" s="943"/>
      <c r="C636" s="943"/>
      <c r="D636" s="943"/>
      <c r="E636" s="943"/>
      <c r="F636" s="943"/>
      <c r="G636" s="943"/>
      <c r="H636" s="943"/>
      <c r="I636" s="943"/>
      <c r="J636" s="943"/>
      <c r="K636" s="943"/>
      <c r="L636" s="943"/>
      <c r="M636" s="943"/>
      <c r="N636" s="943"/>
      <c r="O636" s="943"/>
      <c r="P636" s="943"/>
      <c r="Q636" s="943"/>
      <c r="R636" s="943"/>
      <c r="S636" s="943"/>
      <c r="T636" s="943"/>
      <c r="U636" s="943"/>
      <c r="V636" s="943"/>
      <c r="W636" s="943"/>
      <c r="X636" s="943"/>
      <c r="Y636" s="943"/>
      <c r="Z636" s="943"/>
      <c r="AA636" s="943"/>
      <c r="AB636" s="943"/>
      <c r="AC636" s="943"/>
      <c r="AD636" s="943"/>
      <c r="AE636" s="943"/>
    </row>
    <row r="637" spans="1:31" ht="15.75" customHeight="1">
      <c r="A637" s="943"/>
      <c r="B637" s="943"/>
      <c r="C637" s="943"/>
      <c r="D637" s="943"/>
      <c r="E637" s="943"/>
      <c r="F637" s="943"/>
      <c r="G637" s="943"/>
      <c r="H637" s="943"/>
      <c r="I637" s="943"/>
      <c r="J637" s="943"/>
      <c r="K637" s="943"/>
      <c r="L637" s="943"/>
      <c r="M637" s="943"/>
      <c r="N637" s="943"/>
      <c r="O637" s="943"/>
      <c r="P637" s="943"/>
      <c r="Q637" s="943"/>
      <c r="R637" s="943"/>
      <c r="S637" s="943"/>
      <c r="T637" s="943"/>
      <c r="U637" s="943"/>
      <c r="V637" s="943"/>
      <c r="W637" s="943"/>
      <c r="X637" s="943"/>
      <c r="Y637" s="943"/>
      <c r="Z637" s="943"/>
      <c r="AA637" s="943"/>
      <c r="AB637" s="943"/>
      <c r="AC637" s="943"/>
      <c r="AD637" s="943"/>
      <c r="AE637" s="943"/>
    </row>
    <row r="638" spans="1:31" ht="15.75" customHeight="1">
      <c r="A638" s="943"/>
      <c r="B638" s="943"/>
      <c r="C638" s="943"/>
      <c r="D638" s="943"/>
      <c r="E638" s="943"/>
      <c r="F638" s="943"/>
      <c r="G638" s="943"/>
      <c r="H638" s="943"/>
      <c r="I638" s="943"/>
      <c r="J638" s="943"/>
      <c r="K638" s="943"/>
      <c r="L638" s="943"/>
      <c r="M638" s="943"/>
      <c r="N638" s="943"/>
      <c r="O638" s="943"/>
      <c r="P638" s="943"/>
      <c r="Q638" s="943"/>
      <c r="R638" s="943"/>
      <c r="S638" s="943"/>
      <c r="T638" s="943"/>
      <c r="U638" s="943"/>
      <c r="V638" s="943"/>
      <c r="W638" s="943"/>
      <c r="X638" s="943"/>
      <c r="Y638" s="943"/>
      <c r="Z638" s="943"/>
      <c r="AA638" s="943"/>
      <c r="AB638" s="943"/>
      <c r="AC638" s="943"/>
      <c r="AD638" s="943"/>
      <c r="AE638" s="943"/>
    </row>
    <row r="639" spans="1:31" ht="15.75" customHeight="1">
      <c r="A639" s="943"/>
      <c r="B639" s="943"/>
      <c r="C639" s="943"/>
      <c r="D639" s="943"/>
      <c r="E639" s="943"/>
      <c r="F639" s="943"/>
      <c r="G639" s="943"/>
      <c r="H639" s="943"/>
      <c r="I639" s="943"/>
      <c r="J639" s="943"/>
      <c r="K639" s="943"/>
      <c r="L639" s="943"/>
      <c r="M639" s="943"/>
      <c r="N639" s="943"/>
      <c r="O639" s="943"/>
      <c r="P639" s="943"/>
      <c r="Q639" s="943"/>
      <c r="R639" s="943"/>
      <c r="S639" s="943"/>
      <c r="T639" s="943"/>
      <c r="U639" s="943"/>
      <c r="V639" s="943"/>
      <c r="W639" s="943"/>
      <c r="X639" s="943"/>
      <c r="Y639" s="943"/>
      <c r="Z639" s="943"/>
      <c r="AA639" s="943"/>
      <c r="AB639" s="943"/>
      <c r="AC639" s="943"/>
      <c r="AD639" s="943"/>
      <c r="AE639" s="943"/>
    </row>
    <row r="640" spans="1:31" ht="15.75" customHeight="1">
      <c r="A640" s="943"/>
      <c r="B640" s="943"/>
      <c r="C640" s="943"/>
      <c r="D640" s="943"/>
      <c r="E640" s="943"/>
      <c r="F640" s="943"/>
      <c r="G640" s="943"/>
      <c r="H640" s="943"/>
      <c r="I640" s="943"/>
      <c r="J640" s="943"/>
      <c r="K640" s="943"/>
      <c r="L640" s="943"/>
      <c r="M640" s="943"/>
      <c r="N640" s="943"/>
      <c r="O640" s="943"/>
      <c r="P640" s="943"/>
      <c r="Q640" s="943"/>
      <c r="R640" s="943"/>
      <c r="S640" s="943"/>
      <c r="T640" s="943"/>
      <c r="U640" s="943"/>
      <c r="V640" s="943"/>
      <c r="W640" s="943"/>
      <c r="X640" s="943"/>
      <c r="Y640" s="943"/>
      <c r="Z640" s="943"/>
      <c r="AA640" s="943"/>
      <c r="AB640" s="943"/>
      <c r="AC640" s="943"/>
      <c r="AD640" s="943"/>
      <c r="AE640" s="943"/>
    </row>
    <row r="641" spans="1:31" ht="15.75" customHeight="1">
      <c r="A641" s="943"/>
      <c r="B641" s="943"/>
      <c r="C641" s="943"/>
      <c r="D641" s="943"/>
      <c r="E641" s="943"/>
      <c r="F641" s="943"/>
      <c r="G641" s="943"/>
      <c r="H641" s="943"/>
      <c r="I641" s="943"/>
      <c r="J641" s="943"/>
      <c r="K641" s="943"/>
      <c r="L641" s="943"/>
      <c r="M641" s="943"/>
      <c r="N641" s="943"/>
      <c r="O641" s="943"/>
      <c r="P641" s="943"/>
      <c r="Q641" s="943"/>
      <c r="R641" s="943"/>
      <c r="S641" s="943"/>
      <c r="T641" s="943"/>
      <c r="U641" s="943"/>
      <c r="V641" s="943"/>
      <c r="W641" s="943"/>
      <c r="X641" s="943"/>
      <c r="Y641" s="943"/>
      <c r="Z641" s="943"/>
      <c r="AA641" s="943"/>
      <c r="AB641" s="943"/>
      <c r="AC641" s="943"/>
      <c r="AD641" s="943"/>
      <c r="AE641" s="943"/>
    </row>
    <row r="642" spans="1:31" ht="15.75" customHeight="1">
      <c r="A642" s="943"/>
      <c r="B642" s="943"/>
      <c r="C642" s="943"/>
      <c r="D642" s="943"/>
      <c r="E642" s="943"/>
      <c r="F642" s="943"/>
      <c r="G642" s="943"/>
      <c r="H642" s="943"/>
      <c r="I642" s="943"/>
      <c r="J642" s="943"/>
      <c r="K642" s="943"/>
      <c r="L642" s="943"/>
      <c r="M642" s="943"/>
      <c r="N642" s="943"/>
      <c r="O642" s="943"/>
      <c r="P642" s="943"/>
      <c r="Q642" s="943"/>
      <c r="R642" s="943"/>
      <c r="S642" s="943"/>
      <c r="T642" s="943"/>
      <c r="U642" s="943"/>
      <c r="V642" s="943"/>
      <c r="W642" s="943"/>
      <c r="X642" s="943"/>
      <c r="Y642" s="943"/>
      <c r="Z642" s="943"/>
      <c r="AA642" s="943"/>
      <c r="AB642" s="943"/>
      <c r="AC642" s="943"/>
      <c r="AD642" s="943"/>
      <c r="AE642" s="943"/>
    </row>
    <row r="643" spans="1:31" ht="15.75" customHeight="1">
      <c r="A643" s="943"/>
      <c r="B643" s="943"/>
      <c r="C643" s="943"/>
      <c r="D643" s="943"/>
      <c r="E643" s="943"/>
      <c r="F643" s="943"/>
      <c r="G643" s="943"/>
      <c r="H643" s="943"/>
      <c r="I643" s="943"/>
      <c r="J643" s="943"/>
      <c r="K643" s="943"/>
      <c r="L643" s="943"/>
      <c r="M643" s="943"/>
      <c r="N643" s="943"/>
      <c r="O643" s="943"/>
      <c r="P643" s="943"/>
      <c r="Q643" s="943"/>
      <c r="R643" s="943"/>
      <c r="S643" s="943"/>
      <c r="T643" s="943"/>
      <c r="U643" s="943"/>
      <c r="V643" s="943"/>
      <c r="W643" s="943"/>
      <c r="X643" s="943"/>
      <c r="Y643" s="943"/>
      <c r="Z643" s="943"/>
      <c r="AA643" s="943"/>
      <c r="AB643" s="943"/>
      <c r="AC643" s="943"/>
      <c r="AD643" s="943"/>
      <c r="AE643" s="943"/>
    </row>
    <row r="644" spans="1:31" ht="15.75" customHeight="1">
      <c r="A644" s="943"/>
      <c r="B644" s="943"/>
      <c r="C644" s="943"/>
      <c r="D644" s="943"/>
      <c r="E644" s="943"/>
      <c r="F644" s="943"/>
      <c r="G644" s="943"/>
      <c r="H644" s="943"/>
      <c r="I644" s="943"/>
      <c r="J644" s="943"/>
      <c r="K644" s="943"/>
      <c r="L644" s="943"/>
      <c r="M644" s="943"/>
      <c r="N644" s="943"/>
      <c r="O644" s="943"/>
      <c r="P644" s="943"/>
      <c r="Q644" s="943"/>
      <c r="R644" s="943"/>
      <c r="S644" s="943"/>
      <c r="T644" s="943"/>
      <c r="U644" s="943"/>
      <c r="V644" s="943"/>
      <c r="W644" s="943"/>
      <c r="X644" s="943"/>
      <c r="Y644" s="943"/>
      <c r="Z644" s="943"/>
      <c r="AA644" s="943"/>
      <c r="AB644" s="943"/>
      <c r="AC644" s="943"/>
      <c r="AD644" s="943"/>
      <c r="AE644" s="943"/>
    </row>
    <row r="645" spans="1:31" ht="15.75" customHeight="1">
      <c r="A645" s="943"/>
      <c r="B645" s="943"/>
      <c r="C645" s="943"/>
      <c r="D645" s="943"/>
      <c r="E645" s="943"/>
      <c r="F645" s="943"/>
      <c r="G645" s="943"/>
      <c r="H645" s="943"/>
      <c r="I645" s="943"/>
      <c r="J645" s="943"/>
      <c r="K645" s="943"/>
      <c r="L645" s="943"/>
      <c r="M645" s="943"/>
      <c r="N645" s="943"/>
      <c r="O645" s="943"/>
      <c r="P645" s="943"/>
      <c r="Q645" s="943"/>
      <c r="R645" s="943"/>
      <c r="S645" s="943"/>
      <c r="T645" s="943"/>
      <c r="U645" s="943"/>
      <c r="V645" s="943"/>
      <c r="W645" s="943"/>
      <c r="X645" s="943"/>
      <c r="Y645" s="943"/>
      <c r="Z645" s="943"/>
      <c r="AA645" s="943"/>
      <c r="AB645" s="943"/>
      <c r="AC645" s="943"/>
      <c r="AD645" s="943"/>
      <c r="AE645" s="943"/>
    </row>
    <row r="646" spans="1:31" ht="15.75" customHeight="1">
      <c r="A646" s="943"/>
      <c r="B646" s="943"/>
      <c r="C646" s="943"/>
      <c r="D646" s="943"/>
      <c r="E646" s="943"/>
      <c r="F646" s="943"/>
      <c r="G646" s="943"/>
      <c r="H646" s="943"/>
      <c r="I646" s="943"/>
      <c r="J646" s="943"/>
      <c r="K646" s="943"/>
      <c r="L646" s="943"/>
      <c r="M646" s="943"/>
      <c r="N646" s="943"/>
      <c r="O646" s="943"/>
      <c r="P646" s="943"/>
      <c r="Q646" s="943"/>
      <c r="R646" s="943"/>
      <c r="S646" s="943"/>
      <c r="T646" s="943"/>
      <c r="U646" s="943"/>
      <c r="V646" s="943"/>
      <c r="W646" s="943"/>
      <c r="X646" s="943"/>
      <c r="Y646" s="943"/>
      <c r="Z646" s="943"/>
      <c r="AA646" s="943"/>
      <c r="AB646" s="943"/>
      <c r="AC646" s="943"/>
      <c r="AD646" s="943"/>
      <c r="AE646" s="943"/>
    </row>
    <row r="647" spans="1:31" ht="15.75" customHeight="1">
      <c r="A647" s="943"/>
      <c r="B647" s="943"/>
      <c r="C647" s="943"/>
      <c r="D647" s="943"/>
      <c r="E647" s="943"/>
      <c r="F647" s="943"/>
      <c r="G647" s="943"/>
      <c r="H647" s="943"/>
      <c r="I647" s="943"/>
      <c r="J647" s="943"/>
      <c r="K647" s="943"/>
      <c r="L647" s="943"/>
      <c r="M647" s="943"/>
      <c r="N647" s="943"/>
      <c r="O647" s="943"/>
      <c r="P647" s="943"/>
      <c r="Q647" s="943"/>
      <c r="R647" s="943"/>
      <c r="S647" s="943"/>
      <c r="T647" s="943"/>
      <c r="U647" s="943"/>
      <c r="V647" s="943"/>
      <c r="W647" s="943"/>
      <c r="X647" s="943"/>
      <c r="Y647" s="943"/>
      <c r="Z647" s="943"/>
      <c r="AA647" s="943"/>
      <c r="AB647" s="943"/>
      <c r="AC647" s="943"/>
      <c r="AD647" s="943"/>
      <c r="AE647" s="943"/>
    </row>
    <row r="648" spans="1:31" ht="15.75" customHeight="1">
      <c r="A648" s="943"/>
      <c r="B648" s="943"/>
      <c r="C648" s="943"/>
      <c r="D648" s="943"/>
      <c r="E648" s="943"/>
      <c r="F648" s="943"/>
      <c r="G648" s="943"/>
      <c r="H648" s="943"/>
      <c r="I648" s="943"/>
      <c r="J648" s="943"/>
      <c r="K648" s="943"/>
      <c r="L648" s="943"/>
      <c r="M648" s="943"/>
      <c r="N648" s="943"/>
      <c r="O648" s="943"/>
      <c r="P648" s="943"/>
      <c r="Q648" s="943"/>
      <c r="R648" s="943"/>
      <c r="S648" s="943"/>
      <c r="T648" s="943"/>
      <c r="U648" s="943"/>
      <c r="V648" s="943"/>
      <c r="W648" s="943"/>
      <c r="X648" s="943"/>
      <c r="Y648" s="943"/>
      <c r="Z648" s="943"/>
      <c r="AA648" s="943"/>
      <c r="AB648" s="943"/>
      <c r="AC648" s="943"/>
      <c r="AD648" s="943"/>
      <c r="AE648" s="943"/>
    </row>
    <row r="649" spans="1:31" ht="15.75" customHeight="1">
      <c r="A649" s="943"/>
      <c r="B649" s="943"/>
      <c r="C649" s="943"/>
      <c r="D649" s="943"/>
      <c r="E649" s="943"/>
      <c r="F649" s="943"/>
      <c r="G649" s="943"/>
      <c r="H649" s="943"/>
      <c r="I649" s="943"/>
      <c r="J649" s="943"/>
      <c r="K649" s="943"/>
      <c r="L649" s="943"/>
      <c r="M649" s="943"/>
      <c r="N649" s="943"/>
      <c r="O649" s="943"/>
      <c r="P649" s="943"/>
      <c r="Q649" s="943"/>
      <c r="R649" s="943"/>
      <c r="S649" s="943"/>
      <c r="T649" s="943"/>
      <c r="U649" s="943"/>
      <c r="V649" s="943"/>
      <c r="W649" s="943"/>
      <c r="X649" s="943"/>
      <c r="Y649" s="943"/>
      <c r="Z649" s="943"/>
      <c r="AA649" s="943"/>
      <c r="AB649" s="943"/>
      <c r="AC649" s="943"/>
      <c r="AD649" s="943"/>
      <c r="AE649" s="943"/>
    </row>
    <row r="650" spans="1:31" ht="15.75" customHeight="1">
      <c r="A650" s="943"/>
      <c r="B650" s="943"/>
      <c r="C650" s="943"/>
      <c r="D650" s="943"/>
      <c r="E650" s="943"/>
      <c r="F650" s="943"/>
      <c r="G650" s="943"/>
      <c r="H650" s="943"/>
      <c r="I650" s="943"/>
      <c r="J650" s="943"/>
      <c r="K650" s="943"/>
      <c r="L650" s="943"/>
      <c r="M650" s="943"/>
      <c r="N650" s="943"/>
      <c r="O650" s="943"/>
      <c r="P650" s="943"/>
      <c r="Q650" s="943"/>
      <c r="R650" s="943"/>
      <c r="S650" s="943"/>
      <c r="T650" s="943"/>
      <c r="U650" s="943"/>
      <c r="V650" s="943"/>
      <c r="W650" s="943"/>
      <c r="X650" s="943"/>
      <c r="Y650" s="943"/>
      <c r="Z650" s="943"/>
      <c r="AA650" s="943"/>
      <c r="AB650" s="943"/>
      <c r="AC650" s="943"/>
      <c r="AD650" s="943"/>
      <c r="AE650" s="943"/>
    </row>
    <row r="651" spans="1:31" ht="15.75" customHeight="1">
      <c r="A651" s="943"/>
      <c r="B651" s="943"/>
      <c r="C651" s="943"/>
      <c r="D651" s="943"/>
      <c r="E651" s="943"/>
      <c r="F651" s="943"/>
      <c r="G651" s="943"/>
      <c r="H651" s="943"/>
      <c r="I651" s="943"/>
      <c r="J651" s="943"/>
      <c r="K651" s="943"/>
      <c r="L651" s="943"/>
      <c r="M651" s="943"/>
      <c r="N651" s="943"/>
      <c r="O651" s="943"/>
      <c r="P651" s="943"/>
      <c r="Q651" s="943"/>
      <c r="R651" s="943"/>
      <c r="S651" s="943"/>
      <c r="T651" s="943"/>
      <c r="U651" s="943"/>
      <c r="V651" s="943"/>
      <c r="W651" s="943"/>
      <c r="X651" s="943"/>
      <c r="Y651" s="943"/>
      <c r="Z651" s="943"/>
      <c r="AA651" s="943"/>
      <c r="AB651" s="943"/>
      <c r="AC651" s="943"/>
      <c r="AD651" s="943"/>
      <c r="AE651" s="943"/>
    </row>
    <row r="652" spans="1:31" ht="15.75" customHeight="1">
      <c r="A652" s="943"/>
      <c r="B652" s="943"/>
      <c r="C652" s="943"/>
      <c r="D652" s="943"/>
      <c r="E652" s="943"/>
      <c r="F652" s="943"/>
      <c r="G652" s="943"/>
      <c r="H652" s="943"/>
      <c r="I652" s="943"/>
      <c r="J652" s="943"/>
      <c r="K652" s="943"/>
      <c r="L652" s="943"/>
      <c r="M652" s="943"/>
      <c r="N652" s="943"/>
      <c r="O652" s="943"/>
      <c r="P652" s="943"/>
      <c r="Q652" s="943"/>
      <c r="R652" s="943"/>
      <c r="S652" s="943"/>
      <c r="T652" s="943"/>
      <c r="U652" s="943"/>
      <c r="V652" s="943"/>
      <c r="W652" s="943"/>
      <c r="X652" s="943"/>
      <c r="Y652" s="943"/>
      <c r="Z652" s="943"/>
      <c r="AA652" s="943"/>
      <c r="AB652" s="943"/>
      <c r="AC652" s="943"/>
      <c r="AD652" s="943"/>
      <c r="AE652" s="943"/>
    </row>
    <row r="653" spans="1:31" ht="15.75" customHeight="1">
      <c r="A653" s="943"/>
      <c r="B653" s="943"/>
      <c r="C653" s="943"/>
      <c r="D653" s="943"/>
      <c r="E653" s="943"/>
      <c r="F653" s="943"/>
      <c r="G653" s="943"/>
      <c r="H653" s="943"/>
      <c r="I653" s="943"/>
      <c r="J653" s="943"/>
      <c r="K653" s="943"/>
      <c r="L653" s="943"/>
      <c r="M653" s="943"/>
      <c r="N653" s="943"/>
      <c r="O653" s="943"/>
      <c r="P653" s="943"/>
      <c r="Q653" s="943"/>
      <c r="R653" s="943"/>
      <c r="S653" s="943"/>
      <c r="T653" s="943"/>
      <c r="U653" s="943"/>
      <c r="V653" s="943"/>
      <c r="W653" s="943"/>
      <c r="X653" s="943"/>
      <c r="Y653" s="943"/>
      <c r="Z653" s="943"/>
      <c r="AA653" s="943"/>
      <c r="AB653" s="943"/>
      <c r="AC653" s="943"/>
      <c r="AD653" s="943"/>
      <c r="AE653" s="943"/>
    </row>
    <row r="654" spans="1:31" ht="15.75" customHeight="1">
      <c r="A654" s="943"/>
      <c r="B654" s="943"/>
      <c r="C654" s="943"/>
      <c r="D654" s="943"/>
      <c r="E654" s="943"/>
      <c r="F654" s="943"/>
      <c r="G654" s="943"/>
      <c r="H654" s="943"/>
      <c r="I654" s="943"/>
      <c r="J654" s="943"/>
      <c r="K654" s="943"/>
      <c r="L654" s="943"/>
      <c r="M654" s="943"/>
      <c r="N654" s="943"/>
      <c r="O654" s="943"/>
      <c r="P654" s="943"/>
      <c r="Q654" s="943"/>
      <c r="R654" s="943"/>
      <c r="S654" s="943"/>
      <c r="T654" s="943"/>
      <c r="U654" s="943"/>
      <c r="V654" s="943"/>
      <c r="W654" s="943"/>
      <c r="X654" s="943"/>
      <c r="Y654" s="943"/>
      <c r="Z654" s="943"/>
      <c r="AA654" s="943"/>
      <c r="AB654" s="943"/>
      <c r="AC654" s="943"/>
      <c r="AD654" s="943"/>
      <c r="AE654" s="943"/>
    </row>
    <row r="655" spans="1:31" ht="15.75" customHeight="1">
      <c r="A655" s="943"/>
      <c r="B655" s="943"/>
      <c r="C655" s="943"/>
      <c r="D655" s="943"/>
      <c r="E655" s="943"/>
      <c r="F655" s="943"/>
      <c r="G655" s="943"/>
      <c r="H655" s="943"/>
      <c r="I655" s="943"/>
      <c r="J655" s="943"/>
      <c r="K655" s="943"/>
      <c r="L655" s="943"/>
      <c r="M655" s="943"/>
      <c r="N655" s="943"/>
      <c r="O655" s="943"/>
      <c r="P655" s="943"/>
      <c r="Q655" s="943"/>
      <c r="R655" s="943"/>
      <c r="S655" s="943"/>
      <c r="T655" s="943"/>
      <c r="U655" s="943"/>
      <c r="V655" s="943"/>
      <c r="W655" s="943"/>
      <c r="X655" s="943"/>
      <c r="Y655" s="943"/>
      <c r="Z655" s="943"/>
      <c r="AA655" s="943"/>
      <c r="AB655" s="943"/>
      <c r="AC655" s="943"/>
      <c r="AD655" s="943"/>
      <c r="AE655" s="943"/>
    </row>
    <row r="656" spans="1:31" ht="15.75" customHeight="1">
      <c r="A656" s="943"/>
      <c r="B656" s="943"/>
      <c r="C656" s="943"/>
      <c r="D656" s="943"/>
      <c r="E656" s="943"/>
      <c r="F656" s="943"/>
      <c r="G656" s="943"/>
      <c r="H656" s="943"/>
      <c r="I656" s="943"/>
      <c r="J656" s="943"/>
      <c r="K656" s="943"/>
      <c r="L656" s="943"/>
      <c r="M656" s="943"/>
      <c r="N656" s="943"/>
      <c r="O656" s="943"/>
      <c r="P656" s="943"/>
      <c r="Q656" s="943"/>
      <c r="R656" s="943"/>
      <c r="S656" s="943"/>
      <c r="T656" s="943"/>
      <c r="U656" s="943"/>
      <c r="V656" s="943"/>
      <c r="W656" s="943"/>
      <c r="X656" s="943"/>
      <c r="Y656" s="943"/>
      <c r="Z656" s="943"/>
      <c r="AA656" s="943"/>
      <c r="AB656" s="943"/>
      <c r="AC656" s="943"/>
      <c r="AD656" s="943"/>
      <c r="AE656" s="943"/>
    </row>
    <row r="657" spans="1:31" ht="15.75" customHeight="1">
      <c r="A657" s="943"/>
      <c r="B657" s="943"/>
      <c r="C657" s="943"/>
      <c r="D657" s="943"/>
      <c r="E657" s="943"/>
      <c r="F657" s="943"/>
      <c r="G657" s="943"/>
      <c r="H657" s="943"/>
      <c r="I657" s="943"/>
      <c r="J657" s="943"/>
      <c r="K657" s="943"/>
      <c r="L657" s="943"/>
      <c r="M657" s="943"/>
      <c r="N657" s="943"/>
      <c r="O657" s="943"/>
      <c r="P657" s="943"/>
      <c r="Q657" s="943"/>
      <c r="R657" s="943"/>
      <c r="S657" s="943"/>
      <c r="T657" s="943"/>
      <c r="U657" s="943"/>
      <c r="V657" s="943"/>
      <c r="W657" s="943"/>
      <c r="X657" s="943"/>
      <c r="Y657" s="943"/>
      <c r="Z657" s="943"/>
      <c r="AA657" s="943"/>
      <c r="AB657" s="943"/>
      <c r="AC657" s="943"/>
      <c r="AD657" s="943"/>
      <c r="AE657" s="943"/>
    </row>
    <row r="658" spans="1:31" ht="15.75" customHeight="1">
      <c r="A658" s="943"/>
      <c r="B658" s="943"/>
      <c r="C658" s="943"/>
      <c r="D658" s="943"/>
      <c r="E658" s="943"/>
      <c r="F658" s="943"/>
      <c r="G658" s="943"/>
      <c r="H658" s="943"/>
      <c r="I658" s="943"/>
      <c r="J658" s="943"/>
      <c r="K658" s="943"/>
      <c r="L658" s="943"/>
      <c r="M658" s="943"/>
      <c r="N658" s="943"/>
      <c r="O658" s="943"/>
      <c r="P658" s="943"/>
      <c r="Q658" s="943"/>
      <c r="R658" s="943"/>
      <c r="S658" s="943"/>
      <c r="T658" s="943"/>
      <c r="U658" s="943"/>
      <c r="V658" s="943"/>
      <c r="W658" s="943"/>
      <c r="X658" s="943"/>
      <c r="Y658" s="943"/>
      <c r="Z658" s="943"/>
      <c r="AA658" s="943"/>
      <c r="AB658" s="943"/>
      <c r="AC658" s="943"/>
      <c r="AD658" s="943"/>
      <c r="AE658" s="943"/>
    </row>
    <row r="659" spans="1:31" ht="15.75" customHeight="1">
      <c r="A659" s="943"/>
      <c r="B659" s="943"/>
      <c r="C659" s="943"/>
      <c r="D659" s="943"/>
      <c r="E659" s="943"/>
      <c r="F659" s="943"/>
      <c r="G659" s="943"/>
      <c r="H659" s="943"/>
      <c r="I659" s="943"/>
      <c r="J659" s="943"/>
      <c r="K659" s="943"/>
      <c r="L659" s="943"/>
      <c r="M659" s="943"/>
      <c r="N659" s="943"/>
      <c r="O659" s="943"/>
      <c r="P659" s="943"/>
      <c r="Q659" s="943"/>
      <c r="R659" s="943"/>
      <c r="S659" s="943"/>
      <c r="T659" s="943"/>
      <c r="U659" s="943"/>
      <c r="V659" s="943"/>
      <c r="W659" s="943"/>
      <c r="X659" s="943"/>
      <c r="Y659" s="943"/>
      <c r="Z659" s="943"/>
      <c r="AA659" s="943"/>
      <c r="AB659" s="943"/>
      <c r="AC659" s="943"/>
      <c r="AD659" s="943"/>
      <c r="AE659" s="943"/>
    </row>
    <row r="660" spans="1:31" ht="15.75" customHeight="1">
      <c r="A660" s="943"/>
      <c r="B660" s="943"/>
      <c r="C660" s="943"/>
      <c r="D660" s="943"/>
      <c r="E660" s="943"/>
      <c r="F660" s="943"/>
      <c r="G660" s="943"/>
      <c r="H660" s="943"/>
      <c r="I660" s="943"/>
      <c r="J660" s="943"/>
      <c r="K660" s="943"/>
      <c r="L660" s="943"/>
      <c r="M660" s="943"/>
      <c r="N660" s="943"/>
      <c r="O660" s="943"/>
      <c r="P660" s="943"/>
      <c r="Q660" s="943"/>
      <c r="R660" s="943"/>
      <c r="S660" s="943"/>
      <c r="T660" s="943"/>
      <c r="U660" s="943"/>
      <c r="V660" s="943"/>
      <c r="W660" s="943"/>
      <c r="X660" s="943"/>
      <c r="Y660" s="943"/>
      <c r="Z660" s="943"/>
      <c r="AA660" s="943"/>
      <c r="AB660" s="943"/>
      <c r="AC660" s="943"/>
      <c r="AD660" s="943"/>
      <c r="AE660" s="943"/>
    </row>
    <row r="661" spans="1:31" ht="15.75" customHeight="1">
      <c r="A661" s="943"/>
      <c r="B661" s="943"/>
      <c r="C661" s="943"/>
      <c r="D661" s="943"/>
      <c r="E661" s="943"/>
      <c r="F661" s="943"/>
      <c r="G661" s="943"/>
      <c r="H661" s="943"/>
      <c r="I661" s="943"/>
      <c r="J661" s="943"/>
      <c r="K661" s="943"/>
      <c r="L661" s="943"/>
      <c r="M661" s="943"/>
      <c r="N661" s="943"/>
      <c r="O661" s="943"/>
      <c r="P661" s="943"/>
      <c r="Q661" s="943"/>
      <c r="R661" s="943"/>
      <c r="S661" s="943"/>
      <c r="T661" s="943"/>
      <c r="U661" s="943"/>
      <c r="V661" s="943"/>
      <c r="W661" s="943"/>
      <c r="X661" s="943"/>
      <c r="Y661" s="943"/>
      <c r="Z661" s="943"/>
      <c r="AA661" s="943"/>
      <c r="AB661" s="943"/>
      <c r="AC661" s="943"/>
      <c r="AD661" s="943"/>
      <c r="AE661" s="943"/>
    </row>
    <row r="662" spans="1:31" ht="15.75" customHeight="1">
      <c r="A662" s="943"/>
      <c r="B662" s="943"/>
      <c r="C662" s="943"/>
      <c r="D662" s="943"/>
      <c r="E662" s="943"/>
      <c r="F662" s="943"/>
      <c r="G662" s="943"/>
      <c r="H662" s="943"/>
      <c r="I662" s="943"/>
      <c r="J662" s="943"/>
      <c r="K662" s="943"/>
      <c r="L662" s="943"/>
      <c r="M662" s="943"/>
      <c r="N662" s="943"/>
      <c r="O662" s="943"/>
      <c r="P662" s="943"/>
      <c r="Q662" s="943"/>
      <c r="R662" s="943"/>
      <c r="S662" s="943"/>
      <c r="T662" s="943"/>
      <c r="U662" s="943"/>
      <c r="V662" s="943"/>
      <c r="W662" s="943"/>
      <c r="X662" s="943"/>
      <c r="Y662" s="943"/>
      <c r="Z662" s="943"/>
      <c r="AA662" s="943"/>
      <c r="AB662" s="943"/>
      <c r="AC662" s="943"/>
      <c r="AD662" s="943"/>
      <c r="AE662" s="943"/>
    </row>
    <row r="663" spans="1:31" ht="15.75" customHeight="1">
      <c r="A663" s="943"/>
      <c r="B663" s="943"/>
      <c r="C663" s="943"/>
      <c r="D663" s="943"/>
      <c r="E663" s="943"/>
      <c r="F663" s="943"/>
      <c r="G663" s="943"/>
      <c r="H663" s="943"/>
      <c r="I663" s="943"/>
      <c r="J663" s="943"/>
      <c r="K663" s="943"/>
      <c r="L663" s="943"/>
      <c r="M663" s="943"/>
      <c r="N663" s="943"/>
      <c r="O663" s="943"/>
      <c r="P663" s="943"/>
      <c r="Q663" s="943"/>
      <c r="R663" s="943"/>
      <c r="S663" s="943"/>
      <c r="T663" s="943"/>
      <c r="U663" s="943"/>
      <c r="V663" s="943"/>
      <c r="W663" s="943"/>
      <c r="X663" s="943"/>
      <c r="Y663" s="943"/>
      <c r="Z663" s="943"/>
      <c r="AA663" s="943"/>
      <c r="AB663" s="943"/>
      <c r="AC663" s="943"/>
      <c r="AD663" s="943"/>
      <c r="AE663" s="943"/>
    </row>
    <row r="664" spans="1:31" ht="15.75" customHeight="1">
      <c r="A664" s="943"/>
      <c r="B664" s="943"/>
      <c r="C664" s="943"/>
      <c r="D664" s="943"/>
      <c r="E664" s="943"/>
      <c r="F664" s="943"/>
      <c r="G664" s="943"/>
      <c r="H664" s="943"/>
      <c r="I664" s="943"/>
      <c r="J664" s="943"/>
      <c r="K664" s="943"/>
      <c r="L664" s="943"/>
      <c r="M664" s="943"/>
      <c r="N664" s="943"/>
      <c r="O664" s="943"/>
      <c r="P664" s="943"/>
      <c r="Q664" s="943"/>
      <c r="R664" s="943"/>
      <c r="S664" s="943"/>
      <c r="T664" s="943"/>
      <c r="U664" s="943"/>
      <c r="V664" s="943"/>
      <c r="W664" s="943"/>
      <c r="X664" s="943"/>
      <c r="Y664" s="943"/>
      <c r="Z664" s="943"/>
      <c r="AA664" s="943"/>
      <c r="AB664" s="943"/>
      <c r="AC664" s="943"/>
      <c r="AD664" s="943"/>
      <c r="AE664" s="943"/>
    </row>
    <row r="665" spans="1:31" ht="15.75" customHeight="1">
      <c r="A665" s="943"/>
      <c r="B665" s="943"/>
      <c r="C665" s="943"/>
      <c r="D665" s="943"/>
      <c r="E665" s="943"/>
      <c r="F665" s="943"/>
      <c r="G665" s="943"/>
      <c r="H665" s="943"/>
      <c r="I665" s="943"/>
      <c r="J665" s="943"/>
      <c r="K665" s="943"/>
      <c r="L665" s="943"/>
      <c r="M665" s="943"/>
      <c r="N665" s="943"/>
      <c r="O665" s="943"/>
      <c r="P665" s="943"/>
      <c r="Q665" s="943"/>
      <c r="R665" s="943"/>
      <c r="S665" s="943"/>
      <c r="T665" s="943"/>
      <c r="U665" s="943"/>
      <c r="V665" s="943"/>
      <c r="W665" s="943"/>
      <c r="X665" s="943"/>
      <c r="Y665" s="943"/>
      <c r="Z665" s="943"/>
      <c r="AA665" s="943"/>
      <c r="AB665" s="943"/>
      <c r="AC665" s="943"/>
      <c r="AD665" s="943"/>
      <c r="AE665" s="943"/>
    </row>
    <row r="666" spans="1:31" ht="15.75" customHeight="1">
      <c r="A666" s="943"/>
      <c r="B666" s="943"/>
      <c r="C666" s="943"/>
      <c r="D666" s="943"/>
      <c r="E666" s="943"/>
      <c r="F666" s="943"/>
      <c r="G666" s="943"/>
      <c r="H666" s="943"/>
      <c r="I666" s="943"/>
      <c r="J666" s="943"/>
      <c r="K666" s="943"/>
      <c r="L666" s="943"/>
      <c r="M666" s="943"/>
      <c r="N666" s="943"/>
      <c r="O666" s="943"/>
      <c r="P666" s="943"/>
      <c r="Q666" s="943"/>
      <c r="R666" s="943"/>
      <c r="S666" s="943"/>
      <c r="T666" s="943"/>
      <c r="U666" s="943"/>
      <c r="V666" s="943"/>
      <c r="W666" s="943"/>
      <c r="X666" s="943"/>
      <c r="Y666" s="943"/>
      <c r="Z666" s="943"/>
      <c r="AA666" s="943"/>
      <c r="AB666" s="943"/>
      <c r="AC666" s="943"/>
      <c r="AD666" s="943"/>
      <c r="AE666" s="943"/>
    </row>
    <row r="667" spans="1:31" ht="15.75" customHeight="1">
      <c r="A667" s="943"/>
      <c r="B667" s="943"/>
      <c r="C667" s="943"/>
      <c r="D667" s="943"/>
      <c r="E667" s="943"/>
      <c r="F667" s="943"/>
      <c r="G667" s="943"/>
      <c r="H667" s="943"/>
      <c r="I667" s="943"/>
      <c r="J667" s="943"/>
      <c r="K667" s="943"/>
      <c r="L667" s="943"/>
      <c r="M667" s="943"/>
      <c r="N667" s="943"/>
      <c r="O667" s="943"/>
      <c r="P667" s="943"/>
      <c r="Q667" s="943"/>
      <c r="R667" s="943"/>
      <c r="S667" s="943"/>
      <c r="T667" s="943"/>
      <c r="U667" s="943"/>
      <c r="V667" s="943"/>
      <c r="W667" s="943"/>
      <c r="X667" s="943"/>
      <c r="Y667" s="943"/>
      <c r="Z667" s="943"/>
      <c r="AA667" s="943"/>
      <c r="AB667" s="943"/>
      <c r="AC667" s="943"/>
      <c r="AD667" s="943"/>
      <c r="AE667" s="943"/>
    </row>
    <row r="668" spans="1:31" ht="15.75" customHeight="1">
      <c r="A668" s="943"/>
      <c r="B668" s="943"/>
      <c r="C668" s="943"/>
      <c r="D668" s="943"/>
      <c r="E668" s="943"/>
      <c r="F668" s="943"/>
      <c r="G668" s="943"/>
      <c r="H668" s="943"/>
      <c r="I668" s="943"/>
      <c r="J668" s="943"/>
      <c r="K668" s="943"/>
      <c r="L668" s="943"/>
      <c r="M668" s="943"/>
      <c r="N668" s="943"/>
      <c r="O668" s="943"/>
      <c r="P668" s="943"/>
      <c r="Q668" s="943"/>
      <c r="R668" s="943"/>
      <c r="S668" s="943"/>
      <c r="T668" s="943"/>
      <c r="U668" s="943"/>
      <c r="V668" s="943"/>
      <c r="W668" s="943"/>
      <c r="X668" s="943"/>
      <c r="Y668" s="943"/>
      <c r="Z668" s="943"/>
      <c r="AA668" s="943"/>
      <c r="AB668" s="943"/>
      <c r="AC668" s="943"/>
      <c r="AD668" s="943"/>
      <c r="AE668" s="943"/>
    </row>
    <row r="669" spans="1:31" ht="15.75" customHeight="1">
      <c r="A669" s="943"/>
      <c r="B669" s="943"/>
      <c r="C669" s="943"/>
      <c r="D669" s="943"/>
      <c r="E669" s="943"/>
      <c r="F669" s="943"/>
      <c r="G669" s="943"/>
      <c r="H669" s="943"/>
      <c r="I669" s="943"/>
      <c r="J669" s="943"/>
      <c r="K669" s="943"/>
      <c r="L669" s="943"/>
      <c r="M669" s="943"/>
      <c r="N669" s="943"/>
      <c r="O669" s="943"/>
      <c r="P669" s="943"/>
      <c r="Q669" s="943"/>
      <c r="R669" s="943"/>
      <c r="S669" s="943"/>
      <c r="T669" s="943"/>
      <c r="U669" s="943"/>
      <c r="V669" s="943"/>
      <c r="W669" s="943"/>
      <c r="X669" s="943"/>
      <c r="Y669" s="943"/>
      <c r="Z669" s="943"/>
      <c r="AA669" s="943"/>
      <c r="AB669" s="943"/>
      <c r="AC669" s="943"/>
      <c r="AD669" s="943"/>
      <c r="AE669" s="943"/>
    </row>
    <row r="670" spans="1:31" ht="15.75" customHeight="1">
      <c r="A670" s="943"/>
      <c r="B670" s="943"/>
      <c r="C670" s="943"/>
      <c r="D670" s="943"/>
      <c r="E670" s="943"/>
      <c r="F670" s="943"/>
      <c r="G670" s="943"/>
      <c r="H670" s="943"/>
      <c r="I670" s="943"/>
      <c r="J670" s="943"/>
      <c r="K670" s="943"/>
      <c r="L670" s="943"/>
      <c r="M670" s="943"/>
      <c r="N670" s="943"/>
      <c r="O670" s="943"/>
      <c r="P670" s="943"/>
      <c r="Q670" s="943"/>
      <c r="R670" s="943"/>
      <c r="S670" s="943"/>
      <c r="T670" s="943"/>
      <c r="U670" s="943"/>
      <c r="V670" s="943"/>
      <c r="W670" s="943"/>
      <c r="X670" s="943"/>
      <c r="Y670" s="943"/>
      <c r="Z670" s="943"/>
      <c r="AA670" s="943"/>
      <c r="AB670" s="943"/>
      <c r="AC670" s="943"/>
      <c r="AD670" s="943"/>
      <c r="AE670" s="943"/>
    </row>
    <row r="671" spans="1:31" ht="15.75" customHeight="1">
      <c r="A671" s="943"/>
      <c r="B671" s="943"/>
      <c r="C671" s="943"/>
      <c r="D671" s="943"/>
      <c r="E671" s="943"/>
      <c r="F671" s="943"/>
      <c r="G671" s="943"/>
      <c r="H671" s="943"/>
      <c r="I671" s="943"/>
      <c r="J671" s="943"/>
      <c r="K671" s="943"/>
      <c r="L671" s="943"/>
      <c r="M671" s="943"/>
      <c r="N671" s="943"/>
      <c r="O671" s="943"/>
      <c r="P671" s="943"/>
      <c r="Q671" s="943"/>
      <c r="R671" s="943"/>
      <c r="S671" s="943"/>
      <c r="T671" s="943"/>
      <c r="U671" s="943"/>
      <c r="V671" s="943"/>
      <c r="W671" s="943"/>
      <c r="X671" s="943"/>
      <c r="Y671" s="943"/>
      <c r="Z671" s="943"/>
      <c r="AA671" s="943"/>
      <c r="AB671" s="943"/>
      <c r="AC671" s="943"/>
      <c r="AD671" s="943"/>
      <c r="AE671" s="943"/>
    </row>
    <row r="672" spans="1:31" ht="15.75" customHeight="1">
      <c r="A672" s="943"/>
      <c r="B672" s="943"/>
      <c r="C672" s="943"/>
      <c r="D672" s="943"/>
      <c r="E672" s="943"/>
      <c r="F672" s="943"/>
      <c r="G672" s="943"/>
      <c r="H672" s="943"/>
      <c r="I672" s="943"/>
      <c r="J672" s="943"/>
      <c r="K672" s="943"/>
      <c r="L672" s="943"/>
      <c r="M672" s="943"/>
      <c r="N672" s="943"/>
      <c r="O672" s="943"/>
      <c r="P672" s="943"/>
      <c r="Q672" s="943"/>
      <c r="R672" s="943"/>
      <c r="S672" s="943"/>
      <c r="T672" s="943"/>
      <c r="U672" s="943"/>
      <c r="V672" s="943"/>
      <c r="W672" s="943"/>
      <c r="X672" s="943"/>
      <c r="Y672" s="943"/>
      <c r="Z672" s="943"/>
      <c r="AA672" s="943"/>
      <c r="AB672" s="943"/>
      <c r="AC672" s="943"/>
      <c r="AD672" s="943"/>
      <c r="AE672" s="943"/>
    </row>
    <row r="673" spans="1:31" ht="15.75" customHeight="1">
      <c r="A673" s="943"/>
      <c r="B673" s="943"/>
      <c r="C673" s="943"/>
      <c r="D673" s="943"/>
      <c r="E673" s="943"/>
      <c r="F673" s="943"/>
      <c r="G673" s="943"/>
      <c r="H673" s="943"/>
      <c r="I673" s="943"/>
      <c r="J673" s="943"/>
      <c r="K673" s="943"/>
      <c r="L673" s="943"/>
      <c r="M673" s="943"/>
      <c r="N673" s="943"/>
      <c r="O673" s="943"/>
      <c r="P673" s="943"/>
      <c r="Q673" s="943"/>
      <c r="R673" s="943"/>
      <c r="S673" s="943"/>
      <c r="T673" s="943"/>
      <c r="U673" s="943"/>
      <c r="V673" s="943"/>
      <c r="W673" s="943"/>
      <c r="X673" s="943"/>
      <c r="Y673" s="943"/>
      <c r="Z673" s="943"/>
      <c r="AA673" s="943"/>
      <c r="AB673" s="943"/>
      <c r="AC673" s="943"/>
      <c r="AD673" s="943"/>
      <c r="AE673" s="943"/>
    </row>
    <row r="674" spans="1:31" ht="15.75" customHeight="1">
      <c r="A674" s="943"/>
      <c r="B674" s="943"/>
      <c r="C674" s="943"/>
      <c r="D674" s="943"/>
      <c r="E674" s="943"/>
      <c r="F674" s="943"/>
      <c r="G674" s="943"/>
      <c r="H674" s="943"/>
      <c r="I674" s="943"/>
      <c r="J674" s="943"/>
      <c r="K674" s="943"/>
      <c r="L674" s="943"/>
      <c r="M674" s="943"/>
      <c r="N674" s="943"/>
      <c r="O674" s="943"/>
      <c r="P674" s="943"/>
      <c r="Q674" s="943"/>
      <c r="R674" s="943"/>
      <c r="S674" s="943"/>
      <c r="T674" s="943"/>
      <c r="U674" s="943"/>
      <c r="V674" s="943"/>
      <c r="W674" s="943"/>
      <c r="X674" s="943"/>
      <c r="Y674" s="943"/>
      <c r="Z674" s="943"/>
      <c r="AA674" s="943"/>
      <c r="AB674" s="943"/>
      <c r="AC674" s="943"/>
      <c r="AD674" s="943"/>
      <c r="AE674" s="943"/>
    </row>
    <row r="675" spans="1:31" ht="15.75" customHeight="1">
      <c r="A675" s="943"/>
      <c r="B675" s="943"/>
      <c r="C675" s="943"/>
      <c r="D675" s="943"/>
      <c r="E675" s="943"/>
      <c r="F675" s="943"/>
      <c r="G675" s="943"/>
      <c r="H675" s="943"/>
      <c r="I675" s="943"/>
      <c r="J675" s="943"/>
      <c r="K675" s="943"/>
      <c r="L675" s="943"/>
      <c r="M675" s="943"/>
      <c r="N675" s="943"/>
      <c r="O675" s="943"/>
      <c r="P675" s="943"/>
      <c r="Q675" s="943"/>
      <c r="R675" s="943"/>
      <c r="S675" s="943"/>
      <c r="T675" s="943"/>
      <c r="U675" s="943"/>
      <c r="V675" s="943"/>
      <c r="W675" s="943"/>
      <c r="X675" s="943"/>
      <c r="Y675" s="943"/>
      <c r="Z675" s="943"/>
      <c r="AA675" s="943"/>
      <c r="AB675" s="943"/>
      <c r="AC675" s="943"/>
      <c r="AD675" s="943"/>
      <c r="AE675" s="943"/>
    </row>
    <row r="676" spans="1:31" ht="15.75" customHeight="1">
      <c r="A676" s="943"/>
      <c r="B676" s="943"/>
      <c r="C676" s="943"/>
      <c r="D676" s="943"/>
      <c r="E676" s="943"/>
      <c r="F676" s="943"/>
      <c r="G676" s="943"/>
      <c r="H676" s="943"/>
      <c r="I676" s="943"/>
      <c r="J676" s="943"/>
      <c r="K676" s="943"/>
      <c r="L676" s="943"/>
      <c r="M676" s="943"/>
      <c r="N676" s="943"/>
      <c r="O676" s="943"/>
      <c r="P676" s="943"/>
      <c r="Q676" s="943"/>
      <c r="R676" s="943"/>
      <c r="S676" s="943"/>
      <c r="T676" s="943"/>
      <c r="U676" s="943"/>
      <c r="V676" s="943"/>
      <c r="W676" s="943"/>
      <c r="X676" s="943"/>
      <c r="Y676" s="943"/>
      <c r="Z676" s="943"/>
      <c r="AA676" s="943"/>
      <c r="AB676" s="943"/>
      <c r="AC676" s="943"/>
      <c r="AD676" s="943"/>
      <c r="AE676" s="943"/>
    </row>
    <row r="677" spans="1:31" ht="15.75" customHeight="1">
      <c r="A677" s="943"/>
      <c r="B677" s="943"/>
      <c r="C677" s="943"/>
      <c r="D677" s="943"/>
      <c r="E677" s="943"/>
      <c r="F677" s="943"/>
      <c r="G677" s="943"/>
      <c r="H677" s="943"/>
      <c r="I677" s="943"/>
      <c r="J677" s="943"/>
      <c r="K677" s="943"/>
      <c r="L677" s="943"/>
      <c r="M677" s="943"/>
      <c r="N677" s="943"/>
      <c r="O677" s="943"/>
      <c r="P677" s="943"/>
      <c r="Q677" s="943"/>
      <c r="R677" s="943"/>
      <c r="S677" s="943"/>
      <c r="T677" s="943"/>
      <c r="U677" s="943"/>
      <c r="V677" s="943"/>
      <c r="W677" s="943"/>
      <c r="X677" s="943"/>
      <c r="Y677" s="943"/>
      <c r="Z677" s="943"/>
      <c r="AA677" s="943"/>
      <c r="AB677" s="943"/>
      <c r="AC677" s="943"/>
      <c r="AD677" s="943"/>
      <c r="AE677" s="943"/>
    </row>
    <row r="678" spans="1:31" ht="15.75" customHeight="1">
      <c r="A678" s="943"/>
      <c r="B678" s="943"/>
      <c r="C678" s="943"/>
      <c r="D678" s="943"/>
      <c r="E678" s="943"/>
      <c r="F678" s="943"/>
      <c r="G678" s="943"/>
      <c r="H678" s="943"/>
      <c r="I678" s="943"/>
      <c r="J678" s="943"/>
      <c r="K678" s="943"/>
      <c r="L678" s="943"/>
      <c r="M678" s="943"/>
      <c r="N678" s="943"/>
      <c r="O678" s="943"/>
      <c r="P678" s="943"/>
      <c r="Q678" s="943"/>
      <c r="R678" s="943"/>
      <c r="S678" s="943"/>
      <c r="T678" s="943"/>
      <c r="U678" s="943"/>
      <c r="V678" s="943"/>
      <c r="W678" s="943"/>
      <c r="X678" s="943"/>
      <c r="Y678" s="943"/>
      <c r="Z678" s="943"/>
      <c r="AA678" s="943"/>
      <c r="AB678" s="943"/>
      <c r="AC678" s="943"/>
      <c r="AD678" s="943"/>
      <c r="AE678" s="943"/>
    </row>
    <row r="679" spans="1:31" ht="15.75" customHeight="1">
      <c r="A679" s="943"/>
      <c r="B679" s="943"/>
      <c r="C679" s="943"/>
      <c r="D679" s="943"/>
      <c r="E679" s="943"/>
      <c r="F679" s="943"/>
      <c r="G679" s="943"/>
      <c r="H679" s="943"/>
      <c r="I679" s="943"/>
      <c r="J679" s="943"/>
      <c r="K679" s="943"/>
      <c r="L679" s="943"/>
      <c r="M679" s="943"/>
      <c r="N679" s="943"/>
      <c r="O679" s="943"/>
      <c r="P679" s="943"/>
      <c r="Q679" s="943"/>
      <c r="R679" s="943"/>
      <c r="S679" s="943"/>
      <c r="T679" s="943"/>
      <c r="U679" s="943"/>
      <c r="V679" s="943"/>
      <c r="W679" s="943"/>
      <c r="X679" s="943"/>
      <c r="Y679" s="943"/>
      <c r="Z679" s="943"/>
      <c r="AA679" s="943"/>
      <c r="AB679" s="943"/>
      <c r="AC679" s="943"/>
      <c r="AD679" s="943"/>
      <c r="AE679" s="943"/>
    </row>
    <row r="680" spans="1:31" ht="15.75" customHeight="1">
      <c r="A680" s="943"/>
      <c r="B680" s="943"/>
      <c r="C680" s="943"/>
      <c r="D680" s="943"/>
      <c r="E680" s="943"/>
      <c r="F680" s="943"/>
      <c r="G680" s="943"/>
      <c r="H680" s="943"/>
      <c r="I680" s="943"/>
      <c r="J680" s="943"/>
      <c r="K680" s="943"/>
      <c r="L680" s="943"/>
      <c r="M680" s="943"/>
      <c r="N680" s="943"/>
      <c r="O680" s="943"/>
      <c r="P680" s="943"/>
      <c r="Q680" s="943"/>
      <c r="R680" s="943"/>
      <c r="S680" s="943"/>
      <c r="T680" s="943"/>
      <c r="U680" s="943"/>
      <c r="V680" s="943"/>
      <c r="W680" s="943"/>
      <c r="X680" s="943"/>
      <c r="Y680" s="943"/>
      <c r="Z680" s="943"/>
      <c r="AA680" s="943"/>
      <c r="AB680" s="943"/>
      <c r="AC680" s="943"/>
      <c r="AD680" s="943"/>
      <c r="AE680" s="943"/>
    </row>
    <row r="681" spans="1:31" ht="15.75" customHeight="1">
      <c r="A681" s="943"/>
      <c r="B681" s="943"/>
      <c r="C681" s="943"/>
      <c r="D681" s="943"/>
      <c r="E681" s="943"/>
      <c r="F681" s="943"/>
      <c r="G681" s="943"/>
      <c r="H681" s="943"/>
      <c r="I681" s="943"/>
      <c r="J681" s="943"/>
      <c r="K681" s="943"/>
      <c r="L681" s="943"/>
      <c r="M681" s="943"/>
      <c r="N681" s="943"/>
      <c r="O681" s="943"/>
      <c r="P681" s="943"/>
      <c r="Q681" s="943"/>
      <c r="R681" s="943"/>
      <c r="S681" s="943"/>
      <c r="T681" s="943"/>
      <c r="U681" s="943"/>
      <c r="V681" s="943"/>
      <c r="W681" s="943"/>
      <c r="X681" s="943"/>
      <c r="Y681" s="943"/>
      <c r="Z681" s="943"/>
      <c r="AA681" s="943"/>
      <c r="AB681" s="943"/>
      <c r="AC681" s="943"/>
      <c r="AD681" s="943"/>
      <c r="AE681" s="943"/>
    </row>
    <row r="682" spans="1:31" ht="15.75" customHeight="1">
      <c r="A682" s="943"/>
      <c r="B682" s="943"/>
      <c r="C682" s="943"/>
      <c r="D682" s="943"/>
      <c r="E682" s="943"/>
      <c r="F682" s="943"/>
      <c r="G682" s="943"/>
      <c r="H682" s="943"/>
      <c r="I682" s="943"/>
      <c r="J682" s="943"/>
      <c r="K682" s="943"/>
      <c r="L682" s="943"/>
      <c r="M682" s="943"/>
      <c r="N682" s="943"/>
      <c r="O682" s="943"/>
      <c r="P682" s="943"/>
      <c r="Q682" s="943"/>
      <c r="R682" s="943"/>
      <c r="S682" s="943"/>
      <c r="T682" s="943"/>
      <c r="U682" s="943"/>
      <c r="V682" s="943"/>
      <c r="W682" s="943"/>
      <c r="X682" s="943"/>
      <c r="Y682" s="943"/>
      <c r="Z682" s="943"/>
      <c r="AA682" s="943"/>
      <c r="AB682" s="943"/>
      <c r="AC682" s="943"/>
      <c r="AD682" s="943"/>
      <c r="AE682" s="943"/>
    </row>
    <row r="683" spans="1:31" ht="15.75" customHeight="1">
      <c r="A683" s="943"/>
      <c r="B683" s="943"/>
      <c r="C683" s="943"/>
      <c r="D683" s="943"/>
      <c r="E683" s="943"/>
      <c r="F683" s="943"/>
      <c r="G683" s="943"/>
      <c r="H683" s="943"/>
      <c r="I683" s="943"/>
      <c r="J683" s="943"/>
      <c r="K683" s="943"/>
      <c r="L683" s="943"/>
      <c r="M683" s="943"/>
      <c r="N683" s="943"/>
      <c r="O683" s="943"/>
      <c r="P683" s="943"/>
      <c r="Q683" s="943"/>
      <c r="R683" s="943"/>
      <c r="S683" s="943"/>
      <c r="T683" s="943"/>
      <c r="U683" s="943"/>
      <c r="V683" s="943"/>
      <c r="W683" s="943"/>
      <c r="X683" s="943"/>
      <c r="Y683" s="943"/>
      <c r="Z683" s="943"/>
      <c r="AA683" s="943"/>
      <c r="AB683" s="943"/>
      <c r="AC683" s="943"/>
      <c r="AD683" s="943"/>
      <c r="AE683" s="943"/>
    </row>
    <row r="684" spans="1:31" ht="15.75" customHeight="1">
      <c r="A684" s="943"/>
      <c r="B684" s="943"/>
      <c r="C684" s="943"/>
      <c r="D684" s="943"/>
      <c r="E684" s="943"/>
      <c r="F684" s="943"/>
      <c r="G684" s="943"/>
      <c r="H684" s="943"/>
      <c r="I684" s="943"/>
      <c r="J684" s="943"/>
      <c r="K684" s="943"/>
      <c r="L684" s="943"/>
      <c r="M684" s="943"/>
      <c r="N684" s="943"/>
      <c r="O684" s="943"/>
      <c r="P684" s="943"/>
      <c r="Q684" s="943"/>
      <c r="R684" s="943"/>
      <c r="S684" s="943"/>
      <c r="T684" s="943"/>
      <c r="U684" s="943"/>
      <c r="V684" s="943"/>
      <c r="W684" s="943"/>
      <c r="X684" s="943"/>
      <c r="Y684" s="943"/>
      <c r="Z684" s="943"/>
      <c r="AA684" s="943"/>
      <c r="AB684" s="943"/>
      <c r="AC684" s="943"/>
      <c r="AD684" s="943"/>
      <c r="AE684" s="943"/>
    </row>
    <row r="685" spans="1:31" ht="15.75" customHeight="1">
      <c r="A685" s="943"/>
      <c r="B685" s="943"/>
      <c r="C685" s="943"/>
      <c r="D685" s="943"/>
      <c r="E685" s="943"/>
      <c r="F685" s="943"/>
      <c r="G685" s="943"/>
      <c r="H685" s="943"/>
      <c r="I685" s="943"/>
      <c r="J685" s="943"/>
      <c r="K685" s="943"/>
      <c r="L685" s="943"/>
      <c r="M685" s="943"/>
      <c r="N685" s="943"/>
      <c r="O685" s="943"/>
      <c r="P685" s="943"/>
      <c r="Q685" s="943"/>
      <c r="R685" s="943"/>
      <c r="S685" s="943"/>
      <c r="T685" s="943"/>
      <c r="U685" s="943"/>
      <c r="V685" s="943"/>
      <c r="W685" s="943"/>
      <c r="X685" s="943"/>
      <c r="Y685" s="943"/>
      <c r="Z685" s="943"/>
      <c r="AA685" s="943"/>
      <c r="AB685" s="943"/>
      <c r="AC685" s="943"/>
      <c r="AD685" s="943"/>
      <c r="AE685" s="943"/>
    </row>
    <row r="686" spans="1:31" ht="15.75" customHeight="1">
      <c r="A686" s="943"/>
      <c r="B686" s="943"/>
      <c r="C686" s="943"/>
      <c r="D686" s="943"/>
      <c r="E686" s="943"/>
      <c r="F686" s="943"/>
      <c r="G686" s="943"/>
      <c r="H686" s="943"/>
      <c r="I686" s="943"/>
      <c r="J686" s="943"/>
      <c r="K686" s="943"/>
      <c r="L686" s="943"/>
      <c r="M686" s="943"/>
      <c r="N686" s="943"/>
      <c r="O686" s="943"/>
      <c r="P686" s="943"/>
      <c r="Q686" s="943"/>
      <c r="R686" s="943"/>
      <c r="S686" s="943"/>
      <c r="T686" s="943"/>
      <c r="U686" s="943"/>
      <c r="V686" s="943"/>
      <c r="W686" s="943"/>
      <c r="X686" s="943"/>
      <c r="Y686" s="943"/>
      <c r="Z686" s="943"/>
      <c r="AA686" s="943"/>
      <c r="AB686" s="943"/>
      <c r="AC686" s="943"/>
      <c r="AD686" s="943"/>
      <c r="AE686" s="943"/>
    </row>
    <row r="687" spans="1:31" ht="15.75" customHeight="1">
      <c r="A687" s="943"/>
      <c r="B687" s="943"/>
      <c r="C687" s="943"/>
      <c r="D687" s="943"/>
      <c r="E687" s="943"/>
      <c r="F687" s="943"/>
      <c r="G687" s="943"/>
      <c r="H687" s="943"/>
      <c r="I687" s="943"/>
      <c r="J687" s="943"/>
      <c r="K687" s="943"/>
      <c r="L687" s="943"/>
      <c r="M687" s="943"/>
      <c r="N687" s="943"/>
      <c r="O687" s="943"/>
      <c r="P687" s="943"/>
      <c r="Q687" s="943"/>
      <c r="R687" s="943"/>
      <c r="S687" s="943"/>
      <c r="T687" s="943"/>
      <c r="U687" s="943"/>
      <c r="V687" s="943"/>
      <c r="W687" s="943"/>
      <c r="X687" s="943"/>
      <c r="Y687" s="943"/>
      <c r="Z687" s="943"/>
      <c r="AA687" s="943"/>
      <c r="AB687" s="943"/>
      <c r="AC687" s="943"/>
      <c r="AD687" s="943"/>
      <c r="AE687" s="943"/>
    </row>
    <row r="688" spans="1:31" ht="15.75" customHeight="1">
      <c r="A688" s="943"/>
      <c r="B688" s="943"/>
      <c r="C688" s="943"/>
      <c r="D688" s="943"/>
      <c r="E688" s="943"/>
      <c r="F688" s="943"/>
      <c r="G688" s="943"/>
      <c r="H688" s="943"/>
      <c r="I688" s="943"/>
      <c r="J688" s="943"/>
      <c r="K688" s="943"/>
      <c r="L688" s="943"/>
      <c r="M688" s="943"/>
      <c r="N688" s="943"/>
      <c r="O688" s="943"/>
      <c r="P688" s="943"/>
      <c r="Q688" s="943"/>
      <c r="R688" s="943"/>
      <c r="S688" s="943"/>
      <c r="T688" s="943"/>
      <c r="U688" s="943"/>
      <c r="V688" s="943"/>
      <c r="W688" s="943"/>
      <c r="X688" s="943"/>
      <c r="Y688" s="943"/>
      <c r="Z688" s="943"/>
      <c r="AA688" s="943"/>
      <c r="AB688" s="943"/>
      <c r="AC688" s="943"/>
      <c r="AD688" s="943"/>
      <c r="AE688" s="943"/>
    </row>
    <row r="689" spans="1:31" ht="15.75" customHeight="1">
      <c r="A689" s="943"/>
      <c r="B689" s="943"/>
      <c r="C689" s="943"/>
      <c r="D689" s="943"/>
      <c r="E689" s="943"/>
      <c r="F689" s="943"/>
      <c r="G689" s="943"/>
      <c r="H689" s="943"/>
      <c r="I689" s="943"/>
      <c r="J689" s="943"/>
      <c r="K689" s="943"/>
      <c r="L689" s="943"/>
      <c r="M689" s="943"/>
      <c r="N689" s="943"/>
      <c r="O689" s="943"/>
      <c r="P689" s="943"/>
      <c r="Q689" s="943"/>
      <c r="R689" s="943"/>
      <c r="S689" s="943"/>
      <c r="T689" s="943"/>
      <c r="U689" s="943"/>
      <c r="V689" s="943"/>
      <c r="W689" s="943"/>
      <c r="X689" s="943"/>
      <c r="Y689" s="943"/>
      <c r="Z689" s="943"/>
      <c r="AA689" s="943"/>
      <c r="AB689" s="943"/>
      <c r="AC689" s="943"/>
      <c r="AD689" s="943"/>
      <c r="AE689" s="943"/>
    </row>
    <row r="690" spans="1:31" ht="15.75" customHeight="1">
      <c r="A690" s="943"/>
      <c r="B690" s="943"/>
      <c r="C690" s="943"/>
      <c r="D690" s="943"/>
      <c r="E690" s="943"/>
      <c r="F690" s="943"/>
      <c r="G690" s="943"/>
      <c r="H690" s="943"/>
      <c r="I690" s="943"/>
      <c r="J690" s="943"/>
      <c r="K690" s="943"/>
      <c r="L690" s="943"/>
      <c r="M690" s="943"/>
      <c r="N690" s="943"/>
      <c r="O690" s="943"/>
      <c r="P690" s="943"/>
      <c r="Q690" s="943"/>
      <c r="R690" s="943"/>
      <c r="S690" s="943"/>
      <c r="T690" s="943"/>
      <c r="U690" s="943"/>
      <c r="V690" s="943"/>
      <c r="W690" s="943"/>
      <c r="X690" s="943"/>
      <c r="Y690" s="943"/>
      <c r="Z690" s="943"/>
      <c r="AA690" s="943"/>
      <c r="AB690" s="943"/>
      <c r="AC690" s="943"/>
      <c r="AD690" s="943"/>
      <c r="AE690" s="943"/>
    </row>
    <row r="691" spans="1:31" ht="15.75" customHeight="1">
      <c r="A691" s="943"/>
      <c r="B691" s="943"/>
      <c r="C691" s="943"/>
      <c r="D691" s="943"/>
      <c r="E691" s="943"/>
      <c r="F691" s="943"/>
      <c r="G691" s="943"/>
      <c r="H691" s="943"/>
      <c r="I691" s="943"/>
      <c r="J691" s="943"/>
      <c r="K691" s="943"/>
      <c r="L691" s="943"/>
      <c r="M691" s="943"/>
      <c r="N691" s="943"/>
      <c r="O691" s="943"/>
      <c r="P691" s="943"/>
      <c r="Q691" s="943"/>
      <c r="R691" s="943"/>
      <c r="S691" s="943"/>
      <c r="T691" s="943"/>
      <c r="U691" s="943"/>
      <c r="V691" s="943"/>
      <c r="W691" s="943"/>
      <c r="X691" s="943"/>
      <c r="Y691" s="943"/>
      <c r="Z691" s="943"/>
      <c r="AA691" s="943"/>
      <c r="AB691" s="943"/>
      <c r="AC691" s="943"/>
      <c r="AD691" s="943"/>
      <c r="AE691" s="943"/>
    </row>
    <row r="692" spans="1:31" ht="15.75" customHeight="1">
      <c r="A692" s="943"/>
      <c r="B692" s="943"/>
      <c r="C692" s="943"/>
      <c r="D692" s="943"/>
      <c r="E692" s="943"/>
      <c r="F692" s="943"/>
      <c r="G692" s="943"/>
      <c r="H692" s="943"/>
      <c r="I692" s="943"/>
      <c r="J692" s="943"/>
      <c r="K692" s="943"/>
      <c r="L692" s="943"/>
      <c r="M692" s="943"/>
      <c r="N692" s="943"/>
      <c r="O692" s="943"/>
      <c r="P692" s="943"/>
      <c r="Q692" s="943"/>
      <c r="R692" s="943"/>
      <c r="S692" s="943"/>
      <c r="T692" s="943"/>
      <c r="U692" s="943"/>
      <c r="V692" s="943"/>
      <c r="W692" s="943"/>
      <c r="X692" s="943"/>
      <c r="Y692" s="943"/>
      <c r="Z692" s="943"/>
      <c r="AA692" s="943"/>
      <c r="AB692" s="943"/>
      <c r="AC692" s="943"/>
      <c r="AD692" s="943"/>
      <c r="AE692" s="943"/>
    </row>
    <row r="693" spans="1:31" ht="15.75" customHeight="1">
      <c r="A693" s="943"/>
      <c r="B693" s="943"/>
      <c r="C693" s="943"/>
      <c r="D693" s="943"/>
      <c r="E693" s="943"/>
      <c r="F693" s="943"/>
      <c r="G693" s="943"/>
      <c r="H693" s="943"/>
      <c r="I693" s="943"/>
      <c r="J693" s="943"/>
      <c r="K693" s="943"/>
      <c r="L693" s="943"/>
      <c r="M693" s="943"/>
      <c r="N693" s="943"/>
      <c r="O693" s="943"/>
      <c r="P693" s="943"/>
      <c r="Q693" s="943"/>
      <c r="R693" s="943"/>
      <c r="S693" s="943"/>
      <c r="T693" s="943"/>
      <c r="U693" s="943"/>
      <c r="V693" s="943"/>
      <c r="W693" s="943"/>
      <c r="X693" s="943"/>
      <c r="Y693" s="943"/>
      <c r="Z693" s="943"/>
      <c r="AA693" s="943"/>
      <c r="AB693" s="943"/>
      <c r="AC693" s="943"/>
      <c r="AD693" s="943"/>
      <c r="AE693" s="943"/>
    </row>
    <row r="694" spans="1:31" ht="15.75" customHeight="1">
      <c r="A694" s="943"/>
      <c r="B694" s="943"/>
      <c r="C694" s="943"/>
      <c r="D694" s="943"/>
      <c r="E694" s="943"/>
      <c r="F694" s="943"/>
      <c r="G694" s="943"/>
      <c r="H694" s="943"/>
      <c r="I694" s="943"/>
      <c r="J694" s="943"/>
      <c r="K694" s="943"/>
      <c r="L694" s="943"/>
      <c r="M694" s="943"/>
      <c r="N694" s="943"/>
      <c r="O694" s="943"/>
      <c r="P694" s="943"/>
      <c r="Q694" s="943"/>
      <c r="R694" s="943"/>
      <c r="S694" s="943"/>
      <c r="T694" s="943"/>
      <c r="U694" s="943"/>
      <c r="V694" s="943"/>
      <c r="W694" s="943"/>
      <c r="X694" s="943"/>
      <c r="Y694" s="943"/>
      <c r="Z694" s="943"/>
      <c r="AA694" s="943"/>
      <c r="AB694" s="943"/>
      <c r="AC694" s="943"/>
      <c r="AD694" s="943"/>
      <c r="AE694" s="943"/>
    </row>
    <row r="695" spans="1:31" ht="15.75" customHeight="1">
      <c r="A695" s="943"/>
      <c r="B695" s="943"/>
      <c r="C695" s="943"/>
      <c r="D695" s="943"/>
      <c r="E695" s="943"/>
      <c r="F695" s="943"/>
      <c r="G695" s="943"/>
      <c r="H695" s="943"/>
      <c r="I695" s="943"/>
      <c r="J695" s="943"/>
      <c r="K695" s="943"/>
      <c r="L695" s="943"/>
      <c r="M695" s="943"/>
      <c r="N695" s="943"/>
      <c r="O695" s="943"/>
      <c r="P695" s="943"/>
      <c r="Q695" s="943"/>
      <c r="R695" s="943"/>
      <c r="S695" s="943"/>
      <c r="T695" s="943"/>
      <c r="U695" s="943"/>
      <c r="V695" s="943"/>
      <c r="W695" s="943"/>
      <c r="X695" s="943"/>
      <c r="Y695" s="943"/>
      <c r="Z695" s="943"/>
      <c r="AA695" s="943"/>
      <c r="AB695" s="943"/>
      <c r="AC695" s="943"/>
      <c r="AD695" s="943"/>
      <c r="AE695" s="943"/>
    </row>
    <row r="696" spans="1:31" ht="15.75" customHeight="1">
      <c r="A696" s="943"/>
      <c r="B696" s="943"/>
      <c r="C696" s="943"/>
      <c r="D696" s="943"/>
      <c r="E696" s="943"/>
      <c r="F696" s="943"/>
      <c r="G696" s="943"/>
      <c r="H696" s="943"/>
      <c r="I696" s="943"/>
      <c r="J696" s="943"/>
      <c r="K696" s="943"/>
      <c r="L696" s="943"/>
      <c r="M696" s="943"/>
      <c r="N696" s="943"/>
      <c r="O696" s="943"/>
      <c r="P696" s="943"/>
      <c r="Q696" s="943"/>
      <c r="R696" s="943"/>
      <c r="S696" s="943"/>
      <c r="T696" s="943"/>
      <c r="U696" s="943"/>
      <c r="V696" s="943"/>
      <c r="W696" s="943"/>
      <c r="X696" s="943"/>
      <c r="Y696" s="943"/>
      <c r="Z696" s="943"/>
      <c r="AA696" s="943"/>
      <c r="AB696" s="943"/>
      <c r="AC696" s="943"/>
      <c r="AD696" s="943"/>
      <c r="AE696" s="943"/>
    </row>
    <row r="697" spans="1:31" ht="15.75" customHeight="1">
      <c r="A697" s="943"/>
      <c r="B697" s="943"/>
      <c r="C697" s="943"/>
      <c r="D697" s="943"/>
      <c r="E697" s="943"/>
      <c r="F697" s="943"/>
      <c r="G697" s="943"/>
      <c r="H697" s="943"/>
      <c r="I697" s="943"/>
      <c r="J697" s="943"/>
      <c r="K697" s="943"/>
      <c r="L697" s="943"/>
      <c r="M697" s="943"/>
      <c r="N697" s="943"/>
      <c r="O697" s="943"/>
      <c r="P697" s="943"/>
      <c r="Q697" s="943"/>
      <c r="R697" s="943"/>
      <c r="S697" s="943"/>
      <c r="T697" s="943"/>
      <c r="U697" s="943"/>
      <c r="V697" s="943"/>
      <c r="W697" s="943"/>
      <c r="X697" s="943"/>
      <c r="Y697" s="943"/>
      <c r="Z697" s="943"/>
      <c r="AA697" s="943"/>
      <c r="AB697" s="943"/>
      <c r="AC697" s="943"/>
      <c r="AD697" s="943"/>
      <c r="AE697" s="943"/>
    </row>
    <row r="698" spans="1:31" ht="15.75" customHeight="1">
      <c r="A698" s="943"/>
      <c r="B698" s="943"/>
      <c r="C698" s="943"/>
      <c r="D698" s="943"/>
      <c r="E698" s="943"/>
      <c r="F698" s="943"/>
      <c r="G698" s="943"/>
      <c r="H698" s="943"/>
      <c r="I698" s="943"/>
      <c r="J698" s="943"/>
      <c r="K698" s="943"/>
      <c r="L698" s="943"/>
      <c r="M698" s="943"/>
      <c r="N698" s="943"/>
      <c r="O698" s="943"/>
      <c r="P698" s="943"/>
      <c r="Q698" s="943"/>
      <c r="R698" s="943"/>
      <c r="S698" s="943"/>
      <c r="T698" s="943"/>
      <c r="U698" s="943"/>
      <c r="V698" s="943"/>
      <c r="W698" s="943"/>
      <c r="X698" s="943"/>
      <c r="Y698" s="943"/>
      <c r="Z698" s="943"/>
      <c r="AA698" s="943"/>
      <c r="AB698" s="943"/>
      <c r="AC698" s="943"/>
      <c r="AD698" s="943"/>
      <c r="AE698" s="943"/>
    </row>
    <row r="699" spans="1:31" ht="15.75" customHeight="1">
      <c r="A699" s="943"/>
      <c r="B699" s="943"/>
      <c r="C699" s="943"/>
      <c r="D699" s="943"/>
      <c r="E699" s="943"/>
      <c r="F699" s="943"/>
      <c r="G699" s="943"/>
      <c r="H699" s="943"/>
      <c r="I699" s="943"/>
      <c r="J699" s="943"/>
      <c r="K699" s="943"/>
      <c r="L699" s="943"/>
      <c r="M699" s="943"/>
      <c r="N699" s="943"/>
      <c r="O699" s="943"/>
      <c r="P699" s="943"/>
      <c r="Q699" s="943"/>
      <c r="R699" s="943"/>
      <c r="S699" s="943"/>
      <c r="T699" s="943"/>
      <c r="U699" s="943"/>
      <c r="V699" s="943"/>
      <c r="W699" s="943"/>
      <c r="X699" s="943"/>
      <c r="Y699" s="943"/>
      <c r="Z699" s="943"/>
      <c r="AA699" s="943"/>
      <c r="AB699" s="943"/>
      <c r="AC699" s="943"/>
      <c r="AD699" s="943"/>
      <c r="AE699" s="943"/>
    </row>
    <row r="700" spans="1:31" ht="15.75" customHeight="1">
      <c r="A700" s="943"/>
      <c r="B700" s="943"/>
      <c r="C700" s="943"/>
      <c r="D700" s="943"/>
      <c r="E700" s="943"/>
      <c r="F700" s="943"/>
      <c r="G700" s="943"/>
      <c r="H700" s="943"/>
      <c r="I700" s="943"/>
      <c r="J700" s="943"/>
      <c r="K700" s="943"/>
      <c r="L700" s="943"/>
      <c r="M700" s="943"/>
      <c r="N700" s="943"/>
      <c r="O700" s="943"/>
      <c r="P700" s="943"/>
      <c r="Q700" s="943"/>
      <c r="R700" s="943"/>
      <c r="S700" s="943"/>
      <c r="T700" s="943"/>
      <c r="U700" s="943"/>
      <c r="V700" s="943"/>
      <c r="W700" s="943"/>
      <c r="X700" s="943"/>
      <c r="Y700" s="943"/>
      <c r="Z700" s="943"/>
      <c r="AA700" s="943"/>
      <c r="AB700" s="943"/>
      <c r="AC700" s="943"/>
      <c r="AD700" s="943"/>
      <c r="AE700" s="943"/>
    </row>
    <row r="701" spans="1:31" ht="15.75" customHeight="1">
      <c r="A701" s="943"/>
      <c r="B701" s="943"/>
      <c r="C701" s="943"/>
      <c r="D701" s="943"/>
      <c r="E701" s="943"/>
      <c r="F701" s="943"/>
      <c r="G701" s="943"/>
      <c r="H701" s="943"/>
      <c r="I701" s="943"/>
      <c r="J701" s="943"/>
      <c r="K701" s="943"/>
      <c r="L701" s="943"/>
      <c r="M701" s="943"/>
      <c r="N701" s="943"/>
      <c r="O701" s="943"/>
      <c r="P701" s="943"/>
      <c r="Q701" s="943"/>
      <c r="R701" s="943"/>
      <c r="S701" s="943"/>
      <c r="T701" s="943"/>
      <c r="U701" s="943"/>
      <c r="V701" s="943"/>
      <c r="W701" s="943"/>
      <c r="X701" s="943"/>
      <c r="Y701" s="943"/>
      <c r="Z701" s="943"/>
      <c r="AA701" s="943"/>
      <c r="AB701" s="943"/>
      <c r="AC701" s="943"/>
      <c r="AD701" s="943"/>
      <c r="AE701" s="943"/>
    </row>
    <row r="702" spans="1:31" ht="15.75" customHeight="1">
      <c r="A702" s="943"/>
      <c r="B702" s="943"/>
      <c r="C702" s="943"/>
      <c r="D702" s="943"/>
      <c r="E702" s="943"/>
      <c r="F702" s="943"/>
      <c r="G702" s="943"/>
      <c r="H702" s="943"/>
      <c r="I702" s="943"/>
      <c r="J702" s="943"/>
      <c r="K702" s="943"/>
      <c r="L702" s="943"/>
      <c r="M702" s="943"/>
      <c r="N702" s="943"/>
      <c r="O702" s="943"/>
      <c r="P702" s="943"/>
      <c r="Q702" s="943"/>
      <c r="R702" s="943"/>
      <c r="S702" s="943"/>
      <c r="T702" s="943"/>
      <c r="U702" s="943"/>
      <c r="V702" s="943"/>
      <c r="W702" s="943"/>
      <c r="X702" s="943"/>
      <c r="Y702" s="943"/>
      <c r="Z702" s="943"/>
      <c r="AA702" s="943"/>
      <c r="AB702" s="943"/>
      <c r="AC702" s="943"/>
      <c r="AD702" s="943"/>
      <c r="AE702" s="943"/>
    </row>
    <row r="703" spans="1:31" ht="15.75" customHeight="1">
      <c r="A703" s="943"/>
      <c r="B703" s="943"/>
      <c r="C703" s="943"/>
      <c r="D703" s="943"/>
      <c r="E703" s="943"/>
      <c r="F703" s="943"/>
      <c r="G703" s="943"/>
      <c r="H703" s="943"/>
      <c r="I703" s="943"/>
      <c r="J703" s="943"/>
      <c r="K703" s="943"/>
      <c r="L703" s="943"/>
      <c r="M703" s="943"/>
      <c r="N703" s="943"/>
      <c r="O703" s="943"/>
      <c r="P703" s="943"/>
      <c r="Q703" s="943"/>
      <c r="R703" s="943"/>
      <c r="S703" s="943"/>
      <c r="T703" s="943"/>
      <c r="U703" s="943"/>
      <c r="V703" s="943"/>
      <c r="W703" s="943"/>
      <c r="X703" s="943"/>
      <c r="Y703" s="943"/>
      <c r="Z703" s="943"/>
      <c r="AA703" s="943"/>
      <c r="AB703" s="943"/>
      <c r="AC703" s="943"/>
      <c r="AD703" s="943"/>
      <c r="AE703" s="943"/>
    </row>
    <row r="704" spans="1:31" ht="15.75" customHeight="1">
      <c r="A704" s="943"/>
      <c r="B704" s="943"/>
      <c r="C704" s="943"/>
      <c r="D704" s="943"/>
      <c r="E704" s="943"/>
      <c r="F704" s="943"/>
      <c r="G704" s="943"/>
      <c r="H704" s="943"/>
      <c r="I704" s="943"/>
      <c r="J704" s="943"/>
      <c r="K704" s="943"/>
      <c r="L704" s="943"/>
      <c r="M704" s="943"/>
      <c r="N704" s="943"/>
      <c r="O704" s="943"/>
      <c r="P704" s="943"/>
      <c r="Q704" s="943"/>
      <c r="R704" s="943"/>
      <c r="S704" s="943"/>
      <c r="T704" s="943"/>
      <c r="U704" s="943"/>
      <c r="V704" s="943"/>
      <c r="W704" s="943"/>
      <c r="X704" s="943"/>
      <c r="Y704" s="943"/>
      <c r="Z704" s="943"/>
      <c r="AA704" s="943"/>
      <c r="AB704" s="943"/>
      <c r="AC704" s="943"/>
      <c r="AD704" s="943"/>
      <c r="AE704" s="943"/>
    </row>
    <row r="705" spans="1:31" ht="15.75" customHeight="1">
      <c r="A705" s="943"/>
      <c r="B705" s="943"/>
      <c r="C705" s="943"/>
      <c r="D705" s="943"/>
      <c r="E705" s="943"/>
      <c r="F705" s="943"/>
      <c r="G705" s="943"/>
      <c r="H705" s="943"/>
      <c r="I705" s="943"/>
      <c r="J705" s="943"/>
      <c r="K705" s="943"/>
      <c r="L705" s="943"/>
      <c r="M705" s="943"/>
      <c r="N705" s="943"/>
      <c r="O705" s="943"/>
      <c r="P705" s="943"/>
      <c r="Q705" s="943"/>
      <c r="R705" s="943"/>
      <c r="S705" s="943"/>
      <c r="T705" s="943"/>
      <c r="U705" s="943"/>
      <c r="V705" s="943"/>
      <c r="W705" s="943"/>
      <c r="X705" s="943"/>
      <c r="Y705" s="943"/>
      <c r="Z705" s="943"/>
      <c r="AA705" s="943"/>
      <c r="AB705" s="943"/>
      <c r="AC705" s="943"/>
      <c r="AD705" s="943"/>
      <c r="AE705" s="943"/>
    </row>
    <row r="706" spans="1:31" ht="15.75" customHeight="1">
      <c r="A706" s="943"/>
      <c r="B706" s="943"/>
      <c r="C706" s="943"/>
      <c r="D706" s="943"/>
      <c r="E706" s="943"/>
      <c r="F706" s="943"/>
      <c r="G706" s="943"/>
      <c r="H706" s="943"/>
      <c r="I706" s="943"/>
      <c r="J706" s="943"/>
      <c r="K706" s="943"/>
      <c r="L706" s="943"/>
      <c r="M706" s="943"/>
      <c r="N706" s="943"/>
      <c r="O706" s="943"/>
      <c r="P706" s="943"/>
      <c r="Q706" s="943"/>
      <c r="R706" s="943"/>
      <c r="S706" s="943"/>
      <c r="T706" s="943"/>
      <c r="U706" s="943"/>
      <c r="V706" s="943"/>
      <c r="W706" s="943"/>
      <c r="X706" s="943"/>
      <c r="Y706" s="943"/>
      <c r="Z706" s="943"/>
      <c r="AA706" s="943"/>
      <c r="AB706" s="943"/>
      <c r="AC706" s="943"/>
      <c r="AD706" s="943"/>
      <c r="AE706" s="943"/>
    </row>
    <row r="707" spans="1:31" ht="15.75" customHeight="1">
      <c r="A707" s="943"/>
      <c r="B707" s="943"/>
      <c r="C707" s="943"/>
      <c r="D707" s="943"/>
      <c r="E707" s="943"/>
      <c r="F707" s="943"/>
      <c r="G707" s="943"/>
      <c r="H707" s="943"/>
      <c r="I707" s="943"/>
      <c r="J707" s="943"/>
      <c r="K707" s="943"/>
      <c r="L707" s="943"/>
      <c r="M707" s="943"/>
      <c r="N707" s="943"/>
      <c r="O707" s="943"/>
      <c r="P707" s="943"/>
      <c r="Q707" s="943"/>
      <c r="R707" s="943"/>
      <c r="S707" s="943"/>
      <c r="T707" s="943"/>
      <c r="U707" s="943"/>
      <c r="V707" s="943"/>
      <c r="W707" s="943"/>
      <c r="X707" s="943"/>
      <c r="Y707" s="943"/>
      <c r="Z707" s="943"/>
      <c r="AA707" s="943"/>
      <c r="AB707" s="943"/>
      <c r="AC707" s="943"/>
      <c r="AD707" s="943"/>
      <c r="AE707" s="943"/>
    </row>
    <row r="708" spans="1:31" ht="15.75" customHeight="1">
      <c r="A708" s="943"/>
      <c r="B708" s="943"/>
      <c r="C708" s="943"/>
      <c r="D708" s="943"/>
      <c r="E708" s="943"/>
      <c r="F708" s="943"/>
      <c r="G708" s="943"/>
      <c r="H708" s="943"/>
      <c r="I708" s="943"/>
      <c r="J708" s="943"/>
      <c r="K708" s="943"/>
      <c r="L708" s="943"/>
      <c r="M708" s="943"/>
      <c r="N708" s="943"/>
      <c r="O708" s="943"/>
      <c r="P708" s="943"/>
      <c r="Q708" s="943"/>
      <c r="R708" s="943"/>
      <c r="S708" s="943"/>
      <c r="T708" s="943"/>
      <c r="U708" s="943"/>
      <c r="V708" s="943"/>
      <c r="W708" s="943"/>
      <c r="X708" s="943"/>
      <c r="Y708" s="943"/>
      <c r="Z708" s="943"/>
      <c r="AA708" s="943"/>
      <c r="AB708" s="943"/>
      <c r="AC708" s="943"/>
      <c r="AD708" s="943"/>
      <c r="AE708" s="943"/>
    </row>
    <row r="709" spans="1:31" ht="15.75" customHeight="1">
      <c r="A709" s="943"/>
      <c r="B709" s="943"/>
      <c r="C709" s="943"/>
      <c r="D709" s="943"/>
      <c r="E709" s="943"/>
      <c r="F709" s="943"/>
      <c r="G709" s="943"/>
      <c r="H709" s="943"/>
      <c r="I709" s="943"/>
      <c r="J709" s="943"/>
      <c r="K709" s="943"/>
      <c r="L709" s="943"/>
      <c r="M709" s="943"/>
      <c r="N709" s="943"/>
      <c r="O709" s="943"/>
      <c r="P709" s="943"/>
      <c r="Q709" s="943"/>
      <c r="R709" s="943"/>
      <c r="S709" s="943"/>
      <c r="T709" s="943"/>
      <c r="U709" s="943"/>
      <c r="V709" s="943"/>
      <c r="W709" s="943"/>
      <c r="X709" s="943"/>
      <c r="Y709" s="943"/>
      <c r="Z709" s="943"/>
      <c r="AA709" s="943"/>
      <c r="AB709" s="943"/>
      <c r="AC709" s="943"/>
      <c r="AD709" s="943"/>
      <c r="AE709" s="943"/>
    </row>
    <row r="710" spans="1:31" ht="15.75" customHeight="1">
      <c r="A710" s="943"/>
      <c r="B710" s="943"/>
      <c r="C710" s="943"/>
      <c r="D710" s="943"/>
      <c r="E710" s="943"/>
      <c r="F710" s="943"/>
      <c r="G710" s="943"/>
      <c r="H710" s="943"/>
      <c r="I710" s="943"/>
      <c r="J710" s="943"/>
      <c r="K710" s="943"/>
      <c r="L710" s="943"/>
      <c r="M710" s="943"/>
      <c r="N710" s="943"/>
      <c r="O710" s="943"/>
      <c r="P710" s="943"/>
      <c r="Q710" s="943"/>
      <c r="R710" s="943"/>
      <c r="S710" s="943"/>
      <c r="T710" s="943"/>
      <c r="U710" s="943"/>
      <c r="V710" s="943"/>
      <c r="W710" s="943"/>
      <c r="X710" s="943"/>
      <c r="Y710" s="943"/>
      <c r="Z710" s="943"/>
      <c r="AA710" s="943"/>
      <c r="AB710" s="943"/>
      <c r="AC710" s="943"/>
      <c r="AD710" s="943"/>
      <c r="AE710" s="943"/>
    </row>
    <row r="711" spans="1:31" ht="15.75" customHeight="1">
      <c r="A711" s="943"/>
      <c r="B711" s="943"/>
      <c r="C711" s="943"/>
      <c r="D711" s="943"/>
      <c r="E711" s="943"/>
      <c r="F711" s="943"/>
      <c r="G711" s="943"/>
      <c r="H711" s="943"/>
      <c r="I711" s="943"/>
      <c r="J711" s="943"/>
      <c r="K711" s="943"/>
      <c r="L711" s="943"/>
      <c r="M711" s="943"/>
      <c r="N711" s="943"/>
      <c r="O711" s="943"/>
      <c r="P711" s="943"/>
      <c r="Q711" s="943"/>
      <c r="R711" s="943"/>
      <c r="S711" s="943"/>
      <c r="T711" s="943"/>
      <c r="U711" s="943"/>
      <c r="V711" s="943"/>
      <c r="W711" s="943"/>
      <c r="X711" s="943"/>
      <c r="Y711" s="943"/>
      <c r="Z711" s="943"/>
      <c r="AA711" s="943"/>
      <c r="AB711" s="943"/>
      <c r="AC711" s="943"/>
      <c r="AD711" s="943"/>
      <c r="AE711" s="943"/>
    </row>
    <row r="712" spans="1:31" ht="15.75" customHeight="1">
      <c r="A712" s="943"/>
      <c r="B712" s="943"/>
      <c r="C712" s="943"/>
      <c r="D712" s="943"/>
      <c r="E712" s="943"/>
      <c r="F712" s="943"/>
      <c r="G712" s="943"/>
      <c r="H712" s="943"/>
      <c r="I712" s="943"/>
      <c r="J712" s="943"/>
      <c r="K712" s="943"/>
      <c r="L712" s="943"/>
      <c r="M712" s="943"/>
      <c r="N712" s="943"/>
      <c r="O712" s="943"/>
      <c r="P712" s="943"/>
      <c r="Q712" s="943"/>
      <c r="R712" s="943"/>
      <c r="S712" s="943"/>
      <c r="T712" s="943"/>
      <c r="U712" s="943"/>
      <c r="V712" s="943"/>
      <c r="W712" s="943"/>
      <c r="X712" s="943"/>
      <c r="Y712" s="943"/>
      <c r="Z712" s="943"/>
      <c r="AA712" s="943"/>
      <c r="AB712" s="943"/>
      <c r="AC712" s="943"/>
      <c r="AD712" s="943"/>
      <c r="AE712" s="943"/>
    </row>
    <row r="713" spans="1:31" ht="15.75" customHeight="1">
      <c r="A713" s="943"/>
      <c r="B713" s="943"/>
      <c r="C713" s="943"/>
      <c r="D713" s="943"/>
      <c r="E713" s="943"/>
      <c r="F713" s="943"/>
      <c r="G713" s="943"/>
      <c r="H713" s="943"/>
      <c r="I713" s="943"/>
      <c r="J713" s="943"/>
      <c r="K713" s="943"/>
      <c r="L713" s="943"/>
      <c r="M713" s="943"/>
      <c r="N713" s="943"/>
      <c r="O713" s="943"/>
      <c r="P713" s="943"/>
      <c r="Q713" s="943"/>
      <c r="R713" s="943"/>
      <c r="S713" s="943"/>
      <c r="T713" s="943"/>
      <c r="U713" s="943"/>
      <c r="V713" s="943"/>
      <c r="W713" s="943"/>
      <c r="X713" s="943"/>
      <c r="Y713" s="943"/>
      <c r="Z713" s="943"/>
      <c r="AA713" s="943"/>
      <c r="AB713" s="943"/>
      <c r="AC713" s="943"/>
      <c r="AD713" s="943"/>
      <c r="AE713" s="943"/>
    </row>
    <row r="714" spans="1:31" ht="15.75" customHeight="1">
      <c r="A714" s="943"/>
      <c r="B714" s="943"/>
      <c r="C714" s="943"/>
      <c r="D714" s="943"/>
      <c r="E714" s="943"/>
      <c r="F714" s="943"/>
      <c r="G714" s="943"/>
      <c r="H714" s="943"/>
      <c r="I714" s="943"/>
      <c r="J714" s="943"/>
      <c r="K714" s="943"/>
      <c r="L714" s="943"/>
      <c r="M714" s="943"/>
      <c r="N714" s="943"/>
      <c r="O714" s="943"/>
      <c r="P714" s="943"/>
      <c r="Q714" s="943"/>
      <c r="R714" s="943"/>
      <c r="S714" s="943"/>
      <c r="T714" s="943"/>
      <c r="U714" s="943"/>
      <c r="V714" s="943"/>
      <c r="W714" s="943"/>
      <c r="X714" s="943"/>
      <c r="Y714" s="943"/>
      <c r="Z714" s="943"/>
      <c r="AA714" s="943"/>
      <c r="AB714" s="943"/>
      <c r="AC714" s="943"/>
      <c r="AD714" s="943"/>
      <c r="AE714" s="943"/>
    </row>
    <row r="715" spans="1:31" ht="15.75" customHeight="1">
      <c r="A715" s="943"/>
      <c r="B715" s="943"/>
      <c r="C715" s="943"/>
      <c r="D715" s="943"/>
      <c r="E715" s="943"/>
      <c r="F715" s="943"/>
      <c r="G715" s="943"/>
      <c r="H715" s="943"/>
      <c r="I715" s="943"/>
      <c r="J715" s="943"/>
      <c r="K715" s="943"/>
      <c r="L715" s="943"/>
      <c r="M715" s="943"/>
      <c r="N715" s="943"/>
      <c r="O715" s="943"/>
      <c r="P715" s="943"/>
      <c r="Q715" s="943"/>
      <c r="R715" s="943"/>
      <c r="S715" s="943"/>
      <c r="T715" s="943"/>
      <c r="U715" s="943"/>
      <c r="V715" s="943"/>
      <c r="W715" s="943"/>
      <c r="X715" s="943"/>
      <c r="Y715" s="943"/>
      <c r="Z715" s="943"/>
      <c r="AA715" s="943"/>
      <c r="AB715" s="943"/>
      <c r="AC715" s="943"/>
      <c r="AD715" s="943"/>
      <c r="AE715" s="943"/>
    </row>
    <row r="716" spans="1:31" ht="15.75" customHeight="1">
      <c r="A716" s="943"/>
      <c r="B716" s="943"/>
      <c r="C716" s="943"/>
      <c r="D716" s="943"/>
      <c r="E716" s="943"/>
      <c r="F716" s="943"/>
      <c r="G716" s="943"/>
      <c r="H716" s="943"/>
      <c r="I716" s="943"/>
      <c r="J716" s="943"/>
      <c r="K716" s="943"/>
      <c r="L716" s="943"/>
      <c r="M716" s="943"/>
      <c r="N716" s="943"/>
      <c r="O716" s="943"/>
      <c r="P716" s="943"/>
      <c r="Q716" s="943"/>
      <c r="R716" s="943"/>
      <c r="S716" s="943"/>
      <c r="T716" s="943"/>
      <c r="U716" s="943"/>
      <c r="V716" s="943"/>
      <c r="W716" s="943"/>
      <c r="X716" s="943"/>
      <c r="Y716" s="943"/>
      <c r="Z716" s="943"/>
      <c r="AA716" s="943"/>
      <c r="AB716" s="943"/>
      <c r="AC716" s="943"/>
      <c r="AD716" s="943"/>
      <c r="AE716" s="943"/>
    </row>
    <row r="717" spans="1:31" ht="15.75" customHeight="1">
      <c r="A717" s="943"/>
      <c r="B717" s="943"/>
      <c r="C717" s="943"/>
      <c r="D717" s="943"/>
      <c r="E717" s="943"/>
      <c r="F717" s="943"/>
      <c r="G717" s="943"/>
      <c r="H717" s="943"/>
      <c r="I717" s="943"/>
      <c r="J717" s="943"/>
      <c r="K717" s="943"/>
      <c r="L717" s="943"/>
      <c r="M717" s="943"/>
      <c r="N717" s="943"/>
      <c r="O717" s="943"/>
      <c r="P717" s="943"/>
      <c r="Q717" s="943"/>
      <c r="R717" s="943"/>
      <c r="S717" s="943"/>
      <c r="T717" s="943"/>
      <c r="U717" s="943"/>
      <c r="V717" s="943"/>
      <c r="W717" s="943"/>
      <c r="X717" s="943"/>
      <c r="Y717" s="943"/>
      <c r="Z717" s="943"/>
      <c r="AA717" s="943"/>
      <c r="AB717" s="943"/>
      <c r="AC717" s="943"/>
      <c r="AD717" s="943"/>
      <c r="AE717" s="943"/>
    </row>
    <row r="718" spans="1:31" ht="15.75" customHeight="1">
      <c r="A718" s="943"/>
      <c r="B718" s="943"/>
      <c r="C718" s="943"/>
      <c r="D718" s="943"/>
      <c r="E718" s="943"/>
      <c r="F718" s="943"/>
      <c r="G718" s="943"/>
      <c r="H718" s="943"/>
      <c r="I718" s="943"/>
      <c r="J718" s="943"/>
      <c r="K718" s="943"/>
      <c r="L718" s="943"/>
      <c r="M718" s="943"/>
      <c r="N718" s="943"/>
      <c r="O718" s="943"/>
      <c r="P718" s="943"/>
      <c r="Q718" s="943"/>
      <c r="R718" s="943"/>
      <c r="S718" s="943"/>
      <c r="T718" s="943"/>
      <c r="U718" s="943"/>
      <c r="V718" s="943"/>
      <c r="W718" s="943"/>
      <c r="X718" s="943"/>
      <c r="Y718" s="943"/>
      <c r="Z718" s="943"/>
      <c r="AA718" s="943"/>
      <c r="AB718" s="943"/>
      <c r="AC718" s="943"/>
      <c r="AD718" s="943"/>
      <c r="AE718" s="943"/>
    </row>
    <row r="719" spans="1:31" ht="15.75" customHeight="1">
      <c r="A719" s="943"/>
      <c r="B719" s="943"/>
      <c r="C719" s="943"/>
      <c r="D719" s="943"/>
      <c r="E719" s="943"/>
      <c r="F719" s="943"/>
      <c r="G719" s="943"/>
      <c r="H719" s="943"/>
      <c r="I719" s="943"/>
      <c r="J719" s="943"/>
      <c r="K719" s="943"/>
      <c r="L719" s="943"/>
      <c r="M719" s="943"/>
      <c r="N719" s="943"/>
      <c r="O719" s="943"/>
      <c r="P719" s="943"/>
      <c r="Q719" s="943"/>
      <c r="R719" s="943"/>
      <c r="S719" s="943"/>
      <c r="T719" s="943"/>
      <c r="U719" s="943"/>
      <c r="V719" s="943"/>
      <c r="W719" s="943"/>
      <c r="X719" s="943"/>
      <c r="Y719" s="943"/>
      <c r="Z719" s="943"/>
      <c r="AA719" s="943"/>
      <c r="AB719" s="943"/>
      <c r="AC719" s="943"/>
      <c r="AD719" s="943"/>
      <c r="AE719" s="943"/>
    </row>
    <row r="720" spans="1:31" ht="15.75" customHeight="1">
      <c r="A720" s="943"/>
      <c r="B720" s="943"/>
      <c r="C720" s="943"/>
      <c r="D720" s="943"/>
      <c r="E720" s="943"/>
      <c r="F720" s="943"/>
      <c r="G720" s="943"/>
      <c r="H720" s="943"/>
      <c r="I720" s="943"/>
      <c r="J720" s="943"/>
      <c r="K720" s="943"/>
      <c r="L720" s="943"/>
      <c r="M720" s="943"/>
      <c r="N720" s="943"/>
      <c r="O720" s="943"/>
      <c r="P720" s="943"/>
      <c r="Q720" s="943"/>
      <c r="R720" s="943"/>
      <c r="S720" s="943"/>
      <c r="T720" s="943"/>
      <c r="U720" s="943"/>
      <c r="V720" s="943"/>
      <c r="W720" s="943"/>
      <c r="X720" s="943"/>
      <c r="Y720" s="943"/>
      <c r="Z720" s="943"/>
      <c r="AA720" s="943"/>
      <c r="AB720" s="943"/>
      <c r="AC720" s="943"/>
      <c r="AD720" s="943"/>
      <c r="AE720" s="943"/>
    </row>
    <row r="721" spans="1:31" ht="15.75" customHeight="1">
      <c r="A721" s="943"/>
      <c r="B721" s="943"/>
      <c r="C721" s="943"/>
      <c r="D721" s="943"/>
      <c r="E721" s="943"/>
      <c r="F721" s="943"/>
      <c r="G721" s="943"/>
      <c r="H721" s="943"/>
      <c r="I721" s="943"/>
      <c r="J721" s="943"/>
      <c r="K721" s="943"/>
      <c r="L721" s="943"/>
      <c r="M721" s="943"/>
      <c r="N721" s="943"/>
      <c r="O721" s="943"/>
      <c r="P721" s="943"/>
      <c r="Q721" s="943"/>
      <c r="R721" s="943"/>
      <c r="S721" s="943"/>
      <c r="T721" s="943"/>
      <c r="U721" s="943"/>
      <c r="V721" s="943"/>
      <c r="W721" s="943"/>
      <c r="X721" s="943"/>
      <c r="Y721" s="943"/>
      <c r="Z721" s="943"/>
      <c r="AA721" s="943"/>
      <c r="AB721" s="943"/>
      <c r="AC721" s="943"/>
      <c r="AD721" s="943"/>
      <c r="AE721" s="943"/>
    </row>
    <row r="722" spans="1:31" ht="15.75" customHeight="1">
      <c r="A722" s="943"/>
      <c r="B722" s="943"/>
      <c r="C722" s="943"/>
      <c r="D722" s="943"/>
      <c r="E722" s="943"/>
      <c r="F722" s="943"/>
      <c r="G722" s="943"/>
      <c r="H722" s="943"/>
      <c r="I722" s="943"/>
      <c r="J722" s="943"/>
      <c r="K722" s="943"/>
      <c r="L722" s="943"/>
      <c r="M722" s="943"/>
      <c r="N722" s="943"/>
      <c r="O722" s="943"/>
      <c r="P722" s="943"/>
      <c r="Q722" s="943"/>
      <c r="R722" s="943"/>
      <c r="S722" s="943"/>
      <c r="T722" s="943"/>
      <c r="U722" s="943"/>
      <c r="V722" s="943"/>
      <c r="W722" s="943"/>
      <c r="X722" s="943"/>
      <c r="Y722" s="943"/>
      <c r="Z722" s="943"/>
      <c r="AA722" s="943"/>
      <c r="AB722" s="943"/>
      <c r="AC722" s="943"/>
      <c r="AD722" s="943"/>
      <c r="AE722" s="943"/>
    </row>
    <row r="723" spans="1:31" ht="15.75" customHeight="1">
      <c r="A723" s="943"/>
      <c r="B723" s="943"/>
      <c r="C723" s="943"/>
      <c r="D723" s="943"/>
      <c r="E723" s="943"/>
      <c r="F723" s="943"/>
      <c r="G723" s="943"/>
      <c r="H723" s="943"/>
      <c r="I723" s="943"/>
      <c r="J723" s="943"/>
      <c r="K723" s="943"/>
      <c r="L723" s="943"/>
      <c r="M723" s="943"/>
      <c r="N723" s="943"/>
      <c r="O723" s="943"/>
      <c r="P723" s="943"/>
      <c r="Q723" s="943"/>
      <c r="R723" s="943"/>
      <c r="S723" s="943"/>
      <c r="T723" s="943"/>
      <c r="U723" s="943"/>
      <c r="V723" s="943"/>
      <c r="W723" s="943"/>
      <c r="X723" s="943"/>
      <c r="Y723" s="943"/>
      <c r="Z723" s="943"/>
      <c r="AA723" s="943"/>
      <c r="AB723" s="943"/>
      <c r="AC723" s="943"/>
      <c r="AD723" s="943"/>
      <c r="AE723" s="943"/>
    </row>
    <row r="724" spans="1:31" ht="15.75" customHeight="1">
      <c r="A724" s="943"/>
      <c r="B724" s="943"/>
      <c r="C724" s="943"/>
      <c r="D724" s="943"/>
      <c r="E724" s="943"/>
      <c r="F724" s="943"/>
      <c r="G724" s="943"/>
      <c r="H724" s="943"/>
      <c r="I724" s="943"/>
      <c r="J724" s="943"/>
      <c r="K724" s="943"/>
      <c r="L724" s="943"/>
      <c r="M724" s="943"/>
      <c r="N724" s="943"/>
      <c r="O724" s="943"/>
      <c r="P724" s="943"/>
      <c r="Q724" s="943"/>
      <c r="R724" s="943"/>
      <c r="S724" s="943"/>
      <c r="T724" s="943"/>
      <c r="U724" s="943"/>
      <c r="V724" s="943"/>
      <c r="W724" s="943"/>
      <c r="X724" s="943"/>
      <c r="Y724" s="943"/>
      <c r="Z724" s="943"/>
      <c r="AA724" s="943"/>
      <c r="AB724" s="943"/>
      <c r="AC724" s="943"/>
      <c r="AD724" s="943"/>
      <c r="AE724" s="943"/>
    </row>
    <row r="725" spans="1:31" ht="15.75" customHeight="1">
      <c r="A725" s="943"/>
      <c r="B725" s="943"/>
      <c r="C725" s="943"/>
      <c r="D725" s="943"/>
      <c r="E725" s="943"/>
      <c r="F725" s="943"/>
      <c r="G725" s="943"/>
      <c r="H725" s="943"/>
      <c r="I725" s="943"/>
      <c r="J725" s="943"/>
      <c r="K725" s="943"/>
      <c r="L725" s="943"/>
      <c r="M725" s="943"/>
      <c r="N725" s="943"/>
      <c r="O725" s="943"/>
      <c r="P725" s="943"/>
      <c r="Q725" s="943"/>
      <c r="R725" s="943"/>
      <c r="S725" s="943"/>
      <c r="T725" s="943"/>
      <c r="U725" s="943"/>
      <c r="V725" s="943"/>
      <c r="W725" s="943"/>
      <c r="X725" s="943"/>
      <c r="Y725" s="943"/>
      <c r="Z725" s="943"/>
      <c r="AA725" s="943"/>
      <c r="AB725" s="943"/>
      <c r="AC725" s="943"/>
      <c r="AD725" s="943"/>
      <c r="AE725" s="943"/>
    </row>
    <row r="726" spans="1:31" ht="15.75" customHeight="1">
      <c r="A726" s="943"/>
      <c r="B726" s="943"/>
      <c r="C726" s="943"/>
      <c r="D726" s="943"/>
      <c r="E726" s="943"/>
      <c r="F726" s="943"/>
      <c r="G726" s="943"/>
      <c r="H726" s="943"/>
      <c r="I726" s="943"/>
      <c r="J726" s="943"/>
      <c r="K726" s="943"/>
      <c r="L726" s="943"/>
      <c r="M726" s="943"/>
      <c r="N726" s="943"/>
      <c r="O726" s="943"/>
      <c r="P726" s="943"/>
      <c r="Q726" s="943"/>
      <c r="R726" s="943"/>
      <c r="S726" s="943"/>
      <c r="T726" s="943"/>
      <c r="U726" s="943"/>
      <c r="V726" s="943"/>
      <c r="W726" s="943"/>
      <c r="X726" s="943"/>
      <c r="Y726" s="943"/>
      <c r="Z726" s="943"/>
      <c r="AA726" s="943"/>
      <c r="AB726" s="943"/>
      <c r="AC726" s="943"/>
      <c r="AD726" s="943"/>
      <c r="AE726" s="943"/>
    </row>
    <row r="727" spans="1:31" ht="15.75" customHeight="1">
      <c r="A727" s="943"/>
      <c r="B727" s="943"/>
      <c r="C727" s="943"/>
      <c r="D727" s="943"/>
      <c r="E727" s="943"/>
      <c r="F727" s="943"/>
      <c r="G727" s="943"/>
      <c r="H727" s="943"/>
      <c r="I727" s="943"/>
      <c r="J727" s="943"/>
      <c r="K727" s="943"/>
      <c r="L727" s="943"/>
      <c r="M727" s="943"/>
      <c r="N727" s="943"/>
      <c r="O727" s="943"/>
      <c r="P727" s="943"/>
      <c r="Q727" s="943"/>
      <c r="R727" s="943"/>
      <c r="S727" s="943"/>
      <c r="T727" s="943"/>
      <c r="U727" s="943"/>
      <c r="V727" s="943"/>
      <c r="W727" s="943"/>
      <c r="X727" s="943"/>
      <c r="Y727" s="943"/>
      <c r="Z727" s="943"/>
      <c r="AA727" s="943"/>
      <c r="AB727" s="943"/>
      <c r="AC727" s="943"/>
      <c r="AD727" s="943"/>
      <c r="AE727" s="943"/>
    </row>
    <row r="728" spans="1:31" ht="15.75" customHeight="1">
      <c r="A728" s="943"/>
      <c r="B728" s="943"/>
      <c r="C728" s="943"/>
      <c r="D728" s="943"/>
      <c r="E728" s="943"/>
      <c r="F728" s="943"/>
      <c r="G728" s="943"/>
      <c r="H728" s="943"/>
      <c r="I728" s="943"/>
      <c r="J728" s="943"/>
      <c r="K728" s="943"/>
      <c r="L728" s="943"/>
      <c r="M728" s="943"/>
      <c r="N728" s="943"/>
      <c r="O728" s="943"/>
      <c r="P728" s="943"/>
      <c r="Q728" s="943"/>
      <c r="R728" s="943"/>
      <c r="S728" s="943"/>
      <c r="T728" s="943"/>
      <c r="U728" s="943"/>
      <c r="V728" s="943"/>
      <c r="W728" s="943"/>
      <c r="X728" s="943"/>
      <c r="Y728" s="943"/>
      <c r="Z728" s="943"/>
      <c r="AA728" s="943"/>
      <c r="AB728" s="943"/>
      <c r="AC728" s="943"/>
      <c r="AD728" s="943"/>
      <c r="AE728" s="943"/>
    </row>
    <row r="729" spans="1:31" ht="15.75" customHeight="1">
      <c r="A729" s="943"/>
      <c r="B729" s="943"/>
      <c r="C729" s="943"/>
      <c r="D729" s="943"/>
      <c r="E729" s="943"/>
      <c r="F729" s="943"/>
      <c r="G729" s="943"/>
      <c r="H729" s="943"/>
      <c r="I729" s="943"/>
      <c r="J729" s="943"/>
      <c r="K729" s="943"/>
      <c r="L729" s="943"/>
      <c r="M729" s="943"/>
      <c r="N729" s="943"/>
      <c r="O729" s="943"/>
      <c r="P729" s="943"/>
      <c r="Q729" s="943"/>
      <c r="R729" s="943"/>
      <c r="S729" s="943"/>
      <c r="T729" s="943"/>
      <c r="U729" s="943"/>
      <c r="V729" s="943"/>
      <c r="W729" s="943"/>
      <c r="X729" s="943"/>
      <c r="Y729" s="943"/>
      <c r="Z729" s="943"/>
      <c r="AA729" s="943"/>
      <c r="AB729" s="943"/>
      <c r="AC729" s="943"/>
      <c r="AD729" s="943"/>
      <c r="AE729" s="943"/>
    </row>
    <row r="730" spans="1:31" ht="15.75" customHeight="1">
      <c r="A730" s="943"/>
      <c r="B730" s="943"/>
      <c r="C730" s="943"/>
      <c r="D730" s="943"/>
      <c r="E730" s="943"/>
      <c r="F730" s="943"/>
      <c r="G730" s="943"/>
      <c r="H730" s="943"/>
      <c r="I730" s="943"/>
      <c r="J730" s="943"/>
      <c r="K730" s="943"/>
      <c r="L730" s="943"/>
      <c r="M730" s="943"/>
      <c r="N730" s="943"/>
      <c r="O730" s="943"/>
      <c r="P730" s="943"/>
      <c r="Q730" s="943"/>
      <c r="R730" s="943"/>
      <c r="S730" s="943"/>
      <c r="T730" s="943"/>
      <c r="U730" s="943"/>
      <c r="V730" s="943"/>
      <c r="W730" s="943"/>
      <c r="X730" s="943"/>
      <c r="Y730" s="943"/>
      <c r="Z730" s="943"/>
      <c r="AA730" s="943"/>
      <c r="AB730" s="943"/>
      <c r="AC730" s="943"/>
      <c r="AD730" s="943"/>
      <c r="AE730" s="943"/>
    </row>
    <row r="731" spans="1:31" ht="15.75" customHeight="1">
      <c r="A731" s="943"/>
      <c r="B731" s="943"/>
      <c r="C731" s="943"/>
      <c r="D731" s="943"/>
      <c r="E731" s="943"/>
      <c r="F731" s="943"/>
      <c r="G731" s="943"/>
      <c r="H731" s="943"/>
      <c r="I731" s="943"/>
      <c r="J731" s="943"/>
      <c r="K731" s="943"/>
      <c r="L731" s="943"/>
      <c r="M731" s="943"/>
      <c r="N731" s="943"/>
      <c r="O731" s="943"/>
      <c r="P731" s="943"/>
      <c r="Q731" s="943"/>
      <c r="R731" s="943"/>
      <c r="S731" s="943"/>
      <c r="T731" s="943"/>
      <c r="U731" s="943"/>
      <c r="V731" s="943"/>
      <c r="W731" s="943"/>
      <c r="X731" s="943"/>
      <c r="Y731" s="943"/>
      <c r="Z731" s="943"/>
      <c r="AA731" s="943"/>
      <c r="AB731" s="943"/>
      <c r="AC731" s="943"/>
      <c r="AD731" s="943"/>
      <c r="AE731" s="943"/>
    </row>
    <row r="732" spans="1:31" ht="15.75" customHeight="1">
      <c r="A732" s="943"/>
      <c r="B732" s="943"/>
      <c r="C732" s="943"/>
      <c r="D732" s="943"/>
      <c r="E732" s="943"/>
      <c r="F732" s="943"/>
      <c r="G732" s="943"/>
      <c r="H732" s="943"/>
      <c r="I732" s="943"/>
      <c r="J732" s="943"/>
      <c r="K732" s="943"/>
      <c r="L732" s="943"/>
      <c r="M732" s="943"/>
      <c r="N732" s="943"/>
      <c r="O732" s="943"/>
      <c r="P732" s="943"/>
      <c r="Q732" s="943"/>
      <c r="R732" s="943"/>
      <c r="S732" s="943"/>
      <c r="T732" s="943"/>
      <c r="U732" s="943"/>
      <c r="V732" s="943"/>
      <c r="W732" s="943"/>
      <c r="X732" s="943"/>
      <c r="Y732" s="943"/>
      <c r="Z732" s="943"/>
      <c r="AA732" s="943"/>
      <c r="AB732" s="943"/>
      <c r="AC732" s="943"/>
      <c r="AD732" s="943"/>
      <c r="AE732" s="943"/>
    </row>
    <row r="733" spans="1:31" ht="15.75" customHeight="1">
      <c r="A733" s="943"/>
      <c r="B733" s="943"/>
      <c r="C733" s="943"/>
      <c r="D733" s="943"/>
      <c r="E733" s="943"/>
      <c r="F733" s="943"/>
      <c r="G733" s="943"/>
      <c r="H733" s="943"/>
      <c r="I733" s="943"/>
      <c r="J733" s="943"/>
      <c r="K733" s="943"/>
      <c r="L733" s="943"/>
      <c r="M733" s="943"/>
      <c r="N733" s="943"/>
      <c r="O733" s="943"/>
      <c r="P733" s="943"/>
      <c r="Q733" s="943"/>
      <c r="R733" s="943"/>
      <c r="S733" s="943"/>
      <c r="T733" s="943"/>
      <c r="U733" s="943"/>
      <c r="V733" s="943"/>
      <c r="W733" s="943"/>
      <c r="X733" s="943"/>
      <c r="Y733" s="943"/>
      <c r="Z733" s="943"/>
      <c r="AA733" s="943"/>
      <c r="AB733" s="943"/>
      <c r="AC733" s="943"/>
      <c r="AD733" s="943"/>
      <c r="AE733" s="943"/>
    </row>
    <row r="734" spans="1:31" ht="15.75" customHeight="1">
      <c r="A734" s="943"/>
      <c r="B734" s="943"/>
      <c r="C734" s="943"/>
      <c r="D734" s="943"/>
      <c r="E734" s="943"/>
      <c r="F734" s="943"/>
      <c r="G734" s="943"/>
      <c r="H734" s="943"/>
      <c r="I734" s="943"/>
      <c r="J734" s="943"/>
      <c r="K734" s="943"/>
      <c r="L734" s="943"/>
      <c r="M734" s="943"/>
      <c r="N734" s="943"/>
      <c r="O734" s="943"/>
      <c r="P734" s="943"/>
      <c r="Q734" s="943"/>
      <c r="R734" s="943"/>
      <c r="S734" s="943"/>
      <c r="T734" s="943"/>
      <c r="U734" s="943"/>
      <c r="V734" s="943"/>
      <c r="W734" s="943"/>
      <c r="X734" s="943"/>
      <c r="Y734" s="943"/>
      <c r="Z734" s="943"/>
      <c r="AA734" s="943"/>
      <c r="AB734" s="943"/>
      <c r="AC734" s="943"/>
      <c r="AD734" s="943"/>
      <c r="AE734" s="943"/>
    </row>
    <row r="735" spans="1:31" ht="15.75" customHeight="1">
      <c r="A735" s="943"/>
      <c r="B735" s="943"/>
      <c r="C735" s="943"/>
      <c r="D735" s="943"/>
      <c r="E735" s="943"/>
      <c r="F735" s="943"/>
      <c r="G735" s="943"/>
      <c r="H735" s="943"/>
      <c r="I735" s="943"/>
      <c r="J735" s="943"/>
      <c r="K735" s="943"/>
      <c r="L735" s="943"/>
      <c r="M735" s="943"/>
      <c r="N735" s="943"/>
      <c r="O735" s="943"/>
      <c r="P735" s="943"/>
      <c r="Q735" s="943"/>
      <c r="R735" s="943"/>
      <c r="S735" s="943"/>
      <c r="T735" s="943"/>
      <c r="U735" s="943"/>
      <c r="V735" s="943"/>
      <c r="W735" s="943"/>
      <c r="X735" s="943"/>
      <c r="Y735" s="943"/>
      <c r="Z735" s="943"/>
      <c r="AA735" s="943"/>
      <c r="AB735" s="943"/>
      <c r="AC735" s="943"/>
      <c r="AD735" s="943"/>
      <c r="AE735" s="943"/>
    </row>
    <row r="736" spans="1:31" ht="15.75" customHeight="1">
      <c r="A736" s="943"/>
      <c r="B736" s="943"/>
      <c r="C736" s="943"/>
      <c r="D736" s="943"/>
      <c r="E736" s="943"/>
      <c r="F736" s="943"/>
      <c r="G736" s="943"/>
      <c r="H736" s="943"/>
      <c r="I736" s="943"/>
      <c r="J736" s="943"/>
      <c r="K736" s="943"/>
      <c r="L736" s="943"/>
      <c r="M736" s="943"/>
      <c r="N736" s="943"/>
      <c r="O736" s="943"/>
      <c r="P736" s="943"/>
      <c r="Q736" s="943"/>
      <c r="R736" s="943"/>
      <c r="S736" s="943"/>
      <c r="T736" s="943"/>
      <c r="U736" s="943"/>
      <c r="V736" s="943"/>
      <c r="W736" s="943"/>
      <c r="X736" s="943"/>
      <c r="Y736" s="943"/>
      <c r="Z736" s="943"/>
      <c r="AA736" s="943"/>
      <c r="AB736" s="943"/>
      <c r="AC736" s="943"/>
      <c r="AD736" s="943"/>
      <c r="AE736" s="943"/>
    </row>
    <row r="737" spans="1:31" ht="15.75" customHeight="1">
      <c r="A737" s="943"/>
      <c r="B737" s="943"/>
      <c r="C737" s="943"/>
      <c r="D737" s="943"/>
      <c r="E737" s="943"/>
      <c r="F737" s="943"/>
      <c r="G737" s="943"/>
      <c r="H737" s="943"/>
      <c r="I737" s="943"/>
      <c r="J737" s="943"/>
      <c r="K737" s="943"/>
      <c r="L737" s="943"/>
      <c r="M737" s="943"/>
      <c r="N737" s="943"/>
      <c r="O737" s="943"/>
      <c r="P737" s="943"/>
      <c r="Q737" s="943"/>
      <c r="R737" s="943"/>
      <c r="S737" s="943"/>
      <c r="T737" s="943"/>
      <c r="U737" s="943"/>
      <c r="V737" s="943"/>
      <c r="W737" s="943"/>
      <c r="X737" s="943"/>
      <c r="Y737" s="943"/>
      <c r="Z737" s="943"/>
      <c r="AA737" s="943"/>
      <c r="AB737" s="943"/>
      <c r="AC737" s="943"/>
      <c r="AD737" s="943"/>
      <c r="AE737" s="943"/>
    </row>
    <row r="738" spans="1:31" ht="15.75" customHeight="1">
      <c r="A738" s="943"/>
      <c r="B738" s="943"/>
      <c r="C738" s="943"/>
      <c r="D738" s="943"/>
      <c r="E738" s="943"/>
      <c r="F738" s="943"/>
      <c r="G738" s="943"/>
      <c r="H738" s="943"/>
      <c r="I738" s="943"/>
      <c r="J738" s="943"/>
      <c r="K738" s="943"/>
      <c r="L738" s="943"/>
      <c r="M738" s="943"/>
      <c r="N738" s="943"/>
      <c r="O738" s="943"/>
      <c r="P738" s="943"/>
      <c r="Q738" s="943"/>
      <c r="R738" s="943"/>
      <c r="S738" s="943"/>
      <c r="T738" s="943"/>
      <c r="U738" s="943"/>
      <c r="V738" s="943"/>
      <c r="W738" s="943"/>
      <c r="X738" s="943"/>
      <c r="Y738" s="943"/>
      <c r="Z738" s="943"/>
      <c r="AA738" s="943"/>
      <c r="AB738" s="943"/>
      <c r="AC738" s="943"/>
      <c r="AD738" s="943"/>
      <c r="AE738" s="943"/>
    </row>
    <row r="739" spans="1:31" ht="15.75" customHeight="1">
      <c r="A739" s="943"/>
      <c r="B739" s="943"/>
      <c r="C739" s="943"/>
      <c r="D739" s="943"/>
      <c r="E739" s="943"/>
      <c r="F739" s="943"/>
      <c r="G739" s="943"/>
      <c r="H739" s="943"/>
      <c r="I739" s="943"/>
      <c r="J739" s="943"/>
      <c r="K739" s="943"/>
      <c r="L739" s="943"/>
      <c r="M739" s="943"/>
      <c r="N739" s="943"/>
      <c r="O739" s="943"/>
      <c r="P739" s="943"/>
      <c r="Q739" s="943"/>
      <c r="R739" s="943"/>
      <c r="S739" s="943"/>
      <c r="T739" s="943"/>
      <c r="U739" s="943"/>
      <c r="V739" s="943"/>
      <c r="W739" s="943"/>
      <c r="X739" s="943"/>
      <c r="Y739" s="943"/>
      <c r="Z739" s="943"/>
      <c r="AA739" s="943"/>
      <c r="AB739" s="943"/>
      <c r="AC739" s="943"/>
      <c r="AD739" s="943"/>
      <c r="AE739" s="943"/>
    </row>
    <row r="740" spans="1:31" ht="15.75" customHeight="1">
      <c r="A740" s="943"/>
      <c r="B740" s="943"/>
      <c r="C740" s="943"/>
      <c r="D740" s="943"/>
      <c r="E740" s="943"/>
      <c r="F740" s="943"/>
      <c r="G740" s="943"/>
      <c r="H740" s="943"/>
      <c r="I740" s="943"/>
      <c r="J740" s="943"/>
      <c r="K740" s="943"/>
      <c r="L740" s="943"/>
      <c r="M740" s="943"/>
      <c r="N740" s="943"/>
      <c r="O740" s="943"/>
      <c r="P740" s="943"/>
      <c r="Q740" s="943"/>
      <c r="R740" s="943"/>
      <c r="S740" s="943"/>
      <c r="T740" s="943"/>
      <c r="U740" s="943"/>
      <c r="V740" s="943"/>
      <c r="W740" s="943"/>
      <c r="X740" s="943"/>
      <c r="Y740" s="943"/>
      <c r="Z740" s="943"/>
      <c r="AA740" s="943"/>
      <c r="AB740" s="943"/>
      <c r="AC740" s="943"/>
      <c r="AD740" s="943"/>
      <c r="AE740" s="943"/>
    </row>
    <row r="741" spans="1:31" ht="15.75" customHeight="1">
      <c r="A741" s="943"/>
      <c r="B741" s="943"/>
      <c r="C741" s="943"/>
      <c r="D741" s="943"/>
      <c r="E741" s="943"/>
      <c r="F741" s="943"/>
      <c r="G741" s="943"/>
      <c r="H741" s="943"/>
      <c r="I741" s="943"/>
      <c r="J741" s="943"/>
      <c r="K741" s="943"/>
      <c r="L741" s="943"/>
      <c r="M741" s="943"/>
      <c r="N741" s="943"/>
      <c r="O741" s="943"/>
      <c r="P741" s="943"/>
      <c r="Q741" s="943"/>
      <c r="R741" s="943"/>
      <c r="S741" s="943"/>
      <c r="T741" s="943"/>
      <c r="U741" s="943"/>
      <c r="V741" s="943"/>
      <c r="W741" s="943"/>
      <c r="X741" s="943"/>
      <c r="Y741" s="943"/>
      <c r="Z741" s="943"/>
      <c r="AA741" s="943"/>
      <c r="AB741" s="943"/>
      <c r="AC741" s="943"/>
      <c r="AD741" s="943"/>
      <c r="AE741" s="943"/>
    </row>
    <row r="742" spans="1:31" ht="15.75" customHeight="1">
      <c r="A742" s="943"/>
      <c r="B742" s="943"/>
      <c r="C742" s="943"/>
      <c r="D742" s="943"/>
      <c r="E742" s="943"/>
      <c r="F742" s="943"/>
      <c r="G742" s="943"/>
      <c r="H742" s="943"/>
      <c r="I742" s="943"/>
      <c r="J742" s="943"/>
      <c r="K742" s="943"/>
      <c r="L742" s="943"/>
      <c r="M742" s="943"/>
      <c r="N742" s="943"/>
      <c r="O742" s="943"/>
      <c r="P742" s="943"/>
      <c r="Q742" s="943"/>
      <c r="R742" s="943"/>
      <c r="S742" s="943"/>
      <c r="T742" s="943"/>
      <c r="U742" s="943"/>
      <c r="V742" s="943"/>
      <c r="W742" s="943"/>
      <c r="X742" s="943"/>
      <c r="Y742" s="943"/>
      <c r="Z742" s="943"/>
      <c r="AA742" s="943"/>
      <c r="AB742" s="943"/>
      <c r="AC742" s="943"/>
      <c r="AD742" s="943"/>
      <c r="AE742" s="943"/>
    </row>
    <row r="743" spans="1:31" ht="15.75" customHeight="1">
      <c r="A743" s="943"/>
      <c r="B743" s="943"/>
      <c r="C743" s="943"/>
      <c r="D743" s="943"/>
      <c r="E743" s="943"/>
      <c r="F743" s="943"/>
      <c r="G743" s="943"/>
      <c r="H743" s="943"/>
      <c r="I743" s="943"/>
      <c r="J743" s="943"/>
      <c r="K743" s="943"/>
      <c r="L743" s="943"/>
      <c r="M743" s="943"/>
      <c r="N743" s="943"/>
      <c r="O743" s="943"/>
      <c r="P743" s="943"/>
      <c r="Q743" s="943"/>
      <c r="R743" s="943"/>
      <c r="S743" s="943"/>
      <c r="T743" s="943"/>
      <c r="U743" s="943"/>
      <c r="V743" s="943"/>
      <c r="W743" s="943"/>
      <c r="X743" s="943"/>
      <c r="Y743" s="943"/>
      <c r="Z743" s="943"/>
      <c r="AA743" s="943"/>
      <c r="AB743" s="943"/>
      <c r="AC743" s="943"/>
      <c r="AD743" s="943"/>
      <c r="AE743" s="943"/>
    </row>
    <row r="744" spans="1:31" ht="15.75" customHeight="1">
      <c r="A744" s="943"/>
      <c r="B744" s="943"/>
      <c r="C744" s="943"/>
      <c r="D744" s="943"/>
      <c r="E744" s="943"/>
      <c r="F744" s="943"/>
      <c r="G744" s="943"/>
      <c r="H744" s="943"/>
      <c r="I744" s="943"/>
      <c r="J744" s="943"/>
      <c r="K744" s="943"/>
      <c r="L744" s="943"/>
      <c r="M744" s="943"/>
      <c r="N744" s="943"/>
      <c r="O744" s="943"/>
      <c r="P744" s="943"/>
      <c r="Q744" s="943"/>
      <c r="R744" s="943"/>
      <c r="S744" s="943"/>
      <c r="T744" s="943"/>
      <c r="U744" s="943"/>
      <c r="V744" s="943"/>
      <c r="W744" s="943"/>
      <c r="X744" s="943"/>
      <c r="Y744" s="943"/>
      <c r="Z744" s="943"/>
      <c r="AA744" s="943"/>
      <c r="AB744" s="943"/>
      <c r="AC744" s="943"/>
      <c r="AD744" s="943"/>
      <c r="AE744" s="943"/>
    </row>
    <row r="745" spans="1:31" ht="15.75" customHeight="1">
      <c r="A745" s="943"/>
      <c r="B745" s="943"/>
      <c r="C745" s="943"/>
      <c r="D745" s="943"/>
      <c r="E745" s="943"/>
      <c r="F745" s="943"/>
      <c r="G745" s="943"/>
      <c r="H745" s="943"/>
      <c r="I745" s="943"/>
      <c r="J745" s="943"/>
      <c r="K745" s="943"/>
      <c r="L745" s="943"/>
      <c r="M745" s="943"/>
      <c r="N745" s="943"/>
      <c r="O745" s="943"/>
      <c r="P745" s="943"/>
      <c r="Q745" s="943"/>
      <c r="R745" s="943"/>
      <c r="S745" s="943"/>
      <c r="T745" s="943"/>
      <c r="U745" s="943"/>
      <c r="V745" s="943"/>
      <c r="W745" s="943"/>
      <c r="X745" s="943"/>
      <c r="Y745" s="943"/>
      <c r="Z745" s="943"/>
      <c r="AA745" s="943"/>
      <c r="AB745" s="943"/>
      <c r="AC745" s="943"/>
      <c r="AD745" s="943"/>
      <c r="AE745" s="943"/>
    </row>
    <row r="746" spans="1:31" ht="15.75" customHeight="1">
      <c r="A746" s="943"/>
      <c r="B746" s="943"/>
      <c r="C746" s="943"/>
      <c r="D746" s="943"/>
      <c r="E746" s="943"/>
      <c r="F746" s="943"/>
      <c r="G746" s="943"/>
      <c r="H746" s="943"/>
      <c r="I746" s="943"/>
      <c r="J746" s="943"/>
      <c r="K746" s="943"/>
      <c r="L746" s="943"/>
      <c r="M746" s="943"/>
      <c r="N746" s="943"/>
      <c r="O746" s="943"/>
      <c r="P746" s="943"/>
      <c r="Q746" s="943"/>
      <c r="R746" s="943"/>
      <c r="S746" s="943"/>
      <c r="T746" s="943"/>
      <c r="U746" s="943"/>
      <c r="V746" s="943"/>
      <c r="W746" s="943"/>
      <c r="X746" s="943"/>
      <c r="Y746" s="943"/>
      <c r="Z746" s="943"/>
      <c r="AA746" s="943"/>
      <c r="AB746" s="943"/>
      <c r="AC746" s="943"/>
      <c r="AD746" s="943"/>
      <c r="AE746" s="943"/>
    </row>
    <row r="747" spans="1:31" ht="15.75" customHeight="1">
      <c r="A747" s="943"/>
      <c r="B747" s="943"/>
      <c r="C747" s="943"/>
      <c r="D747" s="943"/>
      <c r="E747" s="943"/>
      <c r="F747" s="943"/>
      <c r="G747" s="943"/>
      <c r="H747" s="943"/>
      <c r="I747" s="943"/>
      <c r="J747" s="943"/>
      <c r="K747" s="943"/>
      <c r="L747" s="943"/>
      <c r="M747" s="943"/>
      <c r="N747" s="943"/>
      <c r="O747" s="943"/>
      <c r="P747" s="943"/>
      <c r="Q747" s="943"/>
      <c r="R747" s="943"/>
      <c r="S747" s="943"/>
      <c r="T747" s="943"/>
      <c r="U747" s="943"/>
      <c r="V747" s="943"/>
      <c r="W747" s="943"/>
      <c r="X747" s="943"/>
      <c r="Y747" s="943"/>
      <c r="Z747" s="943"/>
      <c r="AA747" s="943"/>
      <c r="AB747" s="943"/>
      <c r="AC747" s="943"/>
      <c r="AD747" s="943"/>
      <c r="AE747" s="943"/>
    </row>
    <row r="748" spans="1:31" ht="15.75" customHeight="1">
      <c r="A748" s="943"/>
      <c r="B748" s="943"/>
      <c r="C748" s="943"/>
      <c r="D748" s="943"/>
      <c r="E748" s="943"/>
      <c r="F748" s="943"/>
      <c r="G748" s="943"/>
      <c r="H748" s="943"/>
      <c r="I748" s="943"/>
      <c r="J748" s="943"/>
      <c r="K748" s="943"/>
      <c r="L748" s="943"/>
      <c r="M748" s="943"/>
      <c r="N748" s="943"/>
      <c r="O748" s="943"/>
      <c r="P748" s="943"/>
      <c r="Q748" s="943"/>
      <c r="R748" s="943"/>
      <c r="S748" s="943"/>
      <c r="T748" s="943"/>
      <c r="U748" s="943"/>
      <c r="V748" s="943"/>
      <c r="W748" s="943"/>
      <c r="X748" s="943"/>
      <c r="Y748" s="943"/>
      <c r="Z748" s="943"/>
      <c r="AA748" s="943"/>
      <c r="AB748" s="943"/>
      <c r="AC748" s="943"/>
      <c r="AD748" s="943"/>
      <c r="AE748" s="943"/>
    </row>
    <row r="749" spans="1:31" ht="15.75" customHeight="1">
      <c r="A749" s="943"/>
      <c r="B749" s="943"/>
      <c r="C749" s="943"/>
      <c r="D749" s="943"/>
      <c r="E749" s="943"/>
      <c r="F749" s="943"/>
      <c r="G749" s="943"/>
      <c r="H749" s="943"/>
      <c r="I749" s="943"/>
      <c r="J749" s="943"/>
      <c r="K749" s="943"/>
      <c r="L749" s="943"/>
      <c r="M749" s="943"/>
      <c r="N749" s="943"/>
      <c r="O749" s="943"/>
      <c r="P749" s="943"/>
      <c r="Q749" s="943"/>
      <c r="R749" s="943"/>
      <c r="S749" s="943"/>
      <c r="T749" s="943"/>
      <c r="U749" s="943"/>
      <c r="V749" s="943"/>
      <c r="W749" s="943"/>
      <c r="X749" s="943"/>
      <c r="Y749" s="943"/>
      <c r="Z749" s="943"/>
      <c r="AA749" s="943"/>
      <c r="AB749" s="943"/>
      <c r="AC749" s="943"/>
      <c r="AD749" s="943"/>
      <c r="AE749" s="943"/>
    </row>
    <row r="750" spans="1:31" ht="15.75" customHeight="1">
      <c r="A750" s="943"/>
      <c r="B750" s="943"/>
      <c r="C750" s="943"/>
      <c r="D750" s="943"/>
      <c r="E750" s="943"/>
      <c r="F750" s="943"/>
      <c r="G750" s="943"/>
      <c r="H750" s="943"/>
      <c r="I750" s="943"/>
      <c r="J750" s="943"/>
      <c r="K750" s="943"/>
      <c r="L750" s="943"/>
      <c r="M750" s="943"/>
      <c r="N750" s="943"/>
      <c r="O750" s="943"/>
      <c r="P750" s="943"/>
      <c r="Q750" s="943"/>
      <c r="R750" s="943"/>
      <c r="S750" s="943"/>
      <c r="T750" s="943"/>
      <c r="U750" s="943"/>
      <c r="V750" s="943"/>
      <c r="W750" s="943"/>
      <c r="X750" s="943"/>
      <c r="Y750" s="943"/>
      <c r="Z750" s="943"/>
      <c r="AA750" s="943"/>
      <c r="AB750" s="943"/>
      <c r="AC750" s="943"/>
      <c r="AD750" s="943"/>
      <c r="AE750" s="943"/>
    </row>
    <row r="751" spans="1:31" ht="15.75" customHeight="1">
      <c r="A751" s="943"/>
      <c r="B751" s="943"/>
      <c r="C751" s="943"/>
      <c r="D751" s="943"/>
      <c r="E751" s="943"/>
      <c r="F751" s="943"/>
      <c r="G751" s="943"/>
      <c r="H751" s="943"/>
      <c r="I751" s="943"/>
      <c r="J751" s="943"/>
      <c r="K751" s="943"/>
      <c r="L751" s="943"/>
      <c r="M751" s="943"/>
      <c r="N751" s="943"/>
      <c r="O751" s="943"/>
      <c r="P751" s="943"/>
      <c r="Q751" s="943"/>
      <c r="R751" s="943"/>
      <c r="S751" s="943"/>
      <c r="T751" s="943"/>
      <c r="U751" s="943"/>
      <c r="V751" s="943"/>
      <c r="W751" s="943"/>
      <c r="X751" s="943"/>
      <c r="Y751" s="943"/>
      <c r="Z751" s="943"/>
      <c r="AA751" s="943"/>
      <c r="AB751" s="943"/>
      <c r="AC751" s="943"/>
      <c r="AD751" s="943"/>
      <c r="AE751" s="943"/>
    </row>
    <row r="752" spans="1:31" ht="15.75" customHeight="1">
      <c r="A752" s="943"/>
      <c r="B752" s="943"/>
      <c r="C752" s="943"/>
      <c r="D752" s="943"/>
      <c r="E752" s="943"/>
      <c r="F752" s="943"/>
      <c r="G752" s="943"/>
      <c r="H752" s="943"/>
      <c r="I752" s="943"/>
      <c r="J752" s="943"/>
      <c r="K752" s="943"/>
      <c r="L752" s="943"/>
      <c r="M752" s="943"/>
      <c r="N752" s="943"/>
      <c r="O752" s="943"/>
      <c r="P752" s="943"/>
      <c r="Q752" s="943"/>
      <c r="R752" s="943"/>
      <c r="S752" s="943"/>
      <c r="T752" s="943"/>
      <c r="U752" s="943"/>
      <c r="V752" s="943"/>
      <c r="W752" s="943"/>
      <c r="X752" s="943"/>
      <c r="Y752" s="943"/>
      <c r="Z752" s="943"/>
      <c r="AA752" s="943"/>
      <c r="AB752" s="943"/>
      <c r="AC752" s="943"/>
      <c r="AD752" s="943"/>
      <c r="AE752" s="943"/>
    </row>
    <row r="753" spans="1:31" ht="15.75" customHeight="1">
      <c r="A753" s="943"/>
      <c r="B753" s="943"/>
      <c r="C753" s="943"/>
      <c r="D753" s="943"/>
      <c r="E753" s="943"/>
      <c r="F753" s="943"/>
      <c r="G753" s="943"/>
      <c r="H753" s="943"/>
      <c r="I753" s="943"/>
      <c r="J753" s="943"/>
      <c r="K753" s="943"/>
      <c r="L753" s="943"/>
      <c r="M753" s="943"/>
      <c r="N753" s="943"/>
      <c r="O753" s="943"/>
      <c r="P753" s="943"/>
      <c r="Q753" s="943"/>
      <c r="R753" s="943"/>
      <c r="S753" s="943"/>
      <c r="T753" s="943"/>
      <c r="U753" s="943"/>
      <c r="V753" s="943"/>
      <c r="W753" s="943"/>
      <c r="X753" s="943"/>
      <c r="Y753" s="943"/>
      <c r="Z753" s="943"/>
      <c r="AA753" s="943"/>
      <c r="AB753" s="943"/>
      <c r="AC753" s="943"/>
      <c r="AD753" s="943"/>
      <c r="AE753" s="943"/>
    </row>
    <row r="754" spans="1:31" ht="15.75" customHeight="1">
      <c r="A754" s="943"/>
      <c r="B754" s="943"/>
      <c r="C754" s="943"/>
      <c r="D754" s="943"/>
      <c r="E754" s="943"/>
      <c r="F754" s="943"/>
      <c r="G754" s="943"/>
      <c r="H754" s="943"/>
      <c r="I754" s="943"/>
      <c r="J754" s="943"/>
      <c r="K754" s="943"/>
      <c r="L754" s="943"/>
      <c r="M754" s="943"/>
      <c r="N754" s="943"/>
      <c r="O754" s="943"/>
      <c r="P754" s="943"/>
      <c r="Q754" s="943"/>
      <c r="R754" s="943"/>
      <c r="S754" s="943"/>
      <c r="T754" s="943"/>
      <c r="U754" s="943"/>
      <c r="V754" s="943"/>
      <c r="W754" s="943"/>
      <c r="X754" s="943"/>
      <c r="Y754" s="943"/>
      <c r="Z754" s="943"/>
      <c r="AA754" s="943"/>
      <c r="AB754" s="943"/>
      <c r="AC754" s="943"/>
      <c r="AD754" s="943"/>
      <c r="AE754" s="943"/>
    </row>
    <row r="755" spans="1:31" ht="15.75" customHeight="1">
      <c r="A755" s="943"/>
      <c r="B755" s="943"/>
      <c r="C755" s="943"/>
      <c r="D755" s="943"/>
      <c r="E755" s="943"/>
      <c r="F755" s="943"/>
      <c r="G755" s="943"/>
      <c r="H755" s="943"/>
      <c r="I755" s="943"/>
      <c r="J755" s="943"/>
      <c r="K755" s="943"/>
      <c r="L755" s="943"/>
      <c r="M755" s="943"/>
      <c r="N755" s="943"/>
      <c r="O755" s="943"/>
      <c r="P755" s="943"/>
      <c r="Q755" s="943"/>
      <c r="R755" s="943"/>
      <c r="S755" s="943"/>
      <c r="T755" s="943"/>
      <c r="U755" s="943"/>
      <c r="V755" s="943"/>
      <c r="W755" s="943"/>
      <c r="X755" s="943"/>
      <c r="Y755" s="943"/>
      <c r="Z755" s="943"/>
      <c r="AA755" s="943"/>
      <c r="AB755" s="943"/>
      <c r="AC755" s="943"/>
      <c r="AD755" s="943"/>
      <c r="AE755" s="943"/>
    </row>
    <row r="756" spans="1:31" ht="15.75" customHeight="1">
      <c r="A756" s="943"/>
      <c r="B756" s="943"/>
      <c r="C756" s="943"/>
      <c r="D756" s="943"/>
      <c r="E756" s="943"/>
      <c r="F756" s="943"/>
      <c r="G756" s="943"/>
      <c r="H756" s="943"/>
      <c r="I756" s="943"/>
      <c r="J756" s="943"/>
      <c r="K756" s="943"/>
      <c r="L756" s="943"/>
      <c r="M756" s="943"/>
      <c r="N756" s="943"/>
      <c r="O756" s="943"/>
      <c r="P756" s="943"/>
      <c r="Q756" s="943"/>
      <c r="R756" s="943"/>
      <c r="S756" s="943"/>
      <c r="T756" s="943"/>
      <c r="U756" s="943"/>
      <c r="V756" s="943"/>
      <c r="W756" s="943"/>
      <c r="X756" s="943"/>
      <c r="Y756" s="943"/>
      <c r="Z756" s="943"/>
      <c r="AA756" s="943"/>
      <c r="AB756" s="943"/>
      <c r="AC756" s="943"/>
      <c r="AD756" s="943"/>
      <c r="AE756" s="943"/>
    </row>
    <row r="757" spans="1:31" ht="15.75" customHeight="1">
      <c r="A757" s="943"/>
      <c r="B757" s="943"/>
      <c r="C757" s="943"/>
      <c r="D757" s="943"/>
      <c r="E757" s="943"/>
      <c r="F757" s="943"/>
      <c r="G757" s="943"/>
      <c r="H757" s="943"/>
      <c r="I757" s="943"/>
      <c r="J757" s="943"/>
      <c r="K757" s="943"/>
      <c r="L757" s="943"/>
      <c r="M757" s="943"/>
      <c r="N757" s="943"/>
      <c r="O757" s="943"/>
      <c r="P757" s="943"/>
      <c r="Q757" s="943"/>
      <c r="R757" s="943"/>
      <c r="S757" s="943"/>
      <c r="T757" s="943"/>
      <c r="U757" s="943"/>
      <c r="V757" s="943"/>
      <c r="W757" s="943"/>
      <c r="X757" s="943"/>
      <c r="Y757" s="943"/>
      <c r="Z757" s="943"/>
      <c r="AA757" s="943"/>
      <c r="AB757" s="943"/>
      <c r="AC757" s="943"/>
      <c r="AD757" s="943"/>
      <c r="AE757" s="943"/>
    </row>
    <row r="758" spans="1:31" ht="15.75" customHeight="1">
      <c r="A758" s="943"/>
      <c r="B758" s="943"/>
      <c r="C758" s="943"/>
      <c r="D758" s="943"/>
      <c r="E758" s="943"/>
      <c r="F758" s="943"/>
      <c r="G758" s="943"/>
      <c r="H758" s="943"/>
      <c r="I758" s="943"/>
      <c r="J758" s="943"/>
      <c r="K758" s="943"/>
      <c r="L758" s="943"/>
      <c r="M758" s="943"/>
      <c r="N758" s="943"/>
      <c r="O758" s="943"/>
      <c r="P758" s="943"/>
      <c r="Q758" s="943"/>
      <c r="R758" s="943"/>
      <c r="S758" s="943"/>
      <c r="T758" s="943"/>
      <c r="U758" s="943"/>
      <c r="V758" s="943"/>
      <c r="W758" s="943"/>
      <c r="X758" s="943"/>
      <c r="Y758" s="943"/>
      <c r="Z758" s="943"/>
      <c r="AA758" s="943"/>
      <c r="AB758" s="943"/>
      <c r="AC758" s="943"/>
      <c r="AD758" s="943"/>
      <c r="AE758" s="943"/>
    </row>
    <row r="759" spans="1:31" ht="15.75" customHeight="1">
      <c r="A759" s="943"/>
      <c r="B759" s="943"/>
      <c r="C759" s="943"/>
      <c r="D759" s="943"/>
      <c r="E759" s="943"/>
      <c r="F759" s="943"/>
      <c r="G759" s="943"/>
      <c r="H759" s="943"/>
      <c r="I759" s="943"/>
      <c r="J759" s="943"/>
      <c r="K759" s="943"/>
      <c r="L759" s="943"/>
      <c r="M759" s="943"/>
      <c r="N759" s="943"/>
      <c r="O759" s="943"/>
      <c r="P759" s="943"/>
      <c r="Q759" s="943"/>
      <c r="R759" s="943"/>
      <c r="S759" s="943"/>
      <c r="T759" s="943"/>
      <c r="U759" s="943"/>
      <c r="V759" s="943"/>
      <c r="W759" s="943"/>
      <c r="X759" s="943"/>
      <c r="Y759" s="943"/>
      <c r="Z759" s="943"/>
      <c r="AA759" s="943"/>
      <c r="AB759" s="943"/>
      <c r="AC759" s="943"/>
      <c r="AD759" s="943"/>
      <c r="AE759" s="943"/>
    </row>
    <row r="760" spans="1:31" ht="15.75" customHeight="1">
      <c r="A760" s="943"/>
      <c r="B760" s="943"/>
      <c r="C760" s="943"/>
      <c r="D760" s="943"/>
      <c r="E760" s="943"/>
      <c r="F760" s="943"/>
      <c r="G760" s="943"/>
      <c r="H760" s="943"/>
      <c r="I760" s="943"/>
      <c r="J760" s="943"/>
      <c r="K760" s="943"/>
      <c r="L760" s="943"/>
      <c r="M760" s="943"/>
      <c r="N760" s="943"/>
      <c r="O760" s="943"/>
      <c r="P760" s="943"/>
      <c r="Q760" s="943"/>
      <c r="R760" s="943"/>
      <c r="S760" s="943"/>
      <c r="T760" s="943"/>
      <c r="U760" s="943"/>
      <c r="V760" s="943"/>
      <c r="W760" s="943"/>
      <c r="X760" s="943"/>
      <c r="Y760" s="943"/>
      <c r="Z760" s="943"/>
      <c r="AA760" s="943"/>
      <c r="AB760" s="943"/>
      <c r="AC760" s="943"/>
      <c r="AD760" s="943"/>
      <c r="AE760" s="943"/>
    </row>
    <row r="761" spans="1:31" ht="15.75" customHeight="1">
      <c r="A761" s="943"/>
      <c r="B761" s="943"/>
      <c r="C761" s="943"/>
      <c r="D761" s="943"/>
      <c r="E761" s="943"/>
      <c r="F761" s="943"/>
      <c r="G761" s="943"/>
      <c r="H761" s="943"/>
      <c r="I761" s="943"/>
      <c r="J761" s="943"/>
      <c r="K761" s="943"/>
      <c r="L761" s="943"/>
      <c r="M761" s="943"/>
      <c r="N761" s="943"/>
      <c r="O761" s="943"/>
      <c r="P761" s="943"/>
      <c r="Q761" s="943"/>
      <c r="R761" s="943"/>
      <c r="S761" s="943"/>
      <c r="T761" s="943"/>
      <c r="U761" s="943"/>
      <c r="V761" s="943"/>
      <c r="W761" s="943"/>
      <c r="X761" s="943"/>
      <c r="Y761" s="943"/>
      <c r="Z761" s="943"/>
      <c r="AA761" s="943"/>
      <c r="AB761" s="943"/>
      <c r="AC761" s="943"/>
      <c r="AD761" s="943"/>
      <c r="AE761" s="943"/>
    </row>
    <row r="762" spans="1:31" ht="15.75" customHeight="1">
      <c r="A762" s="943"/>
      <c r="B762" s="943"/>
      <c r="C762" s="943"/>
      <c r="D762" s="943"/>
      <c r="E762" s="943"/>
      <c r="F762" s="943"/>
      <c r="G762" s="943"/>
      <c r="H762" s="943"/>
      <c r="I762" s="943"/>
      <c r="J762" s="943"/>
      <c r="K762" s="943"/>
      <c r="L762" s="943"/>
      <c r="M762" s="943"/>
      <c r="N762" s="943"/>
      <c r="O762" s="943"/>
      <c r="P762" s="943"/>
      <c r="Q762" s="943"/>
      <c r="R762" s="943"/>
      <c r="S762" s="943"/>
      <c r="T762" s="943"/>
      <c r="U762" s="943"/>
      <c r="V762" s="943"/>
      <c r="W762" s="943"/>
      <c r="X762" s="943"/>
      <c r="Y762" s="943"/>
      <c r="Z762" s="943"/>
      <c r="AA762" s="943"/>
      <c r="AB762" s="943"/>
      <c r="AC762" s="943"/>
      <c r="AD762" s="943"/>
      <c r="AE762" s="943"/>
    </row>
    <row r="763" spans="1:31" ht="15.75" customHeight="1">
      <c r="A763" s="943"/>
      <c r="B763" s="943"/>
      <c r="C763" s="943"/>
      <c r="D763" s="943"/>
      <c r="E763" s="943"/>
      <c r="F763" s="943"/>
      <c r="G763" s="943"/>
      <c r="H763" s="943"/>
      <c r="I763" s="943"/>
      <c r="J763" s="943"/>
      <c r="K763" s="943"/>
      <c r="L763" s="943"/>
      <c r="M763" s="943"/>
      <c r="N763" s="943"/>
      <c r="O763" s="943"/>
      <c r="P763" s="943"/>
      <c r="Q763" s="943"/>
      <c r="R763" s="943"/>
      <c r="S763" s="943"/>
      <c r="T763" s="943"/>
      <c r="U763" s="943"/>
      <c r="V763" s="943"/>
      <c r="W763" s="943"/>
      <c r="X763" s="943"/>
      <c r="Y763" s="943"/>
      <c r="Z763" s="943"/>
      <c r="AA763" s="943"/>
      <c r="AB763" s="943"/>
      <c r="AC763" s="943"/>
      <c r="AD763" s="943"/>
      <c r="AE763" s="943"/>
    </row>
    <row r="764" spans="1:31" ht="15.75" customHeight="1">
      <c r="A764" s="943"/>
      <c r="B764" s="943"/>
      <c r="C764" s="943"/>
      <c r="D764" s="943"/>
      <c r="E764" s="943"/>
      <c r="F764" s="943"/>
      <c r="G764" s="943"/>
      <c r="H764" s="943"/>
      <c r="I764" s="943"/>
      <c r="J764" s="943"/>
      <c r="K764" s="943"/>
      <c r="L764" s="943"/>
      <c r="M764" s="943"/>
      <c r="N764" s="943"/>
      <c r="O764" s="943"/>
      <c r="P764" s="943"/>
      <c r="Q764" s="943"/>
      <c r="R764" s="943"/>
      <c r="S764" s="943"/>
      <c r="T764" s="943"/>
      <c r="U764" s="943"/>
      <c r="V764" s="943"/>
      <c r="W764" s="943"/>
      <c r="X764" s="943"/>
      <c r="Y764" s="943"/>
      <c r="Z764" s="943"/>
      <c r="AA764" s="943"/>
      <c r="AB764" s="943"/>
      <c r="AC764" s="943"/>
      <c r="AD764" s="943"/>
      <c r="AE764" s="943"/>
    </row>
    <row r="765" spans="1:31" ht="15.75" customHeight="1">
      <c r="A765" s="943"/>
      <c r="B765" s="943"/>
      <c r="C765" s="943"/>
      <c r="D765" s="943"/>
      <c r="E765" s="943"/>
      <c r="F765" s="943"/>
      <c r="G765" s="943"/>
      <c r="H765" s="943"/>
      <c r="I765" s="943"/>
      <c r="J765" s="943"/>
      <c r="K765" s="943"/>
      <c r="L765" s="943"/>
      <c r="M765" s="943"/>
      <c r="N765" s="943"/>
      <c r="O765" s="943"/>
      <c r="P765" s="943"/>
      <c r="Q765" s="943"/>
      <c r="R765" s="943"/>
      <c r="S765" s="943"/>
      <c r="T765" s="943"/>
      <c r="U765" s="943"/>
      <c r="V765" s="943"/>
      <c r="W765" s="943"/>
      <c r="X765" s="943"/>
      <c r="Y765" s="943"/>
      <c r="Z765" s="943"/>
      <c r="AA765" s="943"/>
      <c r="AB765" s="943"/>
      <c r="AC765" s="943"/>
      <c r="AD765" s="943"/>
      <c r="AE765" s="943"/>
    </row>
    <row r="766" spans="1:31" ht="15.75" customHeight="1">
      <c r="A766" s="943"/>
      <c r="B766" s="943"/>
      <c r="C766" s="943"/>
      <c r="D766" s="943"/>
      <c r="E766" s="943"/>
      <c r="F766" s="943"/>
      <c r="G766" s="943"/>
      <c r="H766" s="943"/>
      <c r="I766" s="943"/>
      <c r="J766" s="943"/>
      <c r="K766" s="943"/>
      <c r="L766" s="943"/>
      <c r="M766" s="943"/>
      <c r="N766" s="943"/>
      <c r="O766" s="943"/>
      <c r="P766" s="943"/>
      <c r="Q766" s="943"/>
      <c r="R766" s="943"/>
      <c r="S766" s="943"/>
      <c r="T766" s="943"/>
      <c r="U766" s="943"/>
      <c r="V766" s="943"/>
      <c r="W766" s="943"/>
      <c r="X766" s="943"/>
      <c r="Y766" s="943"/>
      <c r="Z766" s="943"/>
      <c r="AA766" s="943"/>
      <c r="AB766" s="943"/>
      <c r="AC766" s="943"/>
      <c r="AD766" s="943"/>
      <c r="AE766" s="943"/>
    </row>
    <row r="767" spans="1:31" ht="15.75" customHeight="1">
      <c r="A767" s="943"/>
      <c r="B767" s="943"/>
      <c r="C767" s="943"/>
      <c r="D767" s="943"/>
      <c r="E767" s="943"/>
      <c r="F767" s="943"/>
      <c r="G767" s="943"/>
      <c r="H767" s="943"/>
      <c r="I767" s="943"/>
      <c r="J767" s="943"/>
      <c r="K767" s="943"/>
      <c r="L767" s="943"/>
      <c r="M767" s="943"/>
      <c r="N767" s="943"/>
      <c r="O767" s="943"/>
      <c r="P767" s="943"/>
      <c r="Q767" s="943"/>
      <c r="R767" s="943"/>
      <c r="S767" s="943"/>
      <c r="T767" s="943"/>
      <c r="U767" s="943"/>
      <c r="V767" s="943"/>
      <c r="W767" s="943"/>
      <c r="X767" s="943"/>
      <c r="Y767" s="943"/>
      <c r="Z767" s="943"/>
      <c r="AA767" s="943"/>
      <c r="AB767" s="943"/>
      <c r="AC767" s="943"/>
      <c r="AD767" s="943"/>
      <c r="AE767" s="943"/>
    </row>
    <row r="768" spans="1:31" ht="15.75" customHeight="1">
      <c r="A768" s="943"/>
      <c r="B768" s="943"/>
      <c r="C768" s="943"/>
      <c r="D768" s="943"/>
      <c r="E768" s="943"/>
      <c r="F768" s="943"/>
      <c r="G768" s="943"/>
      <c r="H768" s="943"/>
      <c r="I768" s="943"/>
      <c r="J768" s="943"/>
      <c r="K768" s="943"/>
      <c r="L768" s="943"/>
      <c r="M768" s="943"/>
      <c r="N768" s="943"/>
      <c r="O768" s="943"/>
      <c r="P768" s="943"/>
      <c r="Q768" s="943"/>
      <c r="R768" s="943"/>
      <c r="S768" s="943"/>
      <c r="T768" s="943"/>
      <c r="U768" s="943"/>
      <c r="V768" s="943"/>
      <c r="W768" s="943"/>
      <c r="X768" s="943"/>
      <c r="Y768" s="943"/>
      <c r="Z768" s="943"/>
      <c r="AA768" s="943"/>
      <c r="AB768" s="943"/>
      <c r="AC768" s="943"/>
      <c r="AD768" s="943"/>
      <c r="AE768" s="943"/>
    </row>
    <row r="769" spans="1:31" ht="15.75" customHeight="1">
      <c r="A769" s="943"/>
      <c r="B769" s="943"/>
      <c r="C769" s="943"/>
      <c r="D769" s="943"/>
      <c r="E769" s="943"/>
      <c r="F769" s="943"/>
      <c r="G769" s="943"/>
      <c r="H769" s="943"/>
      <c r="I769" s="943"/>
      <c r="J769" s="943"/>
      <c r="K769" s="943"/>
      <c r="L769" s="943"/>
      <c r="M769" s="943"/>
      <c r="N769" s="943"/>
      <c r="O769" s="943"/>
      <c r="P769" s="943"/>
      <c r="Q769" s="943"/>
      <c r="R769" s="943"/>
      <c r="S769" s="943"/>
      <c r="T769" s="943"/>
      <c r="U769" s="943"/>
      <c r="V769" s="943"/>
      <c r="W769" s="943"/>
      <c r="X769" s="943"/>
      <c r="Y769" s="943"/>
      <c r="Z769" s="943"/>
      <c r="AA769" s="943"/>
      <c r="AB769" s="943"/>
      <c r="AC769" s="943"/>
      <c r="AD769" s="943"/>
      <c r="AE769" s="943"/>
    </row>
    <row r="770" spans="1:31" ht="15.75" customHeight="1">
      <c r="A770" s="943"/>
      <c r="B770" s="943"/>
      <c r="C770" s="943"/>
      <c r="D770" s="943"/>
      <c r="E770" s="943"/>
      <c r="F770" s="943"/>
      <c r="G770" s="943"/>
      <c r="H770" s="943"/>
      <c r="I770" s="943"/>
      <c r="J770" s="943"/>
      <c r="K770" s="943"/>
      <c r="L770" s="943"/>
      <c r="M770" s="943"/>
      <c r="N770" s="943"/>
      <c r="O770" s="943"/>
      <c r="P770" s="943"/>
      <c r="Q770" s="943"/>
      <c r="R770" s="943"/>
      <c r="S770" s="943"/>
      <c r="T770" s="943"/>
      <c r="U770" s="943"/>
      <c r="V770" s="943"/>
      <c r="W770" s="943"/>
      <c r="X770" s="943"/>
      <c r="Y770" s="943"/>
      <c r="Z770" s="943"/>
      <c r="AA770" s="943"/>
      <c r="AB770" s="943"/>
      <c r="AC770" s="943"/>
      <c r="AD770" s="943"/>
      <c r="AE770" s="943"/>
    </row>
    <row r="771" spans="1:31" ht="15.75" customHeight="1">
      <c r="A771" s="943"/>
      <c r="B771" s="943"/>
      <c r="C771" s="943"/>
      <c r="D771" s="943"/>
      <c r="E771" s="943"/>
      <c r="F771" s="943"/>
      <c r="G771" s="943"/>
      <c r="H771" s="943"/>
      <c r="I771" s="943"/>
      <c r="J771" s="943"/>
      <c r="K771" s="943"/>
      <c r="L771" s="943"/>
      <c r="M771" s="943"/>
      <c r="N771" s="943"/>
      <c r="O771" s="943"/>
      <c r="P771" s="943"/>
      <c r="Q771" s="943"/>
      <c r="R771" s="943"/>
      <c r="S771" s="943"/>
      <c r="T771" s="943"/>
      <c r="U771" s="943"/>
      <c r="V771" s="943"/>
      <c r="W771" s="943"/>
      <c r="X771" s="943"/>
      <c r="Y771" s="943"/>
      <c r="Z771" s="943"/>
      <c r="AA771" s="943"/>
      <c r="AB771" s="943"/>
      <c r="AC771" s="943"/>
      <c r="AD771" s="943"/>
      <c r="AE771" s="943"/>
    </row>
    <row r="772" spans="1:31" ht="15.75" customHeight="1">
      <c r="A772" s="943"/>
      <c r="B772" s="943"/>
      <c r="C772" s="943"/>
      <c r="D772" s="943"/>
      <c r="E772" s="943"/>
      <c r="F772" s="943"/>
      <c r="G772" s="943"/>
      <c r="H772" s="943"/>
      <c r="I772" s="943"/>
      <c r="J772" s="943"/>
      <c r="K772" s="943"/>
      <c r="L772" s="943"/>
      <c r="M772" s="943"/>
      <c r="N772" s="943"/>
      <c r="O772" s="943"/>
      <c r="P772" s="943"/>
      <c r="Q772" s="943"/>
      <c r="R772" s="943"/>
      <c r="S772" s="943"/>
      <c r="T772" s="943"/>
      <c r="U772" s="943"/>
      <c r="V772" s="943"/>
      <c r="W772" s="943"/>
      <c r="X772" s="943"/>
      <c r="Y772" s="943"/>
      <c r="Z772" s="943"/>
      <c r="AA772" s="943"/>
      <c r="AB772" s="943"/>
      <c r="AC772" s="943"/>
      <c r="AD772" s="943"/>
      <c r="AE772" s="943"/>
    </row>
    <row r="773" spans="1:31" ht="15.75" customHeight="1">
      <c r="A773" s="943"/>
      <c r="B773" s="943"/>
      <c r="C773" s="943"/>
      <c r="D773" s="943"/>
      <c r="E773" s="943"/>
      <c r="F773" s="943"/>
      <c r="G773" s="943"/>
      <c r="H773" s="943"/>
      <c r="I773" s="943"/>
      <c r="J773" s="943"/>
      <c r="K773" s="943"/>
      <c r="L773" s="943"/>
      <c r="M773" s="943"/>
      <c r="N773" s="943"/>
      <c r="O773" s="943"/>
      <c r="P773" s="943"/>
      <c r="Q773" s="943"/>
      <c r="R773" s="943"/>
      <c r="S773" s="943"/>
      <c r="T773" s="943"/>
      <c r="U773" s="943"/>
      <c r="V773" s="943"/>
      <c r="W773" s="943"/>
      <c r="X773" s="943"/>
      <c r="Y773" s="943"/>
      <c r="Z773" s="943"/>
      <c r="AA773" s="943"/>
      <c r="AB773" s="943"/>
      <c r="AC773" s="943"/>
      <c r="AD773" s="943"/>
      <c r="AE773" s="943"/>
    </row>
    <row r="774" spans="1:31" ht="15.75" customHeight="1">
      <c r="A774" s="943"/>
      <c r="B774" s="943"/>
      <c r="C774" s="943"/>
      <c r="D774" s="943"/>
      <c r="E774" s="943"/>
      <c r="F774" s="943"/>
      <c r="G774" s="943"/>
      <c r="H774" s="943"/>
      <c r="I774" s="943"/>
      <c r="J774" s="943"/>
      <c r="K774" s="943"/>
      <c r="L774" s="943"/>
      <c r="M774" s="943"/>
      <c r="N774" s="943"/>
      <c r="O774" s="943"/>
      <c r="P774" s="943"/>
      <c r="Q774" s="943"/>
      <c r="R774" s="943"/>
      <c r="S774" s="943"/>
      <c r="T774" s="943"/>
      <c r="U774" s="943"/>
      <c r="V774" s="943"/>
      <c r="W774" s="943"/>
      <c r="X774" s="943"/>
      <c r="Y774" s="943"/>
      <c r="Z774" s="943"/>
      <c r="AA774" s="943"/>
      <c r="AB774" s="943"/>
      <c r="AC774" s="943"/>
      <c r="AD774" s="943"/>
      <c r="AE774" s="943"/>
    </row>
    <row r="775" spans="1:31" ht="15.75" customHeight="1">
      <c r="A775" s="943"/>
      <c r="B775" s="943"/>
      <c r="C775" s="943"/>
      <c r="D775" s="943"/>
      <c r="E775" s="943"/>
      <c r="F775" s="943"/>
      <c r="G775" s="943"/>
      <c r="H775" s="943"/>
      <c r="I775" s="943"/>
      <c r="J775" s="943"/>
      <c r="K775" s="943"/>
      <c r="L775" s="943"/>
      <c r="M775" s="943"/>
      <c r="N775" s="943"/>
      <c r="O775" s="943"/>
      <c r="P775" s="943"/>
      <c r="Q775" s="943"/>
      <c r="R775" s="943"/>
      <c r="S775" s="943"/>
      <c r="T775" s="943"/>
      <c r="U775" s="943"/>
      <c r="V775" s="943"/>
      <c r="W775" s="943"/>
      <c r="X775" s="943"/>
      <c r="Y775" s="943"/>
      <c r="Z775" s="943"/>
      <c r="AA775" s="943"/>
      <c r="AB775" s="943"/>
      <c r="AC775" s="943"/>
      <c r="AD775" s="943"/>
      <c r="AE775" s="943"/>
    </row>
    <row r="776" spans="1:31" ht="15.75" customHeight="1">
      <c r="A776" s="943"/>
      <c r="B776" s="943"/>
      <c r="C776" s="943"/>
      <c r="D776" s="943"/>
      <c r="E776" s="943"/>
      <c r="F776" s="943"/>
      <c r="G776" s="943"/>
      <c r="H776" s="943"/>
      <c r="I776" s="943"/>
      <c r="J776" s="943"/>
      <c r="K776" s="943"/>
      <c r="L776" s="943"/>
      <c r="M776" s="943"/>
      <c r="N776" s="943"/>
      <c r="O776" s="943"/>
      <c r="P776" s="943"/>
      <c r="Q776" s="943"/>
      <c r="R776" s="943"/>
      <c r="S776" s="943"/>
      <c r="T776" s="943"/>
      <c r="U776" s="943"/>
      <c r="V776" s="943"/>
      <c r="W776" s="943"/>
      <c r="X776" s="943"/>
      <c r="Y776" s="943"/>
      <c r="Z776" s="943"/>
      <c r="AA776" s="943"/>
      <c r="AB776" s="943"/>
      <c r="AC776" s="943"/>
      <c r="AD776" s="943"/>
      <c r="AE776" s="943"/>
    </row>
    <row r="777" spans="1:31" ht="15.75" customHeight="1">
      <c r="A777" s="943"/>
      <c r="B777" s="943"/>
      <c r="C777" s="943"/>
      <c r="D777" s="943"/>
      <c r="E777" s="943"/>
      <c r="F777" s="943"/>
      <c r="G777" s="943"/>
      <c r="H777" s="943"/>
      <c r="I777" s="943"/>
      <c r="J777" s="943"/>
      <c r="K777" s="943"/>
      <c r="L777" s="943"/>
      <c r="M777" s="943"/>
      <c r="N777" s="943"/>
      <c r="O777" s="943"/>
      <c r="P777" s="943"/>
      <c r="Q777" s="943"/>
      <c r="R777" s="943"/>
      <c r="S777" s="943"/>
      <c r="T777" s="943"/>
      <c r="U777" s="943"/>
      <c r="V777" s="943"/>
      <c r="W777" s="943"/>
      <c r="X777" s="943"/>
      <c r="Y777" s="943"/>
      <c r="Z777" s="943"/>
      <c r="AA777" s="943"/>
      <c r="AB777" s="943"/>
      <c r="AC777" s="943"/>
      <c r="AD777" s="943"/>
      <c r="AE777" s="943"/>
    </row>
    <row r="778" spans="1:31" ht="15.75" customHeight="1">
      <c r="A778" s="943"/>
      <c r="B778" s="943"/>
      <c r="C778" s="943"/>
      <c r="D778" s="943"/>
      <c r="E778" s="943"/>
      <c r="F778" s="943"/>
      <c r="G778" s="943"/>
      <c r="H778" s="943"/>
      <c r="I778" s="943"/>
      <c r="J778" s="943"/>
      <c r="K778" s="943"/>
      <c r="L778" s="943"/>
      <c r="M778" s="943"/>
      <c r="N778" s="943"/>
      <c r="O778" s="943"/>
      <c r="P778" s="943"/>
      <c r="Q778" s="943"/>
      <c r="R778" s="943"/>
      <c r="S778" s="943"/>
      <c r="T778" s="943"/>
      <c r="U778" s="943"/>
      <c r="V778" s="943"/>
      <c r="W778" s="943"/>
      <c r="X778" s="943"/>
      <c r="Y778" s="943"/>
      <c r="Z778" s="943"/>
      <c r="AA778" s="943"/>
      <c r="AB778" s="943"/>
      <c r="AC778" s="943"/>
      <c r="AD778" s="943"/>
      <c r="AE778" s="943"/>
    </row>
    <row r="779" spans="1:31" ht="15.75" customHeight="1">
      <c r="A779" s="943"/>
      <c r="B779" s="943"/>
      <c r="C779" s="943"/>
      <c r="D779" s="943"/>
      <c r="E779" s="943"/>
      <c r="F779" s="943"/>
      <c r="G779" s="943"/>
      <c r="H779" s="943"/>
      <c r="I779" s="943"/>
      <c r="J779" s="943"/>
      <c r="K779" s="943"/>
      <c r="L779" s="943"/>
      <c r="M779" s="943"/>
      <c r="N779" s="943"/>
      <c r="O779" s="943"/>
      <c r="P779" s="943"/>
      <c r="Q779" s="943"/>
      <c r="R779" s="943"/>
      <c r="S779" s="943"/>
      <c r="T779" s="943"/>
      <c r="U779" s="943"/>
      <c r="V779" s="943"/>
      <c r="W779" s="943"/>
      <c r="X779" s="943"/>
      <c r="Y779" s="943"/>
      <c r="Z779" s="943"/>
      <c r="AA779" s="943"/>
      <c r="AB779" s="943"/>
      <c r="AC779" s="943"/>
      <c r="AD779" s="943"/>
      <c r="AE779" s="943"/>
    </row>
    <row r="780" spans="1:31" ht="15.75" customHeight="1">
      <c r="A780" s="943"/>
      <c r="B780" s="943"/>
      <c r="C780" s="943"/>
      <c r="D780" s="943"/>
      <c r="E780" s="943"/>
      <c r="F780" s="943"/>
      <c r="G780" s="943"/>
      <c r="H780" s="943"/>
      <c r="I780" s="943"/>
      <c r="J780" s="943"/>
      <c r="K780" s="943"/>
      <c r="L780" s="943"/>
      <c r="M780" s="943"/>
      <c r="N780" s="943"/>
      <c r="O780" s="943"/>
      <c r="P780" s="943"/>
      <c r="Q780" s="943"/>
      <c r="R780" s="943"/>
      <c r="S780" s="943"/>
      <c r="T780" s="943"/>
      <c r="U780" s="943"/>
      <c r="V780" s="943"/>
      <c r="W780" s="943"/>
      <c r="X780" s="943"/>
      <c r="Y780" s="943"/>
      <c r="Z780" s="943"/>
      <c r="AA780" s="943"/>
      <c r="AB780" s="943"/>
      <c r="AC780" s="943"/>
      <c r="AD780" s="943"/>
      <c r="AE780" s="943"/>
    </row>
    <row r="781" spans="1:31" ht="15.75" customHeight="1">
      <c r="A781" s="943"/>
      <c r="B781" s="943"/>
      <c r="C781" s="943"/>
      <c r="D781" s="943"/>
      <c r="E781" s="943"/>
      <c r="F781" s="943"/>
      <c r="G781" s="943"/>
      <c r="H781" s="943"/>
      <c r="I781" s="943"/>
      <c r="J781" s="943"/>
      <c r="K781" s="943"/>
      <c r="L781" s="943"/>
      <c r="M781" s="943"/>
      <c r="N781" s="943"/>
      <c r="O781" s="943"/>
      <c r="P781" s="943"/>
      <c r="Q781" s="943"/>
      <c r="R781" s="943"/>
      <c r="S781" s="943"/>
      <c r="T781" s="943"/>
      <c r="U781" s="943"/>
      <c r="V781" s="943"/>
      <c r="W781" s="943"/>
      <c r="X781" s="943"/>
      <c r="Y781" s="943"/>
      <c r="Z781" s="943"/>
      <c r="AA781" s="943"/>
      <c r="AB781" s="943"/>
      <c r="AC781" s="943"/>
      <c r="AD781" s="943"/>
      <c r="AE781" s="943"/>
    </row>
    <row r="782" spans="1:31" ht="15.75" customHeight="1">
      <c r="A782" s="943"/>
      <c r="B782" s="943"/>
      <c r="C782" s="943"/>
      <c r="D782" s="943"/>
      <c r="E782" s="943"/>
      <c r="F782" s="943"/>
      <c r="G782" s="943"/>
      <c r="H782" s="943"/>
      <c r="I782" s="943"/>
      <c r="J782" s="943"/>
      <c r="K782" s="943"/>
      <c r="L782" s="943"/>
      <c r="M782" s="943"/>
      <c r="N782" s="943"/>
      <c r="O782" s="943"/>
      <c r="P782" s="943"/>
      <c r="Q782" s="943"/>
      <c r="R782" s="943"/>
      <c r="S782" s="943"/>
      <c r="T782" s="943"/>
      <c r="U782" s="943"/>
      <c r="V782" s="943"/>
      <c r="W782" s="943"/>
      <c r="X782" s="943"/>
      <c r="Y782" s="943"/>
      <c r="Z782" s="943"/>
      <c r="AA782" s="943"/>
      <c r="AB782" s="943"/>
      <c r="AC782" s="943"/>
      <c r="AD782" s="943"/>
      <c r="AE782" s="943"/>
    </row>
    <row r="783" spans="1:31" ht="15.75" customHeight="1">
      <c r="A783" s="943"/>
      <c r="B783" s="943"/>
      <c r="C783" s="943"/>
      <c r="D783" s="943"/>
      <c r="E783" s="943"/>
      <c r="F783" s="943"/>
      <c r="G783" s="943"/>
      <c r="H783" s="943"/>
      <c r="I783" s="943"/>
      <c r="J783" s="943"/>
      <c r="K783" s="943"/>
      <c r="L783" s="943"/>
      <c r="M783" s="943"/>
      <c r="N783" s="943"/>
      <c r="O783" s="943"/>
      <c r="P783" s="943"/>
      <c r="Q783" s="943"/>
      <c r="R783" s="943"/>
      <c r="S783" s="943"/>
      <c r="T783" s="943"/>
      <c r="U783" s="943"/>
      <c r="V783" s="943"/>
      <c r="W783" s="943"/>
      <c r="X783" s="943"/>
      <c r="Y783" s="943"/>
      <c r="Z783" s="943"/>
      <c r="AA783" s="943"/>
      <c r="AB783" s="943"/>
      <c r="AC783" s="943"/>
      <c r="AD783" s="943"/>
      <c r="AE783" s="943"/>
    </row>
    <row r="784" spans="1:31" ht="15.75" customHeight="1">
      <c r="A784" s="943"/>
      <c r="B784" s="943"/>
      <c r="C784" s="943"/>
      <c r="D784" s="943"/>
      <c r="E784" s="943"/>
      <c r="F784" s="943"/>
      <c r="G784" s="943"/>
      <c r="H784" s="943"/>
      <c r="I784" s="943"/>
      <c r="J784" s="943"/>
      <c r="K784" s="943"/>
      <c r="L784" s="943"/>
      <c r="M784" s="943"/>
      <c r="N784" s="943"/>
      <c r="O784" s="943"/>
      <c r="P784" s="943"/>
      <c r="Q784" s="943"/>
      <c r="R784" s="943"/>
      <c r="S784" s="943"/>
      <c r="T784" s="943"/>
      <c r="U784" s="943"/>
      <c r="V784" s="943"/>
      <c r="W784" s="943"/>
      <c r="X784" s="943"/>
      <c r="Y784" s="943"/>
      <c r="Z784" s="943"/>
      <c r="AA784" s="943"/>
      <c r="AB784" s="943"/>
      <c r="AC784" s="943"/>
      <c r="AD784" s="943"/>
      <c r="AE784" s="943"/>
    </row>
    <row r="785" spans="1:31" ht="15.75" customHeight="1">
      <c r="A785" s="943"/>
      <c r="B785" s="943"/>
      <c r="C785" s="943"/>
      <c r="D785" s="943"/>
      <c r="E785" s="943"/>
      <c r="F785" s="943"/>
      <c r="G785" s="943"/>
      <c r="H785" s="943"/>
      <c r="I785" s="943"/>
      <c r="J785" s="943"/>
      <c r="K785" s="943"/>
      <c r="L785" s="943"/>
      <c r="M785" s="943"/>
      <c r="N785" s="943"/>
      <c r="O785" s="943"/>
      <c r="P785" s="943"/>
      <c r="Q785" s="943"/>
      <c r="R785" s="943"/>
      <c r="S785" s="943"/>
      <c r="T785" s="943"/>
      <c r="U785" s="943"/>
      <c r="V785" s="943"/>
      <c r="W785" s="943"/>
      <c r="X785" s="943"/>
      <c r="Y785" s="943"/>
      <c r="Z785" s="943"/>
      <c r="AA785" s="943"/>
      <c r="AB785" s="943"/>
      <c r="AC785" s="943"/>
      <c r="AD785" s="943"/>
      <c r="AE785" s="943"/>
    </row>
    <row r="786" spans="1:31" ht="15.75" customHeight="1">
      <c r="A786" s="943"/>
      <c r="B786" s="943"/>
      <c r="C786" s="943"/>
      <c r="D786" s="943"/>
      <c r="E786" s="943"/>
      <c r="F786" s="943"/>
      <c r="G786" s="943"/>
      <c r="H786" s="943"/>
      <c r="I786" s="943"/>
      <c r="J786" s="943"/>
      <c r="K786" s="943"/>
      <c r="L786" s="943"/>
      <c r="M786" s="943"/>
      <c r="N786" s="943"/>
      <c r="O786" s="943"/>
      <c r="P786" s="943"/>
      <c r="Q786" s="943"/>
      <c r="R786" s="943"/>
      <c r="S786" s="943"/>
      <c r="T786" s="943"/>
      <c r="U786" s="943"/>
      <c r="V786" s="943"/>
      <c r="W786" s="943"/>
      <c r="X786" s="943"/>
      <c r="Y786" s="943"/>
      <c r="Z786" s="943"/>
      <c r="AA786" s="943"/>
      <c r="AB786" s="943"/>
      <c r="AC786" s="943"/>
      <c r="AD786" s="943"/>
      <c r="AE786" s="943"/>
    </row>
    <row r="787" spans="1:31" ht="15.75" customHeight="1">
      <c r="A787" s="943"/>
      <c r="B787" s="943"/>
      <c r="C787" s="943"/>
      <c r="D787" s="943"/>
      <c r="E787" s="943"/>
      <c r="F787" s="943"/>
      <c r="G787" s="943"/>
      <c r="H787" s="943"/>
      <c r="I787" s="943"/>
      <c r="J787" s="943"/>
      <c r="K787" s="943"/>
      <c r="L787" s="943"/>
      <c r="M787" s="943"/>
      <c r="N787" s="943"/>
      <c r="O787" s="943"/>
      <c r="P787" s="943"/>
      <c r="Q787" s="943"/>
      <c r="R787" s="943"/>
      <c r="S787" s="943"/>
      <c r="T787" s="943"/>
      <c r="U787" s="943"/>
      <c r="V787" s="943"/>
      <c r="W787" s="943"/>
      <c r="X787" s="943"/>
      <c r="Y787" s="943"/>
      <c r="Z787" s="943"/>
      <c r="AA787" s="943"/>
      <c r="AB787" s="943"/>
      <c r="AC787" s="943"/>
      <c r="AD787" s="943"/>
      <c r="AE787" s="943"/>
    </row>
    <row r="788" spans="1:31" ht="15.75" customHeight="1">
      <c r="A788" s="943"/>
      <c r="B788" s="943"/>
      <c r="C788" s="943"/>
      <c r="D788" s="943"/>
      <c r="E788" s="943"/>
      <c r="F788" s="943"/>
      <c r="G788" s="943"/>
      <c r="H788" s="943"/>
      <c r="I788" s="943"/>
      <c r="J788" s="943"/>
      <c r="K788" s="943"/>
      <c r="L788" s="943"/>
      <c r="M788" s="943"/>
      <c r="N788" s="943"/>
      <c r="O788" s="943"/>
      <c r="P788" s="943"/>
      <c r="Q788" s="943"/>
      <c r="R788" s="943"/>
      <c r="S788" s="943"/>
      <c r="T788" s="943"/>
      <c r="U788" s="943"/>
      <c r="V788" s="943"/>
      <c r="W788" s="943"/>
      <c r="X788" s="943"/>
      <c r="Y788" s="943"/>
      <c r="Z788" s="943"/>
      <c r="AA788" s="943"/>
      <c r="AB788" s="943"/>
      <c r="AC788" s="943"/>
      <c r="AD788" s="943"/>
      <c r="AE788" s="943"/>
    </row>
    <row r="789" spans="1:31" ht="15.75" customHeight="1">
      <c r="A789" s="943"/>
      <c r="B789" s="943"/>
      <c r="C789" s="943"/>
      <c r="D789" s="943"/>
      <c r="E789" s="943"/>
      <c r="F789" s="943"/>
      <c r="G789" s="943"/>
      <c r="H789" s="943"/>
      <c r="I789" s="943"/>
      <c r="J789" s="943"/>
      <c r="K789" s="943"/>
      <c r="L789" s="943"/>
      <c r="M789" s="943"/>
      <c r="N789" s="943"/>
      <c r="O789" s="943"/>
      <c r="P789" s="943"/>
      <c r="Q789" s="943"/>
      <c r="R789" s="943"/>
      <c r="S789" s="943"/>
      <c r="T789" s="943"/>
      <c r="U789" s="943"/>
      <c r="V789" s="943"/>
      <c r="W789" s="943"/>
      <c r="X789" s="943"/>
      <c r="Y789" s="943"/>
      <c r="Z789" s="943"/>
      <c r="AA789" s="943"/>
      <c r="AB789" s="943"/>
      <c r="AC789" s="943"/>
      <c r="AD789" s="943"/>
      <c r="AE789" s="943"/>
    </row>
    <row r="790" spans="1:31" ht="15.75" customHeight="1">
      <c r="A790" s="943"/>
      <c r="B790" s="943"/>
      <c r="C790" s="943"/>
      <c r="D790" s="943"/>
      <c r="E790" s="943"/>
      <c r="F790" s="943"/>
      <c r="G790" s="943"/>
      <c r="H790" s="943"/>
      <c r="I790" s="943"/>
      <c r="J790" s="943"/>
      <c r="K790" s="943"/>
      <c r="L790" s="943"/>
      <c r="M790" s="943"/>
      <c r="N790" s="943"/>
      <c r="O790" s="943"/>
      <c r="P790" s="943"/>
      <c r="Q790" s="943"/>
      <c r="R790" s="943"/>
      <c r="S790" s="943"/>
      <c r="T790" s="943"/>
      <c r="U790" s="943"/>
      <c r="V790" s="943"/>
      <c r="W790" s="943"/>
      <c r="X790" s="943"/>
      <c r="Y790" s="943"/>
      <c r="Z790" s="943"/>
      <c r="AA790" s="943"/>
      <c r="AB790" s="943"/>
      <c r="AC790" s="943"/>
      <c r="AD790" s="943"/>
      <c r="AE790" s="943"/>
    </row>
    <row r="791" spans="1:31" ht="15.75" customHeight="1">
      <c r="A791" s="943"/>
      <c r="B791" s="943"/>
      <c r="C791" s="943"/>
      <c r="D791" s="943"/>
      <c r="E791" s="943"/>
      <c r="F791" s="943"/>
      <c r="G791" s="943"/>
      <c r="H791" s="943"/>
      <c r="I791" s="943"/>
      <c r="J791" s="943"/>
      <c r="K791" s="943"/>
      <c r="L791" s="943"/>
      <c r="M791" s="943"/>
      <c r="N791" s="943"/>
      <c r="O791" s="943"/>
      <c r="P791" s="943"/>
      <c r="Q791" s="943"/>
      <c r="R791" s="943"/>
      <c r="S791" s="943"/>
      <c r="T791" s="943"/>
      <c r="U791" s="943"/>
      <c r="V791" s="943"/>
      <c r="W791" s="943"/>
      <c r="X791" s="943"/>
      <c r="Y791" s="943"/>
      <c r="Z791" s="943"/>
      <c r="AA791" s="943"/>
      <c r="AB791" s="943"/>
      <c r="AC791" s="943"/>
      <c r="AD791" s="943"/>
      <c r="AE791" s="943"/>
    </row>
    <row r="792" spans="1:31" ht="15.75" customHeight="1">
      <c r="A792" s="943"/>
      <c r="B792" s="943"/>
      <c r="C792" s="943"/>
      <c r="D792" s="943"/>
      <c r="E792" s="943"/>
      <c r="F792" s="943"/>
      <c r="G792" s="943"/>
      <c r="H792" s="943"/>
      <c r="I792" s="943"/>
      <c r="J792" s="943"/>
      <c r="K792" s="943"/>
      <c r="L792" s="943"/>
      <c r="M792" s="943"/>
      <c r="N792" s="943"/>
      <c r="O792" s="943"/>
      <c r="P792" s="943"/>
      <c r="Q792" s="943"/>
      <c r="R792" s="943"/>
      <c r="S792" s="943"/>
      <c r="T792" s="943"/>
      <c r="U792" s="943"/>
      <c r="V792" s="943"/>
      <c r="W792" s="943"/>
      <c r="X792" s="943"/>
      <c r="Y792" s="943"/>
      <c r="Z792" s="943"/>
      <c r="AA792" s="943"/>
      <c r="AB792" s="943"/>
      <c r="AC792" s="943"/>
      <c r="AD792" s="943"/>
      <c r="AE792" s="943"/>
    </row>
    <row r="793" spans="1:31" ht="15.75" customHeight="1">
      <c r="A793" s="943"/>
      <c r="B793" s="943"/>
      <c r="C793" s="943"/>
      <c r="D793" s="943"/>
      <c r="E793" s="943"/>
      <c r="F793" s="943"/>
      <c r="G793" s="943"/>
      <c r="H793" s="943"/>
      <c r="I793" s="943"/>
      <c r="J793" s="943"/>
      <c r="K793" s="943"/>
      <c r="L793" s="943"/>
      <c r="M793" s="943"/>
      <c r="N793" s="943"/>
      <c r="O793" s="943"/>
      <c r="P793" s="943"/>
      <c r="Q793" s="943"/>
      <c r="R793" s="943"/>
      <c r="S793" s="943"/>
      <c r="T793" s="943"/>
      <c r="U793" s="943"/>
      <c r="V793" s="943"/>
      <c r="W793" s="943"/>
      <c r="X793" s="943"/>
      <c r="Y793" s="943"/>
      <c r="Z793" s="943"/>
      <c r="AA793" s="943"/>
      <c r="AB793" s="943"/>
      <c r="AC793" s="943"/>
      <c r="AD793" s="943"/>
      <c r="AE793" s="943"/>
    </row>
    <row r="794" spans="1:31" ht="15.75" customHeight="1">
      <c r="A794" s="943"/>
      <c r="B794" s="943"/>
      <c r="C794" s="943"/>
      <c r="D794" s="943"/>
      <c r="E794" s="943"/>
      <c r="F794" s="943"/>
      <c r="G794" s="943"/>
      <c r="H794" s="943"/>
      <c r="I794" s="943"/>
      <c r="J794" s="943"/>
      <c r="K794" s="943"/>
      <c r="L794" s="943"/>
      <c r="M794" s="943"/>
      <c r="N794" s="943"/>
      <c r="O794" s="943"/>
      <c r="P794" s="943"/>
      <c r="Q794" s="943"/>
      <c r="R794" s="943"/>
      <c r="S794" s="943"/>
      <c r="T794" s="943"/>
      <c r="U794" s="943"/>
      <c r="V794" s="943"/>
      <c r="W794" s="943"/>
      <c r="X794" s="943"/>
      <c r="Y794" s="943"/>
      <c r="Z794" s="943"/>
      <c r="AA794" s="943"/>
      <c r="AB794" s="943"/>
      <c r="AC794" s="943"/>
      <c r="AD794" s="943"/>
      <c r="AE794" s="943"/>
    </row>
    <row r="795" spans="1:31" ht="15.75" customHeight="1">
      <c r="A795" s="943"/>
      <c r="B795" s="943"/>
      <c r="C795" s="943"/>
      <c r="D795" s="943"/>
      <c r="E795" s="943"/>
      <c r="F795" s="943"/>
      <c r="G795" s="943"/>
      <c r="H795" s="943"/>
      <c r="I795" s="943"/>
      <c r="J795" s="943"/>
      <c r="K795" s="943"/>
      <c r="L795" s="943"/>
      <c r="M795" s="943"/>
      <c r="N795" s="943"/>
      <c r="O795" s="943"/>
      <c r="P795" s="943"/>
      <c r="Q795" s="943"/>
      <c r="R795" s="943"/>
      <c r="S795" s="943"/>
      <c r="T795" s="943"/>
      <c r="U795" s="943"/>
      <c r="V795" s="943"/>
      <c r="W795" s="943"/>
      <c r="X795" s="943"/>
      <c r="Y795" s="943"/>
      <c r="Z795" s="943"/>
      <c r="AA795" s="943"/>
      <c r="AB795" s="943"/>
      <c r="AC795" s="943"/>
      <c r="AD795" s="943"/>
      <c r="AE795" s="943"/>
    </row>
    <row r="796" spans="1:31" ht="15.75" customHeight="1">
      <c r="A796" s="943"/>
      <c r="B796" s="943"/>
      <c r="C796" s="943"/>
      <c r="D796" s="943"/>
      <c r="E796" s="943"/>
      <c r="F796" s="943"/>
      <c r="G796" s="943"/>
      <c r="H796" s="943"/>
      <c r="I796" s="943"/>
      <c r="J796" s="943"/>
      <c r="K796" s="943"/>
      <c r="L796" s="943"/>
      <c r="M796" s="943"/>
      <c r="N796" s="943"/>
      <c r="O796" s="943"/>
      <c r="P796" s="943"/>
      <c r="Q796" s="943"/>
      <c r="R796" s="943"/>
      <c r="S796" s="943"/>
      <c r="T796" s="943"/>
      <c r="U796" s="943"/>
      <c r="V796" s="943"/>
      <c r="W796" s="943"/>
      <c r="X796" s="943"/>
      <c r="Y796" s="943"/>
      <c r="Z796" s="943"/>
      <c r="AA796" s="943"/>
      <c r="AB796" s="943"/>
      <c r="AC796" s="943"/>
      <c r="AD796" s="943"/>
      <c r="AE796" s="943"/>
    </row>
    <row r="797" spans="1:31" ht="15.75" customHeight="1">
      <c r="A797" s="943"/>
      <c r="B797" s="943"/>
      <c r="C797" s="943"/>
      <c r="D797" s="943"/>
      <c r="E797" s="943"/>
      <c r="F797" s="943"/>
      <c r="G797" s="943"/>
      <c r="H797" s="943"/>
      <c r="I797" s="943"/>
      <c r="J797" s="943"/>
      <c r="K797" s="943"/>
      <c r="L797" s="943"/>
      <c r="M797" s="943"/>
      <c r="N797" s="943"/>
      <c r="O797" s="943"/>
      <c r="P797" s="943"/>
      <c r="Q797" s="943"/>
      <c r="R797" s="943"/>
      <c r="S797" s="943"/>
      <c r="T797" s="943"/>
      <c r="U797" s="943"/>
      <c r="V797" s="943"/>
      <c r="W797" s="943"/>
      <c r="X797" s="943"/>
      <c r="Y797" s="943"/>
      <c r="Z797" s="943"/>
      <c r="AA797" s="943"/>
      <c r="AB797" s="943"/>
      <c r="AC797" s="943"/>
      <c r="AD797" s="943"/>
      <c r="AE797" s="943"/>
    </row>
    <row r="798" spans="1:31" ht="15.75" customHeight="1">
      <c r="A798" s="943"/>
      <c r="B798" s="943"/>
      <c r="C798" s="943"/>
      <c r="D798" s="943"/>
      <c r="E798" s="943"/>
      <c r="F798" s="943"/>
      <c r="G798" s="943"/>
      <c r="H798" s="943"/>
      <c r="I798" s="943"/>
      <c r="J798" s="943"/>
      <c r="K798" s="943"/>
      <c r="L798" s="943"/>
      <c r="M798" s="943"/>
      <c r="N798" s="943"/>
      <c r="O798" s="943"/>
      <c r="P798" s="943"/>
      <c r="Q798" s="943"/>
      <c r="R798" s="943"/>
      <c r="S798" s="943"/>
      <c r="T798" s="943"/>
      <c r="U798" s="943"/>
      <c r="V798" s="943"/>
      <c r="W798" s="943"/>
      <c r="X798" s="943"/>
      <c r="Y798" s="943"/>
      <c r="Z798" s="943"/>
      <c r="AA798" s="943"/>
      <c r="AB798" s="943"/>
      <c r="AC798" s="943"/>
      <c r="AD798" s="943"/>
      <c r="AE798" s="943"/>
    </row>
    <row r="799" spans="1:31" ht="15.75" customHeight="1">
      <c r="A799" s="943"/>
      <c r="B799" s="943"/>
      <c r="C799" s="943"/>
      <c r="D799" s="943"/>
      <c r="E799" s="943"/>
      <c r="F799" s="943"/>
      <c r="G799" s="943"/>
      <c r="H799" s="943"/>
      <c r="I799" s="943"/>
      <c r="J799" s="943"/>
      <c r="K799" s="943"/>
      <c r="L799" s="943"/>
      <c r="M799" s="943"/>
      <c r="N799" s="943"/>
      <c r="O799" s="943"/>
      <c r="P799" s="943"/>
      <c r="Q799" s="943"/>
      <c r="R799" s="943"/>
      <c r="S799" s="943"/>
      <c r="T799" s="943"/>
      <c r="U799" s="943"/>
      <c r="V799" s="943"/>
      <c r="W799" s="943"/>
      <c r="X799" s="943"/>
      <c r="Y799" s="943"/>
      <c r="Z799" s="943"/>
      <c r="AA799" s="943"/>
      <c r="AB799" s="943"/>
      <c r="AC799" s="943"/>
      <c r="AD799" s="943"/>
      <c r="AE799" s="943"/>
    </row>
    <row r="800" spans="1:31" ht="15.75" customHeight="1">
      <c r="A800" s="943"/>
      <c r="B800" s="943"/>
      <c r="C800" s="943"/>
      <c r="D800" s="943"/>
      <c r="E800" s="943"/>
      <c r="F800" s="943"/>
      <c r="G800" s="943"/>
      <c r="H800" s="943"/>
      <c r="I800" s="943"/>
      <c r="J800" s="943"/>
      <c r="K800" s="943"/>
      <c r="L800" s="943"/>
      <c r="M800" s="943"/>
      <c r="N800" s="943"/>
      <c r="O800" s="943"/>
      <c r="P800" s="943"/>
      <c r="Q800" s="943"/>
      <c r="R800" s="943"/>
      <c r="S800" s="943"/>
      <c r="T800" s="943"/>
      <c r="U800" s="943"/>
      <c r="V800" s="943"/>
      <c r="W800" s="943"/>
      <c r="X800" s="943"/>
      <c r="Y800" s="943"/>
      <c r="Z800" s="943"/>
      <c r="AA800" s="943"/>
      <c r="AB800" s="943"/>
      <c r="AC800" s="943"/>
      <c r="AD800" s="943"/>
      <c r="AE800" s="943"/>
    </row>
    <row r="801" spans="1:31" ht="15.75" customHeight="1">
      <c r="A801" s="943"/>
      <c r="B801" s="943"/>
      <c r="C801" s="943"/>
      <c r="D801" s="943"/>
      <c r="E801" s="943"/>
      <c r="F801" s="943"/>
      <c r="G801" s="943"/>
      <c r="H801" s="943"/>
      <c r="I801" s="943"/>
      <c r="J801" s="943"/>
      <c r="K801" s="943"/>
      <c r="L801" s="943"/>
      <c r="M801" s="943"/>
      <c r="N801" s="943"/>
      <c r="O801" s="943"/>
      <c r="P801" s="943"/>
      <c r="Q801" s="943"/>
      <c r="R801" s="943"/>
      <c r="S801" s="943"/>
      <c r="T801" s="943"/>
      <c r="U801" s="943"/>
      <c r="V801" s="943"/>
      <c r="W801" s="943"/>
      <c r="X801" s="943"/>
      <c r="Y801" s="943"/>
      <c r="Z801" s="943"/>
      <c r="AA801" s="943"/>
      <c r="AB801" s="943"/>
      <c r="AC801" s="943"/>
      <c r="AD801" s="943"/>
      <c r="AE801" s="943"/>
    </row>
    <row r="802" spans="1:31" ht="15.75" customHeight="1">
      <c r="A802" s="943"/>
      <c r="B802" s="943"/>
      <c r="C802" s="943"/>
      <c r="D802" s="943"/>
      <c r="E802" s="943"/>
      <c r="F802" s="943"/>
      <c r="G802" s="943"/>
      <c r="H802" s="943"/>
      <c r="I802" s="943"/>
      <c r="J802" s="943"/>
      <c r="K802" s="943"/>
      <c r="L802" s="943"/>
      <c r="M802" s="943"/>
      <c r="N802" s="943"/>
      <c r="O802" s="943"/>
      <c r="P802" s="943"/>
      <c r="Q802" s="943"/>
      <c r="R802" s="943"/>
      <c r="S802" s="943"/>
      <c r="T802" s="943"/>
      <c r="U802" s="943"/>
      <c r="V802" s="943"/>
      <c r="W802" s="943"/>
      <c r="X802" s="943"/>
      <c r="Y802" s="943"/>
      <c r="Z802" s="943"/>
      <c r="AA802" s="943"/>
      <c r="AB802" s="943"/>
      <c r="AC802" s="943"/>
      <c r="AD802" s="943"/>
      <c r="AE802" s="943"/>
    </row>
    <row r="803" spans="1:31" ht="15.75" customHeight="1">
      <c r="A803" s="943"/>
      <c r="B803" s="943"/>
      <c r="C803" s="943"/>
      <c r="D803" s="943"/>
      <c r="E803" s="943"/>
      <c r="F803" s="943"/>
      <c r="G803" s="943"/>
      <c r="H803" s="943"/>
      <c r="I803" s="943"/>
      <c r="J803" s="943"/>
      <c r="K803" s="943"/>
      <c r="L803" s="943"/>
      <c r="M803" s="943"/>
      <c r="N803" s="943"/>
      <c r="O803" s="943"/>
      <c r="P803" s="943"/>
      <c r="Q803" s="943"/>
      <c r="R803" s="943"/>
      <c r="S803" s="943"/>
      <c r="T803" s="943"/>
      <c r="U803" s="943"/>
      <c r="V803" s="943"/>
      <c r="W803" s="943"/>
      <c r="X803" s="943"/>
      <c r="Y803" s="943"/>
      <c r="Z803" s="943"/>
      <c r="AA803" s="943"/>
      <c r="AB803" s="943"/>
      <c r="AC803" s="943"/>
      <c r="AD803" s="943"/>
      <c r="AE803" s="943"/>
    </row>
    <row r="804" spans="1:31" ht="15.75" customHeight="1">
      <c r="A804" s="943"/>
      <c r="B804" s="943"/>
      <c r="C804" s="943"/>
      <c r="D804" s="943"/>
      <c r="E804" s="943"/>
      <c r="F804" s="943"/>
      <c r="G804" s="943"/>
      <c r="H804" s="943"/>
      <c r="I804" s="943"/>
      <c r="J804" s="943"/>
      <c r="K804" s="943"/>
      <c r="L804" s="943"/>
      <c r="M804" s="943"/>
      <c r="N804" s="943"/>
      <c r="O804" s="943"/>
      <c r="P804" s="943"/>
      <c r="Q804" s="943"/>
      <c r="R804" s="943"/>
      <c r="S804" s="943"/>
      <c r="T804" s="943"/>
      <c r="U804" s="943"/>
      <c r="V804" s="943"/>
      <c r="W804" s="943"/>
      <c r="X804" s="943"/>
      <c r="Y804" s="943"/>
      <c r="Z804" s="943"/>
      <c r="AA804" s="943"/>
      <c r="AB804" s="943"/>
      <c r="AC804" s="943"/>
      <c r="AD804" s="943"/>
      <c r="AE804" s="943"/>
    </row>
    <row r="805" spans="1:31" ht="15.75" customHeight="1">
      <c r="A805" s="943"/>
      <c r="B805" s="943"/>
      <c r="C805" s="943"/>
      <c r="D805" s="943"/>
      <c r="E805" s="943"/>
      <c r="F805" s="943"/>
      <c r="G805" s="943"/>
      <c r="H805" s="943"/>
      <c r="I805" s="943"/>
      <c r="J805" s="943"/>
      <c r="K805" s="943"/>
      <c r="L805" s="943"/>
      <c r="M805" s="943"/>
      <c r="N805" s="943"/>
      <c r="O805" s="943"/>
      <c r="P805" s="943"/>
      <c r="Q805" s="943"/>
      <c r="R805" s="943"/>
      <c r="S805" s="943"/>
      <c r="T805" s="943"/>
      <c r="U805" s="943"/>
      <c r="V805" s="943"/>
      <c r="W805" s="943"/>
      <c r="X805" s="943"/>
      <c r="Y805" s="943"/>
      <c r="Z805" s="943"/>
      <c r="AA805" s="943"/>
      <c r="AB805" s="943"/>
      <c r="AC805" s="943"/>
      <c r="AD805" s="943"/>
      <c r="AE805" s="943"/>
    </row>
    <row r="806" spans="1:31" ht="15.75" customHeight="1">
      <c r="A806" s="943"/>
      <c r="B806" s="943"/>
      <c r="C806" s="943"/>
      <c r="D806" s="943"/>
      <c r="E806" s="943"/>
      <c r="F806" s="943"/>
      <c r="G806" s="943"/>
      <c r="H806" s="943"/>
      <c r="I806" s="943"/>
      <c r="J806" s="943"/>
      <c r="K806" s="943"/>
      <c r="L806" s="943"/>
      <c r="M806" s="943"/>
      <c r="N806" s="943"/>
      <c r="O806" s="943"/>
      <c r="P806" s="943"/>
      <c r="Q806" s="943"/>
      <c r="R806" s="943"/>
      <c r="S806" s="943"/>
      <c r="T806" s="943"/>
      <c r="U806" s="943"/>
      <c r="V806" s="943"/>
      <c r="W806" s="943"/>
      <c r="X806" s="943"/>
      <c r="Y806" s="943"/>
      <c r="Z806" s="943"/>
      <c r="AA806" s="943"/>
      <c r="AB806" s="943"/>
      <c r="AC806" s="943"/>
      <c r="AD806" s="943"/>
      <c r="AE806" s="943"/>
    </row>
    <row r="807" spans="1:31" ht="15.75" customHeight="1">
      <c r="A807" s="943"/>
      <c r="B807" s="943"/>
      <c r="C807" s="943"/>
      <c r="D807" s="943"/>
      <c r="E807" s="943"/>
      <c r="F807" s="943"/>
      <c r="G807" s="943"/>
      <c r="H807" s="943"/>
      <c r="I807" s="943"/>
      <c r="J807" s="943"/>
      <c r="K807" s="943"/>
      <c r="L807" s="943"/>
      <c r="M807" s="943"/>
      <c r="N807" s="943"/>
      <c r="O807" s="943"/>
      <c r="P807" s="943"/>
      <c r="Q807" s="943"/>
      <c r="R807" s="943"/>
      <c r="S807" s="943"/>
      <c r="T807" s="943"/>
      <c r="U807" s="943"/>
      <c r="V807" s="943"/>
      <c r="W807" s="943"/>
      <c r="X807" s="943"/>
      <c r="Y807" s="943"/>
      <c r="Z807" s="943"/>
      <c r="AA807" s="943"/>
      <c r="AB807" s="943"/>
      <c r="AC807" s="943"/>
      <c r="AD807" s="943"/>
      <c r="AE807" s="943"/>
    </row>
    <row r="808" spans="1:31" ht="15.75" customHeight="1">
      <c r="A808" s="943"/>
      <c r="B808" s="943"/>
      <c r="C808" s="943"/>
      <c r="D808" s="943"/>
      <c r="E808" s="943"/>
      <c r="F808" s="943"/>
      <c r="G808" s="943"/>
      <c r="H808" s="943"/>
      <c r="I808" s="943"/>
      <c r="J808" s="943"/>
      <c r="K808" s="943"/>
      <c r="L808" s="943"/>
      <c r="M808" s="943"/>
      <c r="N808" s="943"/>
      <c r="O808" s="943"/>
      <c r="P808" s="943"/>
      <c r="Q808" s="943"/>
      <c r="R808" s="943"/>
      <c r="S808" s="943"/>
      <c r="T808" s="943"/>
      <c r="U808" s="943"/>
      <c r="V808" s="943"/>
      <c r="W808" s="943"/>
      <c r="X808" s="943"/>
      <c r="Y808" s="943"/>
      <c r="Z808" s="943"/>
      <c r="AA808" s="943"/>
      <c r="AB808" s="943"/>
      <c r="AC808" s="943"/>
      <c r="AD808" s="943"/>
      <c r="AE808" s="943"/>
    </row>
    <row r="809" spans="1:31" ht="15.75" customHeight="1">
      <c r="A809" s="943"/>
      <c r="B809" s="943"/>
      <c r="C809" s="943"/>
      <c r="D809" s="943"/>
      <c r="E809" s="943"/>
      <c r="F809" s="943"/>
      <c r="G809" s="943"/>
      <c r="H809" s="943"/>
      <c r="I809" s="943"/>
      <c r="J809" s="943"/>
      <c r="K809" s="943"/>
      <c r="L809" s="943"/>
      <c r="M809" s="943"/>
      <c r="N809" s="943"/>
      <c r="O809" s="943"/>
      <c r="P809" s="943"/>
      <c r="Q809" s="943"/>
      <c r="R809" s="943"/>
      <c r="S809" s="943"/>
      <c r="T809" s="943"/>
      <c r="U809" s="943"/>
      <c r="V809" s="943"/>
      <c r="W809" s="943"/>
      <c r="X809" s="943"/>
      <c r="Y809" s="943"/>
      <c r="Z809" s="943"/>
      <c r="AA809" s="943"/>
      <c r="AB809" s="943"/>
      <c r="AC809" s="943"/>
      <c r="AD809" s="943"/>
      <c r="AE809" s="943"/>
    </row>
    <row r="810" spans="1:31" ht="15.75" customHeight="1">
      <c r="A810" s="943"/>
      <c r="B810" s="943"/>
      <c r="C810" s="943"/>
      <c r="D810" s="943"/>
      <c r="E810" s="943"/>
      <c r="F810" s="943"/>
      <c r="G810" s="943"/>
      <c r="H810" s="943"/>
      <c r="I810" s="943"/>
      <c r="J810" s="943"/>
      <c r="K810" s="943"/>
      <c r="L810" s="943"/>
      <c r="M810" s="943"/>
      <c r="N810" s="943"/>
      <c r="O810" s="943"/>
      <c r="P810" s="943"/>
      <c r="Q810" s="943"/>
      <c r="R810" s="943"/>
      <c r="S810" s="943"/>
      <c r="T810" s="943"/>
      <c r="U810" s="943"/>
      <c r="V810" s="943"/>
      <c r="W810" s="943"/>
      <c r="X810" s="943"/>
      <c r="Y810" s="943"/>
      <c r="Z810" s="943"/>
      <c r="AA810" s="943"/>
      <c r="AB810" s="943"/>
      <c r="AC810" s="943"/>
      <c r="AD810" s="943"/>
      <c r="AE810" s="943"/>
    </row>
    <row r="811" spans="1:31" ht="15.75" customHeight="1">
      <c r="A811" s="943"/>
      <c r="B811" s="943"/>
      <c r="C811" s="943"/>
      <c r="D811" s="943"/>
      <c r="E811" s="943"/>
      <c r="F811" s="943"/>
      <c r="G811" s="943"/>
      <c r="H811" s="943"/>
      <c r="I811" s="943"/>
      <c r="J811" s="943"/>
      <c r="K811" s="943"/>
      <c r="L811" s="943"/>
      <c r="M811" s="943"/>
      <c r="N811" s="943"/>
      <c r="O811" s="943"/>
      <c r="P811" s="943"/>
      <c r="Q811" s="943"/>
      <c r="R811" s="943"/>
      <c r="S811" s="943"/>
      <c r="T811" s="943"/>
      <c r="U811" s="943"/>
      <c r="V811" s="943"/>
      <c r="W811" s="943"/>
      <c r="X811" s="943"/>
      <c r="Y811" s="943"/>
      <c r="Z811" s="943"/>
      <c r="AA811" s="943"/>
      <c r="AB811" s="943"/>
      <c r="AC811" s="943"/>
      <c r="AD811" s="943"/>
      <c r="AE811" s="943"/>
    </row>
    <row r="812" spans="1:31" ht="15.75" customHeight="1">
      <c r="A812" s="943"/>
      <c r="B812" s="943"/>
      <c r="C812" s="943"/>
      <c r="D812" s="943"/>
      <c r="E812" s="943"/>
      <c r="F812" s="943"/>
      <c r="G812" s="943"/>
      <c r="H812" s="943"/>
      <c r="I812" s="943"/>
      <c r="J812" s="943"/>
      <c r="K812" s="943"/>
      <c r="L812" s="943"/>
      <c r="M812" s="943"/>
      <c r="N812" s="943"/>
      <c r="O812" s="943"/>
      <c r="P812" s="943"/>
      <c r="Q812" s="943"/>
      <c r="R812" s="943"/>
      <c r="S812" s="943"/>
      <c r="T812" s="943"/>
      <c r="U812" s="943"/>
      <c r="V812" s="943"/>
      <c r="W812" s="943"/>
      <c r="X812" s="943"/>
      <c r="Y812" s="943"/>
      <c r="Z812" s="943"/>
      <c r="AA812" s="943"/>
      <c r="AB812" s="943"/>
      <c r="AC812" s="943"/>
      <c r="AD812" s="943"/>
      <c r="AE812" s="943"/>
    </row>
    <row r="813" spans="1:31" ht="15.75" customHeight="1">
      <c r="A813" s="943"/>
      <c r="B813" s="943"/>
      <c r="C813" s="943"/>
      <c r="D813" s="943"/>
      <c r="E813" s="943"/>
      <c r="F813" s="943"/>
      <c r="G813" s="943"/>
      <c r="H813" s="943"/>
      <c r="I813" s="943"/>
      <c r="J813" s="943"/>
      <c r="K813" s="943"/>
      <c r="L813" s="943"/>
      <c r="M813" s="943"/>
      <c r="N813" s="943"/>
      <c r="O813" s="943"/>
      <c r="P813" s="943"/>
      <c r="Q813" s="943"/>
      <c r="R813" s="943"/>
      <c r="S813" s="943"/>
      <c r="T813" s="943"/>
      <c r="U813" s="943"/>
      <c r="V813" s="943"/>
      <c r="W813" s="943"/>
      <c r="X813" s="943"/>
      <c r="Y813" s="943"/>
      <c r="Z813" s="943"/>
      <c r="AA813" s="943"/>
      <c r="AB813" s="943"/>
      <c r="AC813" s="943"/>
      <c r="AD813" s="943"/>
      <c r="AE813" s="943"/>
    </row>
    <row r="814" spans="1:31" ht="15.75" customHeight="1">
      <c r="A814" s="943"/>
      <c r="B814" s="943"/>
      <c r="C814" s="943"/>
      <c r="D814" s="943"/>
      <c r="E814" s="943"/>
      <c r="F814" s="943"/>
      <c r="G814" s="943"/>
      <c r="H814" s="943"/>
      <c r="I814" s="943"/>
      <c r="J814" s="943"/>
      <c r="K814" s="943"/>
      <c r="L814" s="943"/>
      <c r="M814" s="943"/>
      <c r="N814" s="943"/>
      <c r="O814" s="943"/>
      <c r="P814" s="943"/>
      <c r="Q814" s="943"/>
      <c r="R814" s="943"/>
      <c r="S814" s="943"/>
      <c r="T814" s="943"/>
      <c r="U814" s="943"/>
      <c r="V814" s="943"/>
      <c r="W814" s="943"/>
      <c r="X814" s="943"/>
      <c r="Y814" s="943"/>
      <c r="Z814" s="943"/>
      <c r="AA814" s="943"/>
      <c r="AB814" s="943"/>
      <c r="AC814" s="943"/>
      <c r="AD814" s="943"/>
      <c r="AE814" s="943"/>
    </row>
    <row r="815" spans="1:31" ht="15.75" customHeight="1">
      <c r="A815" s="943"/>
      <c r="B815" s="943"/>
      <c r="C815" s="943"/>
      <c r="D815" s="943"/>
      <c r="E815" s="943"/>
      <c r="F815" s="943"/>
      <c r="G815" s="943"/>
      <c r="H815" s="943"/>
      <c r="I815" s="943"/>
      <c r="J815" s="943"/>
      <c r="K815" s="943"/>
      <c r="L815" s="943"/>
      <c r="M815" s="943"/>
      <c r="N815" s="943"/>
      <c r="O815" s="943"/>
      <c r="P815" s="943"/>
      <c r="Q815" s="943"/>
      <c r="R815" s="943"/>
      <c r="S815" s="943"/>
      <c r="T815" s="943"/>
      <c r="U815" s="943"/>
      <c r="V815" s="943"/>
      <c r="W815" s="943"/>
      <c r="X815" s="943"/>
      <c r="Y815" s="943"/>
      <c r="Z815" s="943"/>
      <c r="AA815" s="943"/>
      <c r="AB815" s="943"/>
      <c r="AC815" s="943"/>
      <c r="AD815" s="943"/>
      <c r="AE815" s="943"/>
    </row>
    <row r="816" spans="1:31" ht="15.75" customHeight="1">
      <c r="A816" s="943"/>
      <c r="B816" s="943"/>
      <c r="C816" s="943"/>
      <c r="D816" s="943"/>
      <c r="E816" s="943"/>
      <c r="F816" s="943"/>
      <c r="G816" s="943"/>
      <c r="H816" s="943"/>
      <c r="I816" s="943"/>
      <c r="J816" s="943"/>
      <c r="K816" s="943"/>
      <c r="L816" s="943"/>
      <c r="M816" s="943"/>
      <c r="N816" s="943"/>
      <c r="O816" s="943"/>
      <c r="P816" s="943"/>
      <c r="Q816" s="943"/>
      <c r="R816" s="943"/>
      <c r="S816" s="943"/>
      <c r="T816" s="943"/>
      <c r="U816" s="943"/>
      <c r="V816" s="943"/>
      <c r="W816" s="943"/>
      <c r="X816" s="943"/>
      <c r="Y816" s="943"/>
      <c r="Z816" s="943"/>
      <c r="AA816" s="943"/>
      <c r="AB816" s="943"/>
      <c r="AC816" s="943"/>
      <c r="AD816" s="943"/>
      <c r="AE816" s="943"/>
    </row>
    <row r="817" spans="1:31" ht="15.75" customHeight="1">
      <c r="A817" s="943"/>
      <c r="B817" s="943"/>
      <c r="C817" s="943"/>
      <c r="D817" s="943"/>
      <c r="E817" s="943"/>
      <c r="F817" s="943"/>
      <c r="G817" s="943"/>
      <c r="H817" s="943"/>
      <c r="I817" s="943"/>
      <c r="J817" s="943"/>
      <c r="K817" s="943"/>
      <c r="L817" s="943"/>
      <c r="M817" s="943"/>
      <c r="N817" s="943"/>
      <c r="O817" s="943"/>
      <c r="P817" s="943"/>
      <c r="Q817" s="943"/>
      <c r="R817" s="943"/>
      <c r="S817" s="943"/>
      <c r="T817" s="943"/>
      <c r="U817" s="943"/>
      <c r="V817" s="943"/>
      <c r="W817" s="943"/>
      <c r="X817" s="943"/>
      <c r="Y817" s="943"/>
      <c r="Z817" s="943"/>
      <c r="AA817" s="943"/>
      <c r="AB817" s="943"/>
      <c r="AC817" s="943"/>
      <c r="AD817" s="943"/>
      <c r="AE817" s="943"/>
    </row>
    <row r="818" spans="1:31" ht="15.75" customHeight="1">
      <c r="A818" s="943"/>
      <c r="B818" s="943"/>
      <c r="C818" s="943"/>
      <c r="D818" s="943"/>
      <c r="E818" s="943"/>
      <c r="F818" s="943"/>
      <c r="G818" s="943"/>
      <c r="H818" s="943"/>
      <c r="I818" s="943"/>
      <c r="J818" s="943"/>
      <c r="K818" s="943"/>
      <c r="L818" s="943"/>
      <c r="M818" s="943"/>
      <c r="N818" s="943"/>
      <c r="O818" s="943"/>
      <c r="P818" s="943"/>
      <c r="Q818" s="943"/>
      <c r="R818" s="943"/>
      <c r="S818" s="943"/>
      <c r="T818" s="943"/>
      <c r="U818" s="943"/>
      <c r="V818" s="943"/>
      <c r="W818" s="943"/>
      <c r="X818" s="943"/>
      <c r="Y818" s="943"/>
      <c r="Z818" s="943"/>
      <c r="AA818" s="943"/>
      <c r="AB818" s="943"/>
      <c r="AC818" s="943"/>
      <c r="AD818" s="943"/>
      <c r="AE818" s="943"/>
    </row>
    <row r="819" spans="1:31" ht="15.75" customHeight="1">
      <c r="A819" s="943"/>
      <c r="B819" s="943"/>
      <c r="C819" s="943"/>
      <c r="D819" s="943"/>
      <c r="E819" s="943"/>
      <c r="F819" s="943"/>
      <c r="G819" s="943"/>
      <c r="H819" s="943"/>
      <c r="I819" s="943"/>
      <c r="J819" s="943"/>
      <c r="K819" s="943"/>
      <c r="L819" s="943"/>
      <c r="M819" s="943"/>
      <c r="N819" s="943"/>
      <c r="O819" s="943"/>
      <c r="P819" s="943"/>
      <c r="Q819" s="943"/>
      <c r="R819" s="943"/>
      <c r="S819" s="943"/>
      <c r="T819" s="943"/>
      <c r="U819" s="943"/>
      <c r="V819" s="943"/>
      <c r="W819" s="943"/>
      <c r="X819" s="943"/>
      <c r="Y819" s="943"/>
      <c r="Z819" s="943"/>
      <c r="AA819" s="943"/>
      <c r="AB819" s="943"/>
      <c r="AC819" s="943"/>
      <c r="AD819" s="943"/>
      <c r="AE819" s="943"/>
    </row>
    <row r="820" spans="1:31" ht="15.75" customHeight="1">
      <c r="A820" s="943"/>
      <c r="B820" s="943"/>
      <c r="C820" s="943"/>
      <c r="D820" s="943"/>
      <c r="E820" s="943"/>
      <c r="F820" s="943"/>
      <c r="G820" s="943"/>
      <c r="H820" s="943"/>
      <c r="I820" s="943"/>
      <c r="J820" s="943"/>
      <c r="K820" s="943"/>
      <c r="L820" s="943"/>
      <c r="M820" s="943"/>
      <c r="N820" s="943"/>
      <c r="O820" s="943"/>
      <c r="P820" s="943"/>
      <c r="Q820" s="943"/>
      <c r="R820" s="943"/>
      <c r="S820" s="943"/>
      <c r="T820" s="943"/>
      <c r="U820" s="943"/>
      <c r="V820" s="943"/>
      <c r="W820" s="943"/>
      <c r="X820" s="943"/>
      <c r="Y820" s="943"/>
      <c r="Z820" s="943"/>
      <c r="AA820" s="943"/>
      <c r="AB820" s="943"/>
      <c r="AC820" s="943"/>
      <c r="AD820" s="943"/>
      <c r="AE820" s="943"/>
    </row>
    <row r="821" spans="1:31" ht="15.75" customHeight="1">
      <c r="A821" s="943"/>
      <c r="B821" s="943"/>
      <c r="C821" s="943"/>
      <c r="D821" s="943"/>
      <c r="E821" s="943"/>
      <c r="F821" s="943"/>
      <c r="G821" s="943"/>
      <c r="H821" s="943"/>
      <c r="I821" s="943"/>
      <c r="J821" s="943"/>
      <c r="K821" s="943"/>
      <c r="L821" s="943"/>
      <c r="M821" s="943"/>
      <c r="N821" s="943"/>
      <c r="O821" s="943"/>
      <c r="P821" s="943"/>
      <c r="Q821" s="943"/>
      <c r="R821" s="943"/>
      <c r="S821" s="943"/>
      <c r="T821" s="943"/>
      <c r="U821" s="943"/>
      <c r="V821" s="943"/>
      <c r="W821" s="943"/>
      <c r="X821" s="943"/>
      <c r="Y821" s="943"/>
      <c r="Z821" s="943"/>
      <c r="AA821" s="943"/>
      <c r="AB821" s="943"/>
      <c r="AC821" s="943"/>
      <c r="AD821" s="943"/>
      <c r="AE821" s="943"/>
    </row>
    <row r="822" spans="1:31" ht="15.75" customHeight="1">
      <c r="A822" s="943"/>
      <c r="B822" s="943"/>
      <c r="C822" s="943"/>
      <c r="D822" s="943"/>
      <c r="E822" s="943"/>
      <c r="F822" s="943"/>
      <c r="G822" s="943"/>
      <c r="H822" s="943"/>
      <c r="I822" s="943"/>
      <c r="J822" s="943"/>
      <c r="K822" s="943"/>
      <c r="L822" s="943"/>
      <c r="M822" s="943"/>
      <c r="N822" s="943"/>
      <c r="O822" s="943"/>
      <c r="P822" s="943"/>
      <c r="Q822" s="943"/>
      <c r="R822" s="943"/>
      <c r="S822" s="943"/>
      <c r="T822" s="943"/>
      <c r="U822" s="943"/>
      <c r="V822" s="943"/>
      <c r="W822" s="943"/>
      <c r="X822" s="943"/>
      <c r="Y822" s="943"/>
      <c r="Z822" s="943"/>
      <c r="AA822" s="943"/>
      <c r="AB822" s="943"/>
      <c r="AC822" s="943"/>
      <c r="AD822" s="943"/>
      <c r="AE822" s="943"/>
    </row>
    <row r="823" spans="1:31" ht="15.75" customHeight="1">
      <c r="A823" s="943"/>
      <c r="B823" s="943"/>
      <c r="C823" s="943"/>
      <c r="D823" s="943"/>
      <c r="E823" s="943"/>
      <c r="F823" s="943"/>
      <c r="G823" s="943"/>
      <c r="H823" s="943"/>
      <c r="I823" s="943"/>
      <c r="J823" s="943"/>
      <c r="K823" s="943"/>
      <c r="L823" s="943"/>
      <c r="M823" s="943"/>
      <c r="N823" s="943"/>
      <c r="O823" s="943"/>
      <c r="P823" s="943"/>
      <c r="Q823" s="943"/>
      <c r="R823" s="943"/>
      <c r="S823" s="943"/>
      <c r="T823" s="943"/>
      <c r="U823" s="943"/>
      <c r="V823" s="943"/>
      <c r="W823" s="943"/>
      <c r="X823" s="943"/>
      <c r="Y823" s="943"/>
      <c r="Z823" s="943"/>
      <c r="AA823" s="943"/>
      <c r="AB823" s="943"/>
      <c r="AC823" s="943"/>
      <c r="AD823" s="943"/>
      <c r="AE823" s="943"/>
    </row>
    <row r="824" spans="1:31" ht="15.75" customHeight="1">
      <c r="A824" s="943"/>
      <c r="B824" s="943"/>
      <c r="C824" s="943"/>
      <c r="D824" s="943"/>
      <c r="E824" s="943"/>
      <c r="F824" s="943"/>
      <c r="G824" s="943"/>
      <c r="H824" s="943"/>
      <c r="I824" s="943"/>
      <c r="J824" s="943"/>
      <c r="K824" s="943"/>
      <c r="L824" s="943"/>
      <c r="M824" s="943"/>
      <c r="N824" s="943"/>
      <c r="O824" s="943"/>
      <c r="P824" s="943"/>
      <c r="Q824" s="943"/>
      <c r="R824" s="943"/>
      <c r="S824" s="943"/>
      <c r="T824" s="943"/>
      <c r="U824" s="943"/>
      <c r="V824" s="943"/>
      <c r="W824" s="943"/>
      <c r="X824" s="943"/>
      <c r="Y824" s="943"/>
      <c r="Z824" s="943"/>
      <c r="AA824" s="943"/>
      <c r="AB824" s="943"/>
      <c r="AC824" s="943"/>
      <c r="AD824" s="943"/>
      <c r="AE824" s="943"/>
    </row>
    <row r="825" spans="1:31" ht="15.75" customHeight="1">
      <c r="A825" s="943"/>
      <c r="B825" s="943"/>
      <c r="C825" s="943"/>
      <c r="D825" s="943"/>
      <c r="E825" s="943"/>
      <c r="F825" s="943"/>
      <c r="G825" s="943"/>
      <c r="H825" s="943"/>
      <c r="I825" s="943"/>
      <c r="J825" s="943"/>
      <c r="K825" s="943"/>
      <c r="L825" s="943"/>
      <c r="M825" s="943"/>
      <c r="N825" s="943"/>
      <c r="O825" s="943"/>
      <c r="P825" s="943"/>
      <c r="Q825" s="943"/>
      <c r="R825" s="943"/>
      <c r="S825" s="943"/>
      <c r="T825" s="943"/>
      <c r="U825" s="943"/>
      <c r="V825" s="943"/>
      <c r="W825" s="943"/>
      <c r="X825" s="943"/>
      <c r="Y825" s="943"/>
      <c r="Z825" s="943"/>
      <c r="AA825" s="943"/>
      <c r="AB825" s="943"/>
      <c r="AC825" s="943"/>
      <c r="AD825" s="943"/>
      <c r="AE825" s="943"/>
    </row>
    <row r="826" spans="1:31" ht="15.75" customHeight="1">
      <c r="A826" s="943"/>
      <c r="B826" s="943"/>
      <c r="C826" s="943"/>
      <c r="D826" s="943"/>
      <c r="E826" s="943"/>
      <c r="F826" s="943"/>
      <c r="G826" s="943"/>
      <c r="H826" s="943"/>
      <c r="I826" s="943"/>
      <c r="J826" s="943"/>
      <c r="K826" s="943"/>
      <c r="L826" s="943"/>
      <c r="M826" s="943"/>
      <c r="N826" s="943"/>
      <c r="O826" s="943"/>
      <c r="P826" s="943"/>
      <c r="Q826" s="943"/>
      <c r="R826" s="943"/>
      <c r="S826" s="943"/>
      <c r="T826" s="943"/>
      <c r="U826" s="943"/>
      <c r="V826" s="943"/>
      <c r="W826" s="943"/>
      <c r="X826" s="943"/>
      <c r="Y826" s="943"/>
      <c r="Z826" s="943"/>
      <c r="AA826" s="943"/>
      <c r="AB826" s="943"/>
      <c r="AC826" s="943"/>
      <c r="AD826" s="943"/>
      <c r="AE826" s="943"/>
    </row>
    <row r="827" spans="1:31" ht="15.75" customHeight="1">
      <c r="A827" s="943"/>
      <c r="B827" s="943"/>
      <c r="C827" s="943"/>
      <c r="D827" s="943"/>
      <c r="E827" s="943"/>
      <c r="F827" s="943"/>
      <c r="G827" s="943"/>
      <c r="H827" s="943"/>
      <c r="I827" s="943"/>
      <c r="J827" s="943"/>
      <c r="K827" s="943"/>
      <c r="L827" s="943"/>
      <c r="M827" s="943"/>
      <c r="N827" s="943"/>
      <c r="O827" s="943"/>
      <c r="P827" s="943"/>
      <c r="Q827" s="943"/>
      <c r="R827" s="943"/>
      <c r="S827" s="943"/>
      <c r="T827" s="943"/>
      <c r="U827" s="943"/>
      <c r="V827" s="943"/>
      <c r="W827" s="943"/>
      <c r="X827" s="943"/>
      <c r="Y827" s="943"/>
      <c r="Z827" s="943"/>
      <c r="AA827" s="943"/>
      <c r="AB827" s="943"/>
      <c r="AC827" s="943"/>
      <c r="AD827" s="943"/>
      <c r="AE827" s="943"/>
    </row>
    <row r="828" spans="1:31" ht="15.75" customHeight="1">
      <c r="A828" s="943"/>
      <c r="B828" s="943"/>
      <c r="C828" s="943"/>
      <c r="D828" s="943"/>
      <c r="E828" s="943"/>
      <c r="F828" s="943"/>
      <c r="G828" s="943"/>
      <c r="H828" s="943"/>
      <c r="I828" s="943"/>
      <c r="J828" s="943"/>
      <c r="K828" s="943"/>
      <c r="L828" s="943"/>
      <c r="M828" s="943"/>
      <c r="N828" s="943"/>
      <c r="O828" s="943"/>
      <c r="P828" s="943"/>
      <c r="Q828" s="943"/>
      <c r="R828" s="943"/>
      <c r="S828" s="943"/>
      <c r="T828" s="943"/>
      <c r="U828" s="943"/>
      <c r="V828" s="943"/>
      <c r="W828" s="943"/>
      <c r="X828" s="943"/>
      <c r="Y828" s="943"/>
      <c r="Z828" s="943"/>
      <c r="AA828" s="943"/>
      <c r="AB828" s="943"/>
      <c r="AC828" s="943"/>
      <c r="AD828" s="943"/>
      <c r="AE828" s="943"/>
    </row>
    <row r="829" spans="1:31" ht="15.75" customHeight="1">
      <c r="A829" s="943"/>
      <c r="B829" s="943"/>
      <c r="C829" s="943"/>
      <c r="D829" s="943"/>
      <c r="E829" s="943"/>
      <c r="F829" s="943"/>
      <c r="G829" s="943"/>
      <c r="H829" s="943"/>
      <c r="I829" s="943"/>
      <c r="J829" s="943"/>
      <c r="K829" s="943"/>
      <c r="L829" s="943"/>
      <c r="M829" s="943"/>
      <c r="N829" s="943"/>
      <c r="O829" s="943"/>
      <c r="P829" s="943"/>
      <c r="Q829" s="943"/>
      <c r="R829" s="943"/>
      <c r="S829" s="943"/>
      <c r="T829" s="943"/>
      <c r="U829" s="943"/>
      <c r="V829" s="943"/>
      <c r="W829" s="943"/>
      <c r="X829" s="943"/>
      <c r="Y829" s="943"/>
      <c r="Z829" s="943"/>
      <c r="AA829" s="943"/>
      <c r="AB829" s="943"/>
      <c r="AC829" s="943"/>
      <c r="AD829" s="943"/>
      <c r="AE829" s="943"/>
    </row>
    <row r="830" spans="1:31" ht="15.75" customHeight="1">
      <c r="A830" s="943"/>
      <c r="B830" s="943"/>
      <c r="C830" s="943"/>
      <c r="D830" s="943"/>
      <c r="E830" s="943"/>
      <c r="F830" s="943"/>
      <c r="G830" s="943"/>
      <c r="H830" s="943"/>
      <c r="I830" s="943"/>
      <c r="J830" s="943"/>
      <c r="K830" s="943"/>
      <c r="L830" s="943"/>
      <c r="M830" s="943"/>
      <c r="N830" s="943"/>
      <c r="O830" s="943"/>
      <c r="P830" s="943"/>
      <c r="Q830" s="943"/>
      <c r="R830" s="943"/>
      <c r="S830" s="943"/>
      <c r="T830" s="943"/>
      <c r="U830" s="943"/>
      <c r="V830" s="943"/>
      <c r="W830" s="943"/>
      <c r="X830" s="943"/>
      <c r="Y830" s="943"/>
      <c r="Z830" s="943"/>
      <c r="AA830" s="943"/>
      <c r="AB830" s="943"/>
      <c r="AC830" s="943"/>
      <c r="AD830" s="943"/>
      <c r="AE830" s="943"/>
    </row>
    <row r="831" spans="1:31" ht="15.75" customHeight="1">
      <c r="A831" s="943"/>
      <c r="B831" s="943"/>
      <c r="C831" s="943"/>
      <c r="D831" s="943"/>
      <c r="E831" s="943"/>
      <c r="F831" s="943"/>
      <c r="G831" s="943"/>
      <c r="H831" s="943"/>
      <c r="I831" s="943"/>
      <c r="J831" s="943"/>
      <c r="K831" s="943"/>
      <c r="L831" s="943"/>
      <c r="M831" s="943"/>
      <c r="N831" s="943"/>
      <c r="O831" s="943"/>
      <c r="P831" s="943"/>
      <c r="Q831" s="943"/>
      <c r="R831" s="943"/>
      <c r="S831" s="943"/>
      <c r="T831" s="943"/>
      <c r="U831" s="943"/>
      <c r="V831" s="943"/>
      <c r="W831" s="943"/>
      <c r="X831" s="943"/>
      <c r="Y831" s="943"/>
      <c r="Z831" s="943"/>
      <c r="AA831" s="943"/>
      <c r="AB831" s="943"/>
      <c r="AC831" s="943"/>
      <c r="AD831" s="943"/>
      <c r="AE831" s="943"/>
    </row>
    <row r="832" spans="1:31" ht="15.75" customHeight="1">
      <c r="A832" s="943"/>
      <c r="B832" s="943"/>
      <c r="C832" s="943"/>
      <c r="D832" s="943"/>
      <c r="E832" s="943"/>
      <c r="F832" s="943"/>
      <c r="G832" s="943"/>
      <c r="H832" s="943"/>
      <c r="I832" s="943"/>
      <c r="J832" s="943"/>
      <c r="K832" s="943"/>
      <c r="L832" s="943"/>
      <c r="M832" s="943"/>
      <c r="N832" s="943"/>
      <c r="O832" s="943"/>
      <c r="P832" s="943"/>
      <c r="Q832" s="943"/>
      <c r="R832" s="943"/>
      <c r="S832" s="943"/>
      <c r="T832" s="943"/>
      <c r="U832" s="943"/>
      <c r="V832" s="943"/>
      <c r="W832" s="943"/>
      <c r="X832" s="943"/>
      <c r="Y832" s="943"/>
      <c r="Z832" s="943"/>
      <c r="AA832" s="943"/>
      <c r="AB832" s="943"/>
      <c r="AC832" s="943"/>
      <c r="AD832" s="943"/>
      <c r="AE832" s="943"/>
    </row>
    <row r="833" spans="1:31" ht="15.75" customHeight="1">
      <c r="A833" s="943"/>
      <c r="B833" s="943"/>
      <c r="C833" s="943"/>
      <c r="D833" s="943"/>
      <c r="E833" s="943"/>
      <c r="F833" s="943"/>
      <c r="G833" s="943"/>
      <c r="H833" s="943"/>
      <c r="I833" s="943"/>
      <c r="J833" s="943"/>
      <c r="K833" s="943"/>
      <c r="L833" s="943"/>
      <c r="M833" s="943"/>
      <c r="N833" s="943"/>
      <c r="O833" s="943"/>
      <c r="P833" s="943"/>
      <c r="Q833" s="943"/>
      <c r="R833" s="943"/>
      <c r="S833" s="943"/>
      <c r="T833" s="943"/>
      <c r="U833" s="943"/>
      <c r="V833" s="943"/>
      <c r="W833" s="943"/>
      <c r="X833" s="943"/>
      <c r="Y833" s="943"/>
      <c r="Z833" s="943"/>
      <c r="AA833" s="943"/>
      <c r="AB833" s="943"/>
      <c r="AC833" s="943"/>
      <c r="AD833" s="943"/>
      <c r="AE833" s="943"/>
    </row>
    <row r="834" spans="1:31" ht="15.75" customHeight="1">
      <c r="A834" s="943"/>
      <c r="B834" s="943"/>
      <c r="C834" s="943"/>
      <c r="D834" s="943"/>
      <c r="E834" s="943"/>
      <c r="F834" s="943"/>
      <c r="G834" s="943"/>
      <c r="H834" s="943"/>
      <c r="I834" s="943"/>
      <c r="J834" s="943"/>
      <c r="K834" s="943"/>
      <c r="L834" s="943"/>
      <c r="M834" s="943"/>
      <c r="N834" s="943"/>
      <c r="O834" s="943"/>
      <c r="P834" s="943"/>
      <c r="Q834" s="943"/>
      <c r="R834" s="943"/>
      <c r="S834" s="943"/>
      <c r="T834" s="943"/>
      <c r="U834" s="943"/>
      <c r="V834" s="943"/>
      <c r="W834" s="943"/>
      <c r="X834" s="943"/>
      <c r="Y834" s="943"/>
      <c r="Z834" s="943"/>
      <c r="AA834" s="943"/>
      <c r="AB834" s="943"/>
      <c r="AC834" s="943"/>
      <c r="AD834" s="943"/>
      <c r="AE834" s="943"/>
    </row>
    <row r="835" spans="1:31" ht="15.75" customHeight="1">
      <c r="A835" s="943"/>
      <c r="B835" s="943"/>
      <c r="C835" s="943"/>
      <c r="D835" s="943"/>
      <c r="E835" s="943"/>
      <c r="F835" s="943"/>
      <c r="G835" s="943"/>
      <c r="H835" s="943"/>
      <c r="I835" s="943"/>
      <c r="J835" s="943"/>
      <c r="K835" s="943"/>
      <c r="L835" s="943"/>
      <c r="M835" s="943"/>
      <c r="N835" s="943"/>
      <c r="O835" s="943"/>
      <c r="P835" s="943"/>
      <c r="Q835" s="943"/>
      <c r="R835" s="943"/>
      <c r="S835" s="943"/>
      <c r="T835" s="943"/>
      <c r="U835" s="943"/>
      <c r="V835" s="943"/>
      <c r="W835" s="943"/>
      <c r="X835" s="943"/>
      <c r="Y835" s="943"/>
      <c r="Z835" s="943"/>
      <c r="AA835" s="943"/>
      <c r="AB835" s="943"/>
      <c r="AC835" s="943"/>
      <c r="AD835" s="943"/>
      <c r="AE835" s="943"/>
    </row>
    <row r="836" spans="1:31" ht="15.75" customHeight="1">
      <c r="A836" s="943"/>
      <c r="B836" s="943"/>
      <c r="C836" s="943"/>
      <c r="D836" s="943"/>
      <c r="E836" s="943"/>
      <c r="F836" s="943"/>
      <c r="G836" s="943"/>
      <c r="H836" s="943"/>
      <c r="I836" s="943"/>
      <c r="J836" s="943"/>
      <c r="K836" s="943"/>
      <c r="L836" s="943"/>
      <c r="M836" s="943"/>
      <c r="N836" s="943"/>
      <c r="O836" s="943"/>
      <c r="P836" s="943"/>
      <c r="Q836" s="943"/>
      <c r="R836" s="943"/>
      <c r="S836" s="943"/>
      <c r="T836" s="943"/>
      <c r="U836" s="943"/>
      <c r="V836" s="943"/>
      <c r="W836" s="943"/>
      <c r="X836" s="943"/>
      <c r="Y836" s="943"/>
      <c r="Z836" s="943"/>
      <c r="AA836" s="943"/>
      <c r="AB836" s="943"/>
      <c r="AC836" s="943"/>
      <c r="AD836" s="943"/>
      <c r="AE836" s="943"/>
    </row>
    <row r="837" spans="1:31" ht="15.75" customHeight="1">
      <c r="A837" s="943"/>
      <c r="B837" s="943"/>
      <c r="C837" s="943"/>
      <c r="D837" s="943"/>
      <c r="E837" s="943"/>
      <c r="F837" s="943"/>
      <c r="G837" s="943"/>
      <c r="H837" s="943"/>
      <c r="I837" s="943"/>
      <c r="J837" s="943"/>
      <c r="K837" s="943"/>
      <c r="L837" s="943"/>
      <c r="M837" s="943"/>
      <c r="N837" s="943"/>
      <c r="O837" s="943"/>
      <c r="P837" s="943"/>
      <c r="Q837" s="943"/>
      <c r="R837" s="943"/>
      <c r="S837" s="943"/>
      <c r="T837" s="943"/>
      <c r="U837" s="943"/>
      <c r="V837" s="943"/>
      <c r="W837" s="943"/>
      <c r="X837" s="943"/>
      <c r="Y837" s="943"/>
      <c r="Z837" s="943"/>
      <c r="AA837" s="943"/>
      <c r="AB837" s="943"/>
      <c r="AC837" s="943"/>
      <c r="AD837" s="943"/>
      <c r="AE837" s="943"/>
    </row>
    <row r="838" spans="1:31" ht="15.75" customHeight="1">
      <c r="A838" s="943"/>
      <c r="B838" s="943"/>
      <c r="C838" s="943"/>
      <c r="D838" s="943"/>
      <c r="E838" s="943"/>
      <c r="F838" s="943"/>
      <c r="G838" s="943"/>
      <c r="H838" s="943"/>
      <c r="I838" s="943"/>
      <c r="J838" s="943"/>
      <c r="K838" s="943"/>
      <c r="L838" s="943"/>
      <c r="M838" s="943"/>
      <c r="N838" s="943"/>
      <c r="O838" s="943"/>
      <c r="P838" s="943"/>
      <c r="Q838" s="943"/>
      <c r="R838" s="943"/>
      <c r="S838" s="943"/>
      <c r="T838" s="943"/>
      <c r="U838" s="943"/>
      <c r="V838" s="943"/>
      <c r="W838" s="943"/>
      <c r="X838" s="943"/>
      <c r="Y838" s="943"/>
      <c r="Z838" s="943"/>
      <c r="AA838" s="943"/>
      <c r="AB838" s="943"/>
      <c r="AC838" s="943"/>
      <c r="AD838" s="943"/>
      <c r="AE838" s="943"/>
    </row>
    <row r="839" spans="1:31" ht="15.75" customHeight="1">
      <c r="A839" s="943"/>
      <c r="B839" s="943"/>
      <c r="C839" s="943"/>
      <c r="D839" s="943"/>
      <c r="E839" s="943"/>
      <c r="F839" s="943"/>
      <c r="G839" s="943"/>
      <c r="H839" s="943"/>
      <c r="I839" s="943"/>
      <c r="J839" s="943"/>
      <c r="K839" s="943"/>
      <c r="L839" s="943"/>
      <c r="M839" s="943"/>
      <c r="N839" s="943"/>
      <c r="O839" s="943"/>
      <c r="P839" s="943"/>
      <c r="Q839" s="943"/>
      <c r="R839" s="943"/>
      <c r="S839" s="943"/>
      <c r="T839" s="943"/>
      <c r="U839" s="943"/>
      <c r="V839" s="943"/>
      <c r="W839" s="943"/>
      <c r="X839" s="943"/>
      <c r="Y839" s="943"/>
      <c r="Z839" s="943"/>
      <c r="AA839" s="943"/>
      <c r="AB839" s="943"/>
      <c r="AC839" s="943"/>
      <c r="AD839" s="943"/>
      <c r="AE839" s="943"/>
    </row>
    <row r="840" spans="1:31" ht="15.75" customHeight="1">
      <c r="A840" s="943"/>
      <c r="B840" s="943"/>
      <c r="C840" s="943"/>
      <c r="D840" s="943"/>
      <c r="E840" s="943"/>
      <c r="F840" s="943"/>
      <c r="G840" s="943"/>
      <c r="H840" s="943"/>
      <c r="I840" s="943"/>
      <c r="J840" s="943"/>
      <c r="K840" s="943"/>
      <c r="L840" s="943"/>
      <c r="M840" s="943"/>
      <c r="N840" s="943"/>
      <c r="O840" s="943"/>
      <c r="P840" s="943"/>
      <c r="Q840" s="943"/>
      <c r="R840" s="943"/>
      <c r="S840" s="943"/>
      <c r="T840" s="943"/>
      <c r="U840" s="943"/>
      <c r="V840" s="943"/>
      <c r="W840" s="943"/>
      <c r="X840" s="943"/>
      <c r="Y840" s="943"/>
      <c r="Z840" s="943"/>
      <c r="AA840" s="943"/>
      <c r="AB840" s="943"/>
      <c r="AC840" s="943"/>
      <c r="AD840" s="943"/>
      <c r="AE840" s="943"/>
    </row>
    <row r="841" spans="1:31" ht="15.75" customHeight="1">
      <c r="A841" s="943"/>
      <c r="B841" s="943"/>
      <c r="C841" s="943"/>
      <c r="D841" s="943"/>
      <c r="E841" s="943"/>
      <c r="F841" s="943"/>
      <c r="G841" s="943"/>
      <c r="H841" s="943"/>
      <c r="I841" s="943"/>
      <c r="J841" s="943"/>
      <c r="K841" s="943"/>
      <c r="L841" s="943"/>
      <c r="M841" s="943"/>
      <c r="N841" s="943"/>
      <c r="O841" s="943"/>
      <c r="P841" s="943"/>
      <c r="Q841" s="943"/>
      <c r="R841" s="943"/>
      <c r="S841" s="943"/>
      <c r="T841" s="943"/>
      <c r="U841" s="943"/>
      <c r="V841" s="943"/>
      <c r="W841" s="943"/>
      <c r="X841" s="943"/>
      <c r="Y841" s="943"/>
      <c r="Z841" s="943"/>
      <c r="AA841" s="943"/>
      <c r="AB841" s="943"/>
      <c r="AC841" s="943"/>
      <c r="AD841" s="943"/>
      <c r="AE841" s="943"/>
    </row>
    <row r="842" spans="1:31" ht="15.75" customHeight="1">
      <c r="A842" s="943"/>
      <c r="B842" s="943"/>
      <c r="C842" s="943"/>
      <c r="D842" s="943"/>
      <c r="E842" s="943"/>
      <c r="F842" s="943"/>
      <c r="G842" s="943"/>
      <c r="H842" s="943"/>
      <c r="I842" s="943"/>
      <c r="J842" s="943"/>
      <c r="K842" s="943"/>
      <c r="L842" s="943"/>
      <c r="M842" s="943"/>
      <c r="N842" s="943"/>
      <c r="O842" s="943"/>
      <c r="P842" s="943"/>
      <c r="Q842" s="943"/>
      <c r="R842" s="943"/>
      <c r="S842" s="943"/>
      <c r="T842" s="943"/>
      <c r="U842" s="943"/>
      <c r="V842" s="943"/>
      <c r="W842" s="943"/>
      <c r="X842" s="943"/>
      <c r="Y842" s="943"/>
      <c r="Z842" s="943"/>
      <c r="AA842" s="943"/>
      <c r="AB842" s="943"/>
      <c r="AC842" s="943"/>
      <c r="AD842" s="943"/>
      <c r="AE842" s="943"/>
    </row>
    <row r="843" spans="1:31" ht="15.75" customHeight="1">
      <c r="A843" s="943"/>
      <c r="B843" s="943"/>
      <c r="C843" s="943"/>
      <c r="D843" s="943"/>
      <c r="E843" s="943"/>
      <c r="F843" s="943"/>
      <c r="G843" s="943"/>
      <c r="H843" s="943"/>
      <c r="I843" s="943"/>
      <c r="J843" s="943"/>
      <c r="K843" s="943"/>
      <c r="L843" s="943"/>
      <c r="M843" s="943"/>
      <c r="N843" s="943"/>
      <c r="O843" s="943"/>
      <c r="P843" s="943"/>
      <c r="Q843" s="943"/>
      <c r="R843" s="943"/>
      <c r="S843" s="943"/>
      <c r="T843" s="943"/>
      <c r="U843" s="943"/>
      <c r="V843" s="943"/>
      <c r="W843" s="943"/>
      <c r="X843" s="943"/>
      <c r="Y843" s="943"/>
      <c r="Z843" s="943"/>
      <c r="AA843" s="943"/>
      <c r="AB843" s="943"/>
      <c r="AC843" s="943"/>
      <c r="AD843" s="943"/>
      <c r="AE843" s="943"/>
    </row>
    <row r="844" spans="1:31" ht="15.75" customHeight="1">
      <c r="A844" s="943"/>
      <c r="B844" s="943"/>
      <c r="C844" s="943"/>
      <c r="D844" s="943"/>
      <c r="E844" s="943"/>
      <c r="F844" s="943"/>
      <c r="G844" s="943"/>
      <c r="H844" s="943"/>
      <c r="I844" s="943"/>
      <c r="J844" s="943"/>
      <c r="K844" s="943"/>
      <c r="L844" s="943"/>
      <c r="M844" s="943"/>
      <c r="N844" s="943"/>
      <c r="O844" s="943"/>
      <c r="P844" s="943"/>
      <c r="Q844" s="943"/>
      <c r="R844" s="943"/>
      <c r="S844" s="943"/>
      <c r="T844" s="943"/>
      <c r="U844" s="943"/>
      <c r="V844" s="943"/>
      <c r="W844" s="943"/>
      <c r="X844" s="943"/>
      <c r="Y844" s="943"/>
      <c r="Z844" s="943"/>
      <c r="AA844" s="943"/>
      <c r="AB844" s="943"/>
      <c r="AC844" s="943"/>
      <c r="AD844" s="943"/>
      <c r="AE844" s="943"/>
    </row>
    <row r="845" spans="1:31" ht="15.75" customHeight="1">
      <c r="A845" s="943"/>
      <c r="B845" s="943"/>
      <c r="C845" s="943"/>
      <c r="D845" s="943"/>
      <c r="E845" s="943"/>
      <c r="F845" s="943"/>
      <c r="G845" s="943"/>
      <c r="H845" s="943"/>
      <c r="I845" s="943"/>
      <c r="J845" s="943"/>
      <c r="K845" s="943"/>
      <c r="L845" s="943"/>
      <c r="M845" s="943"/>
      <c r="N845" s="943"/>
      <c r="O845" s="943"/>
      <c r="P845" s="943"/>
      <c r="Q845" s="943"/>
      <c r="R845" s="943"/>
      <c r="S845" s="943"/>
      <c r="T845" s="943"/>
      <c r="U845" s="943"/>
      <c r="V845" s="943"/>
      <c r="W845" s="943"/>
      <c r="X845" s="943"/>
      <c r="Y845" s="943"/>
      <c r="Z845" s="943"/>
      <c r="AA845" s="943"/>
      <c r="AB845" s="943"/>
      <c r="AC845" s="943"/>
      <c r="AD845" s="943"/>
      <c r="AE845" s="943"/>
    </row>
    <row r="846" spans="1:31" ht="15.75" customHeight="1">
      <c r="A846" s="943"/>
      <c r="B846" s="943"/>
      <c r="C846" s="943"/>
      <c r="D846" s="943"/>
      <c r="E846" s="943"/>
      <c r="F846" s="943"/>
      <c r="G846" s="943"/>
      <c r="H846" s="943"/>
      <c r="I846" s="943"/>
      <c r="J846" s="943"/>
      <c r="K846" s="943"/>
      <c r="L846" s="943"/>
      <c r="M846" s="943"/>
      <c r="N846" s="943"/>
      <c r="O846" s="943"/>
      <c r="P846" s="943"/>
      <c r="Q846" s="943"/>
      <c r="R846" s="943"/>
      <c r="S846" s="943"/>
      <c r="T846" s="943"/>
      <c r="U846" s="943"/>
      <c r="V846" s="943"/>
      <c r="W846" s="943"/>
      <c r="X846" s="943"/>
      <c r="Y846" s="943"/>
      <c r="Z846" s="943"/>
      <c r="AA846" s="943"/>
      <c r="AB846" s="943"/>
      <c r="AC846" s="943"/>
      <c r="AD846" s="943"/>
      <c r="AE846" s="943"/>
    </row>
    <row r="847" spans="1:31" ht="15.75" customHeight="1">
      <c r="A847" s="943"/>
      <c r="B847" s="943"/>
      <c r="C847" s="943"/>
      <c r="D847" s="943"/>
      <c r="E847" s="943"/>
      <c r="F847" s="943"/>
      <c r="G847" s="943"/>
      <c r="H847" s="943"/>
      <c r="I847" s="943"/>
      <c r="J847" s="943"/>
      <c r="K847" s="943"/>
      <c r="L847" s="943"/>
      <c r="M847" s="943"/>
      <c r="N847" s="943"/>
      <c r="O847" s="943"/>
      <c r="P847" s="943"/>
      <c r="Q847" s="943"/>
      <c r="R847" s="943"/>
      <c r="S847" s="943"/>
      <c r="T847" s="943"/>
      <c r="U847" s="943"/>
      <c r="V847" s="943"/>
      <c r="W847" s="943"/>
      <c r="X847" s="943"/>
      <c r="Y847" s="943"/>
      <c r="Z847" s="943"/>
      <c r="AA847" s="943"/>
      <c r="AB847" s="943"/>
      <c r="AC847" s="943"/>
      <c r="AD847" s="943"/>
      <c r="AE847" s="943"/>
    </row>
    <row r="848" spans="1:31" ht="15.75" customHeight="1">
      <c r="A848" s="943"/>
      <c r="B848" s="943"/>
      <c r="C848" s="943"/>
      <c r="D848" s="943"/>
      <c r="E848" s="943"/>
      <c r="F848" s="943"/>
      <c r="G848" s="943"/>
      <c r="H848" s="943"/>
      <c r="I848" s="943"/>
      <c r="J848" s="943"/>
      <c r="K848" s="943"/>
      <c r="L848" s="943"/>
      <c r="M848" s="943"/>
      <c r="N848" s="943"/>
      <c r="O848" s="943"/>
      <c r="P848" s="943"/>
      <c r="Q848" s="943"/>
      <c r="R848" s="943"/>
      <c r="S848" s="943"/>
      <c r="T848" s="943"/>
      <c r="U848" s="943"/>
      <c r="V848" s="943"/>
      <c r="W848" s="943"/>
      <c r="X848" s="943"/>
      <c r="Y848" s="943"/>
      <c r="Z848" s="943"/>
      <c r="AA848" s="943"/>
      <c r="AB848" s="943"/>
      <c r="AC848" s="943"/>
      <c r="AD848" s="943"/>
      <c r="AE848" s="943"/>
    </row>
    <row r="849" spans="1:31" ht="15.75" customHeight="1">
      <c r="A849" s="943"/>
      <c r="B849" s="943"/>
      <c r="C849" s="943"/>
      <c r="D849" s="943"/>
      <c r="E849" s="943"/>
      <c r="F849" s="943"/>
      <c r="G849" s="943"/>
      <c r="H849" s="943"/>
      <c r="I849" s="943"/>
      <c r="J849" s="943"/>
      <c r="K849" s="943"/>
      <c r="L849" s="943"/>
      <c r="M849" s="943"/>
      <c r="N849" s="943"/>
      <c r="O849" s="943"/>
      <c r="P849" s="943"/>
      <c r="Q849" s="943"/>
      <c r="R849" s="943"/>
      <c r="S849" s="943"/>
      <c r="T849" s="943"/>
      <c r="U849" s="943"/>
      <c r="V849" s="943"/>
      <c r="W849" s="943"/>
      <c r="X849" s="943"/>
      <c r="Y849" s="943"/>
      <c r="Z849" s="943"/>
      <c r="AA849" s="943"/>
      <c r="AB849" s="943"/>
      <c r="AC849" s="943"/>
      <c r="AD849" s="943"/>
      <c r="AE849" s="943"/>
    </row>
    <row r="850" spans="1:31" ht="15.75" customHeight="1">
      <c r="A850" s="943"/>
      <c r="B850" s="943"/>
      <c r="C850" s="943"/>
      <c r="D850" s="943"/>
      <c r="E850" s="943"/>
      <c r="F850" s="943"/>
      <c r="G850" s="943"/>
      <c r="H850" s="943"/>
      <c r="I850" s="943"/>
      <c r="J850" s="943"/>
      <c r="K850" s="943"/>
      <c r="L850" s="943"/>
      <c r="M850" s="943"/>
      <c r="N850" s="943"/>
      <c r="O850" s="943"/>
      <c r="P850" s="943"/>
      <c r="Q850" s="943"/>
      <c r="R850" s="943"/>
      <c r="S850" s="943"/>
      <c r="T850" s="943"/>
      <c r="U850" s="943"/>
      <c r="V850" s="943"/>
      <c r="W850" s="943"/>
      <c r="X850" s="943"/>
      <c r="Y850" s="943"/>
      <c r="Z850" s="943"/>
      <c r="AA850" s="943"/>
      <c r="AB850" s="943"/>
      <c r="AC850" s="943"/>
      <c r="AD850" s="943"/>
      <c r="AE850" s="943"/>
    </row>
    <row r="851" spans="1:31" ht="15.75" customHeight="1">
      <c r="A851" s="943"/>
      <c r="B851" s="943"/>
      <c r="C851" s="943"/>
      <c r="D851" s="943"/>
      <c r="E851" s="943"/>
      <c r="F851" s="943"/>
      <c r="G851" s="943"/>
      <c r="H851" s="943"/>
      <c r="I851" s="943"/>
      <c r="J851" s="943"/>
      <c r="K851" s="943"/>
      <c r="L851" s="943"/>
      <c r="M851" s="943"/>
      <c r="N851" s="943"/>
      <c r="O851" s="943"/>
      <c r="P851" s="943"/>
      <c r="Q851" s="943"/>
      <c r="R851" s="943"/>
      <c r="S851" s="943"/>
      <c r="T851" s="943"/>
      <c r="U851" s="943"/>
      <c r="V851" s="943"/>
      <c r="W851" s="943"/>
      <c r="X851" s="943"/>
      <c r="Y851" s="943"/>
      <c r="Z851" s="943"/>
      <c r="AA851" s="943"/>
      <c r="AB851" s="943"/>
      <c r="AC851" s="943"/>
      <c r="AD851" s="943"/>
      <c r="AE851" s="943"/>
    </row>
    <row r="852" spans="1:31" ht="15.75" customHeight="1">
      <c r="A852" s="943"/>
      <c r="B852" s="943"/>
      <c r="C852" s="943"/>
      <c r="D852" s="943"/>
      <c r="E852" s="943"/>
      <c r="F852" s="943"/>
      <c r="G852" s="943"/>
      <c r="H852" s="943"/>
      <c r="I852" s="943"/>
      <c r="J852" s="943"/>
      <c r="K852" s="943"/>
      <c r="L852" s="943"/>
      <c r="M852" s="943"/>
      <c r="N852" s="943"/>
      <c r="O852" s="943"/>
      <c r="P852" s="943"/>
      <c r="Q852" s="943"/>
      <c r="R852" s="943"/>
      <c r="S852" s="943"/>
      <c r="T852" s="943"/>
      <c r="U852" s="943"/>
      <c r="V852" s="943"/>
      <c r="W852" s="943"/>
      <c r="X852" s="943"/>
      <c r="Y852" s="943"/>
      <c r="Z852" s="943"/>
      <c r="AA852" s="943"/>
      <c r="AB852" s="943"/>
      <c r="AC852" s="943"/>
      <c r="AD852" s="943"/>
      <c r="AE852" s="943"/>
    </row>
    <row r="853" spans="1:31" ht="15.75" customHeight="1">
      <c r="A853" s="943"/>
      <c r="B853" s="943"/>
      <c r="C853" s="943"/>
      <c r="D853" s="943"/>
      <c r="E853" s="943"/>
      <c r="F853" s="943"/>
      <c r="G853" s="943"/>
      <c r="H853" s="943"/>
      <c r="I853" s="943"/>
      <c r="J853" s="943"/>
      <c r="K853" s="943"/>
      <c r="L853" s="943"/>
      <c r="M853" s="943"/>
      <c r="N853" s="943"/>
      <c r="O853" s="943"/>
      <c r="P853" s="943"/>
      <c r="Q853" s="943"/>
      <c r="R853" s="943"/>
      <c r="S853" s="943"/>
      <c r="T853" s="943"/>
      <c r="U853" s="943"/>
      <c r="V853" s="943"/>
      <c r="W853" s="943"/>
      <c r="X853" s="943"/>
      <c r="Y853" s="943"/>
      <c r="Z853" s="943"/>
      <c r="AA853" s="943"/>
      <c r="AB853" s="943"/>
      <c r="AC853" s="943"/>
      <c r="AD853" s="943"/>
      <c r="AE853" s="943"/>
    </row>
    <row r="854" spans="1:31" ht="15.75" customHeight="1">
      <c r="A854" s="943"/>
      <c r="B854" s="943"/>
      <c r="C854" s="943"/>
      <c r="D854" s="943"/>
      <c r="E854" s="943"/>
      <c r="F854" s="943"/>
      <c r="G854" s="943"/>
      <c r="H854" s="943"/>
      <c r="I854" s="943"/>
      <c r="J854" s="943"/>
      <c r="K854" s="943"/>
      <c r="L854" s="943"/>
      <c r="M854" s="943"/>
      <c r="N854" s="943"/>
      <c r="O854" s="943"/>
      <c r="P854" s="943"/>
      <c r="Q854" s="943"/>
      <c r="R854" s="943"/>
      <c r="S854" s="943"/>
      <c r="T854" s="943"/>
      <c r="U854" s="943"/>
      <c r="V854" s="943"/>
      <c r="W854" s="943"/>
      <c r="X854" s="943"/>
      <c r="Y854" s="943"/>
      <c r="Z854" s="943"/>
      <c r="AA854" s="943"/>
      <c r="AB854" s="943"/>
      <c r="AC854" s="943"/>
      <c r="AD854" s="943"/>
      <c r="AE854" s="943"/>
    </row>
    <row r="855" spans="1:31" ht="15.75" customHeight="1">
      <c r="A855" s="943"/>
      <c r="B855" s="943"/>
      <c r="C855" s="943"/>
      <c r="D855" s="943"/>
      <c r="E855" s="943"/>
      <c r="F855" s="943"/>
      <c r="G855" s="943"/>
      <c r="H855" s="943"/>
      <c r="I855" s="943"/>
      <c r="J855" s="943"/>
      <c r="K855" s="943"/>
      <c r="L855" s="943"/>
      <c r="M855" s="943"/>
      <c r="N855" s="943"/>
      <c r="O855" s="943"/>
      <c r="P855" s="943"/>
      <c r="Q855" s="943"/>
      <c r="R855" s="943"/>
      <c r="S855" s="943"/>
      <c r="T855" s="943"/>
      <c r="U855" s="943"/>
      <c r="V855" s="943"/>
      <c r="W855" s="943"/>
      <c r="X855" s="943"/>
      <c r="Y855" s="943"/>
      <c r="Z855" s="943"/>
      <c r="AA855" s="943"/>
      <c r="AB855" s="943"/>
      <c r="AC855" s="943"/>
      <c r="AD855" s="943"/>
      <c r="AE855" s="943"/>
    </row>
    <row r="856" spans="1:31" ht="15.75" customHeight="1">
      <c r="A856" s="943"/>
      <c r="B856" s="943"/>
      <c r="C856" s="943"/>
      <c r="D856" s="943"/>
      <c r="E856" s="943"/>
      <c r="F856" s="943"/>
      <c r="G856" s="943"/>
      <c r="H856" s="943"/>
      <c r="I856" s="943"/>
      <c r="J856" s="943"/>
      <c r="K856" s="943"/>
      <c r="L856" s="943"/>
      <c r="M856" s="943"/>
      <c r="N856" s="943"/>
      <c r="O856" s="943"/>
      <c r="P856" s="943"/>
      <c r="Q856" s="943"/>
      <c r="R856" s="943"/>
      <c r="S856" s="943"/>
      <c r="T856" s="943"/>
      <c r="U856" s="943"/>
      <c r="V856" s="943"/>
      <c r="W856" s="943"/>
      <c r="X856" s="943"/>
      <c r="Y856" s="943"/>
      <c r="Z856" s="943"/>
      <c r="AA856" s="943"/>
      <c r="AB856" s="943"/>
      <c r="AC856" s="943"/>
      <c r="AD856" s="943"/>
      <c r="AE856" s="943"/>
    </row>
    <row r="857" spans="1:31" ht="15.75" customHeight="1">
      <c r="A857" s="943"/>
      <c r="B857" s="943"/>
      <c r="C857" s="943"/>
      <c r="D857" s="943"/>
      <c r="E857" s="943"/>
      <c r="F857" s="943"/>
      <c r="G857" s="943"/>
      <c r="H857" s="943"/>
      <c r="I857" s="943"/>
      <c r="J857" s="943"/>
      <c r="K857" s="943"/>
      <c r="L857" s="943"/>
      <c r="M857" s="943"/>
      <c r="N857" s="943"/>
      <c r="O857" s="943"/>
      <c r="P857" s="943"/>
      <c r="Q857" s="943"/>
      <c r="R857" s="943"/>
      <c r="S857" s="943"/>
      <c r="T857" s="943"/>
      <c r="U857" s="943"/>
      <c r="V857" s="943"/>
      <c r="W857" s="943"/>
      <c r="X857" s="943"/>
      <c r="Y857" s="943"/>
      <c r="Z857" s="943"/>
      <c r="AA857" s="943"/>
      <c r="AB857" s="943"/>
      <c r="AC857" s="943"/>
      <c r="AD857" s="943"/>
      <c r="AE857" s="943"/>
    </row>
    <row r="858" spans="1:31" ht="15.75" customHeight="1">
      <c r="A858" s="943"/>
      <c r="B858" s="943"/>
      <c r="C858" s="943"/>
      <c r="D858" s="943"/>
      <c r="E858" s="943"/>
      <c r="F858" s="943"/>
      <c r="G858" s="943"/>
      <c r="H858" s="943"/>
      <c r="I858" s="943"/>
      <c r="J858" s="943"/>
      <c r="K858" s="943"/>
      <c r="L858" s="943"/>
      <c r="M858" s="943"/>
      <c r="N858" s="943"/>
      <c r="O858" s="943"/>
      <c r="P858" s="943"/>
      <c r="Q858" s="943"/>
      <c r="R858" s="943"/>
      <c r="S858" s="943"/>
      <c r="T858" s="943"/>
      <c r="U858" s="943"/>
      <c r="V858" s="943"/>
      <c r="W858" s="943"/>
      <c r="X858" s="943"/>
      <c r="Y858" s="943"/>
      <c r="Z858" s="943"/>
      <c r="AA858" s="943"/>
      <c r="AB858" s="943"/>
      <c r="AC858" s="943"/>
      <c r="AD858" s="943"/>
      <c r="AE858" s="943"/>
    </row>
    <row r="859" spans="1:31" ht="15.75" customHeight="1">
      <c r="A859" s="943"/>
      <c r="B859" s="943"/>
      <c r="C859" s="943"/>
      <c r="D859" s="943"/>
      <c r="E859" s="943"/>
      <c r="F859" s="943"/>
      <c r="G859" s="943"/>
      <c r="H859" s="943"/>
      <c r="I859" s="943"/>
      <c r="J859" s="943"/>
      <c r="K859" s="943"/>
      <c r="L859" s="943"/>
      <c r="M859" s="943"/>
      <c r="N859" s="943"/>
      <c r="O859" s="943"/>
      <c r="P859" s="943"/>
      <c r="Q859" s="943"/>
      <c r="R859" s="943"/>
      <c r="S859" s="943"/>
      <c r="T859" s="943"/>
      <c r="U859" s="943"/>
      <c r="V859" s="943"/>
      <c r="W859" s="943"/>
      <c r="X859" s="943"/>
      <c r="Y859" s="943"/>
      <c r="Z859" s="943"/>
      <c r="AA859" s="943"/>
      <c r="AB859" s="943"/>
      <c r="AC859" s="943"/>
      <c r="AD859" s="943"/>
      <c r="AE859" s="943"/>
    </row>
    <row r="860" spans="1:31" ht="15.75" customHeight="1">
      <c r="A860" s="943"/>
      <c r="B860" s="943"/>
      <c r="C860" s="943"/>
      <c r="D860" s="943"/>
      <c r="E860" s="943"/>
      <c r="F860" s="943"/>
      <c r="G860" s="943"/>
      <c r="H860" s="943"/>
      <c r="I860" s="943"/>
      <c r="J860" s="943"/>
      <c r="K860" s="943"/>
      <c r="L860" s="943"/>
      <c r="M860" s="943"/>
      <c r="N860" s="943"/>
      <c r="O860" s="943"/>
      <c r="P860" s="943"/>
      <c r="Q860" s="943"/>
      <c r="R860" s="943"/>
      <c r="S860" s="943"/>
      <c r="T860" s="943"/>
      <c r="U860" s="943"/>
      <c r="V860" s="943"/>
      <c r="W860" s="943"/>
      <c r="X860" s="943"/>
      <c r="Y860" s="943"/>
      <c r="Z860" s="943"/>
      <c r="AA860" s="943"/>
      <c r="AB860" s="943"/>
      <c r="AC860" s="943"/>
      <c r="AD860" s="943"/>
      <c r="AE860" s="943"/>
    </row>
    <row r="861" spans="1:31" ht="15.75" customHeight="1">
      <c r="A861" s="943"/>
      <c r="B861" s="943"/>
      <c r="C861" s="943"/>
      <c r="D861" s="943"/>
      <c r="E861" s="943"/>
      <c r="F861" s="943"/>
      <c r="G861" s="943"/>
      <c r="H861" s="943"/>
      <c r="I861" s="943"/>
      <c r="J861" s="943"/>
      <c r="K861" s="943"/>
      <c r="L861" s="943"/>
      <c r="M861" s="943"/>
      <c r="N861" s="943"/>
      <c r="O861" s="943"/>
      <c r="P861" s="943"/>
      <c r="Q861" s="943"/>
      <c r="R861" s="943"/>
      <c r="S861" s="943"/>
      <c r="T861" s="943"/>
      <c r="U861" s="943"/>
      <c r="V861" s="943"/>
      <c r="W861" s="943"/>
      <c r="X861" s="943"/>
      <c r="Y861" s="943"/>
      <c r="Z861" s="943"/>
      <c r="AA861" s="943"/>
      <c r="AB861" s="943"/>
      <c r="AC861" s="943"/>
      <c r="AD861" s="943"/>
      <c r="AE861" s="943"/>
    </row>
    <row r="862" spans="1:31" ht="15.75" customHeight="1">
      <c r="A862" s="943"/>
      <c r="B862" s="943"/>
      <c r="C862" s="943"/>
      <c r="D862" s="943"/>
      <c r="E862" s="943"/>
      <c r="F862" s="943"/>
      <c r="G862" s="943"/>
      <c r="H862" s="943"/>
      <c r="I862" s="943"/>
      <c r="J862" s="943"/>
      <c r="K862" s="943"/>
      <c r="L862" s="943"/>
      <c r="M862" s="943"/>
      <c r="N862" s="943"/>
      <c r="O862" s="943"/>
      <c r="P862" s="943"/>
      <c r="Q862" s="943"/>
      <c r="R862" s="943"/>
      <c r="S862" s="943"/>
      <c r="T862" s="943"/>
      <c r="U862" s="943"/>
      <c r="V862" s="943"/>
      <c r="W862" s="943"/>
      <c r="X862" s="943"/>
      <c r="Y862" s="943"/>
      <c r="Z862" s="943"/>
      <c r="AA862" s="943"/>
      <c r="AB862" s="943"/>
      <c r="AC862" s="943"/>
      <c r="AD862" s="943"/>
      <c r="AE862" s="943"/>
    </row>
    <row r="863" spans="1:31" ht="15.75" customHeight="1">
      <c r="A863" s="943"/>
      <c r="B863" s="943"/>
      <c r="C863" s="943"/>
      <c r="D863" s="943"/>
      <c r="E863" s="943"/>
      <c r="F863" s="943"/>
      <c r="G863" s="943"/>
      <c r="H863" s="943"/>
      <c r="I863" s="943"/>
      <c r="J863" s="943"/>
      <c r="K863" s="943"/>
      <c r="L863" s="943"/>
      <c r="M863" s="943"/>
      <c r="N863" s="943"/>
      <c r="O863" s="943"/>
      <c r="P863" s="943"/>
      <c r="Q863" s="943"/>
      <c r="R863" s="943"/>
      <c r="S863" s="943"/>
      <c r="T863" s="943"/>
      <c r="U863" s="943"/>
      <c r="V863" s="943"/>
      <c r="W863" s="943"/>
      <c r="X863" s="943"/>
      <c r="Y863" s="943"/>
      <c r="Z863" s="943"/>
      <c r="AA863" s="943"/>
      <c r="AB863" s="943"/>
      <c r="AC863" s="943"/>
      <c r="AD863" s="943"/>
      <c r="AE863" s="943"/>
    </row>
    <row r="864" spans="1:31" ht="15.75" customHeight="1">
      <c r="A864" s="943"/>
      <c r="B864" s="943"/>
      <c r="C864" s="943"/>
      <c r="D864" s="943"/>
      <c r="E864" s="943"/>
      <c r="F864" s="943"/>
      <c r="G864" s="943"/>
      <c r="H864" s="943"/>
      <c r="I864" s="943"/>
      <c r="J864" s="943"/>
      <c r="K864" s="943"/>
      <c r="L864" s="943"/>
      <c r="M864" s="943"/>
      <c r="N864" s="943"/>
      <c r="O864" s="943"/>
      <c r="P864" s="943"/>
      <c r="Q864" s="943"/>
      <c r="R864" s="943"/>
      <c r="S864" s="943"/>
      <c r="T864" s="943"/>
      <c r="U864" s="943"/>
      <c r="V864" s="943"/>
      <c r="W864" s="943"/>
      <c r="X864" s="943"/>
      <c r="Y864" s="943"/>
      <c r="Z864" s="943"/>
      <c r="AA864" s="943"/>
      <c r="AB864" s="943"/>
      <c r="AC864" s="943"/>
      <c r="AD864" s="943"/>
      <c r="AE864" s="943"/>
    </row>
    <row r="865" spans="1:31" ht="15.75" customHeight="1">
      <c r="A865" s="943"/>
      <c r="B865" s="943"/>
      <c r="C865" s="943"/>
      <c r="D865" s="943"/>
      <c r="E865" s="943"/>
      <c r="F865" s="943"/>
      <c r="G865" s="943"/>
      <c r="H865" s="943"/>
      <c r="I865" s="943"/>
      <c r="J865" s="943"/>
      <c r="K865" s="943"/>
      <c r="L865" s="943"/>
      <c r="M865" s="943"/>
      <c r="N865" s="943"/>
      <c r="O865" s="943"/>
      <c r="P865" s="943"/>
      <c r="Q865" s="943"/>
      <c r="R865" s="943"/>
      <c r="S865" s="943"/>
      <c r="T865" s="943"/>
      <c r="U865" s="943"/>
      <c r="V865" s="943"/>
      <c r="W865" s="943"/>
      <c r="X865" s="943"/>
      <c r="Y865" s="943"/>
      <c r="Z865" s="943"/>
      <c r="AA865" s="943"/>
      <c r="AB865" s="943"/>
      <c r="AC865" s="943"/>
      <c r="AD865" s="943"/>
      <c r="AE865" s="943"/>
    </row>
    <row r="866" spans="1:31" ht="15.75" customHeight="1">
      <c r="A866" s="943"/>
      <c r="B866" s="943"/>
      <c r="C866" s="943"/>
      <c r="D866" s="943"/>
      <c r="E866" s="943"/>
      <c r="F866" s="943"/>
      <c r="G866" s="943"/>
      <c r="H866" s="943"/>
      <c r="I866" s="943"/>
      <c r="J866" s="943"/>
      <c r="K866" s="943"/>
      <c r="L866" s="943"/>
      <c r="M866" s="943"/>
      <c r="N866" s="943"/>
      <c r="O866" s="943"/>
      <c r="P866" s="943"/>
      <c r="Q866" s="943"/>
      <c r="R866" s="943"/>
      <c r="S866" s="943"/>
      <c r="T866" s="943"/>
      <c r="U866" s="943"/>
      <c r="V866" s="943"/>
      <c r="W866" s="943"/>
      <c r="X866" s="943"/>
      <c r="Y866" s="943"/>
      <c r="Z866" s="943"/>
      <c r="AA866" s="943"/>
      <c r="AB866" s="943"/>
      <c r="AC866" s="943"/>
      <c r="AD866" s="943"/>
      <c r="AE866" s="943"/>
    </row>
    <row r="867" spans="1:31" ht="15.75" customHeight="1">
      <c r="A867" s="943"/>
      <c r="B867" s="943"/>
      <c r="C867" s="943"/>
      <c r="D867" s="943"/>
      <c r="E867" s="943"/>
      <c r="F867" s="943"/>
      <c r="G867" s="943"/>
      <c r="H867" s="943"/>
      <c r="I867" s="943"/>
      <c r="J867" s="943"/>
      <c r="K867" s="943"/>
      <c r="L867" s="943"/>
      <c r="M867" s="943"/>
      <c r="N867" s="943"/>
      <c r="O867" s="943"/>
      <c r="P867" s="943"/>
      <c r="Q867" s="943"/>
      <c r="R867" s="943"/>
      <c r="S867" s="943"/>
      <c r="T867" s="943"/>
      <c r="U867" s="943"/>
      <c r="V867" s="943"/>
      <c r="W867" s="943"/>
      <c r="X867" s="943"/>
      <c r="Y867" s="943"/>
      <c r="Z867" s="943"/>
      <c r="AA867" s="943"/>
      <c r="AB867" s="943"/>
      <c r="AC867" s="943"/>
      <c r="AD867" s="943"/>
      <c r="AE867" s="943"/>
    </row>
    <row r="868" spans="1:31" ht="15.75" customHeight="1">
      <c r="A868" s="943"/>
      <c r="B868" s="943"/>
      <c r="C868" s="943"/>
      <c r="D868" s="943"/>
      <c r="E868" s="943"/>
      <c r="F868" s="943"/>
      <c r="G868" s="943"/>
      <c r="H868" s="943"/>
      <c r="I868" s="943"/>
      <c r="J868" s="943"/>
      <c r="K868" s="943"/>
      <c r="L868" s="943"/>
      <c r="M868" s="943"/>
      <c r="N868" s="943"/>
      <c r="O868" s="943"/>
      <c r="P868" s="943"/>
      <c r="Q868" s="943"/>
      <c r="R868" s="943"/>
      <c r="S868" s="943"/>
      <c r="T868" s="943"/>
      <c r="U868" s="943"/>
      <c r="V868" s="943"/>
      <c r="W868" s="943"/>
      <c r="X868" s="943"/>
      <c r="Y868" s="943"/>
      <c r="Z868" s="943"/>
      <c r="AA868" s="943"/>
      <c r="AB868" s="943"/>
      <c r="AC868" s="943"/>
      <c r="AD868" s="943"/>
      <c r="AE868" s="943"/>
    </row>
    <row r="869" spans="1:31" ht="15.75" customHeight="1">
      <c r="A869" s="943"/>
      <c r="B869" s="943"/>
      <c r="C869" s="943"/>
      <c r="D869" s="943"/>
      <c r="E869" s="943"/>
      <c r="F869" s="943"/>
      <c r="G869" s="943"/>
      <c r="H869" s="943"/>
      <c r="I869" s="943"/>
      <c r="J869" s="943"/>
      <c r="K869" s="943"/>
      <c r="L869" s="943"/>
      <c r="M869" s="943"/>
      <c r="N869" s="943"/>
      <c r="O869" s="943"/>
      <c r="P869" s="943"/>
      <c r="Q869" s="943"/>
      <c r="R869" s="943"/>
      <c r="S869" s="943"/>
      <c r="T869" s="943"/>
      <c r="U869" s="943"/>
      <c r="V869" s="943"/>
      <c r="W869" s="943"/>
      <c r="X869" s="943"/>
      <c r="Y869" s="943"/>
      <c r="Z869" s="943"/>
      <c r="AA869" s="943"/>
      <c r="AB869" s="943"/>
      <c r="AC869" s="943"/>
      <c r="AD869" s="943"/>
      <c r="AE869" s="943"/>
    </row>
    <row r="870" spans="1:31" ht="15.75" customHeight="1">
      <c r="A870" s="943"/>
      <c r="B870" s="943"/>
      <c r="C870" s="943"/>
      <c r="D870" s="943"/>
      <c r="E870" s="943"/>
      <c r="F870" s="943"/>
      <c r="G870" s="943"/>
      <c r="H870" s="943"/>
      <c r="I870" s="943"/>
      <c r="J870" s="943"/>
      <c r="K870" s="943"/>
      <c r="L870" s="943"/>
      <c r="M870" s="943"/>
      <c r="N870" s="943"/>
      <c r="O870" s="943"/>
      <c r="P870" s="943"/>
      <c r="Q870" s="943"/>
      <c r="R870" s="943"/>
      <c r="S870" s="943"/>
      <c r="T870" s="943"/>
      <c r="U870" s="943"/>
      <c r="V870" s="943"/>
      <c r="W870" s="943"/>
      <c r="X870" s="943"/>
      <c r="Y870" s="943"/>
      <c r="Z870" s="943"/>
      <c r="AA870" s="943"/>
      <c r="AB870" s="943"/>
      <c r="AC870" s="943"/>
      <c r="AD870" s="943"/>
      <c r="AE870" s="943"/>
    </row>
    <row r="871" spans="1:31" ht="15.75" customHeight="1">
      <c r="A871" s="943"/>
      <c r="B871" s="943"/>
      <c r="C871" s="943"/>
      <c r="D871" s="943"/>
      <c r="E871" s="943"/>
      <c r="F871" s="943"/>
      <c r="G871" s="943"/>
      <c r="H871" s="943"/>
      <c r="I871" s="943"/>
      <c r="J871" s="943"/>
      <c r="K871" s="943"/>
      <c r="L871" s="943"/>
      <c r="M871" s="943"/>
      <c r="N871" s="943"/>
      <c r="O871" s="943"/>
      <c r="P871" s="943"/>
      <c r="Q871" s="943"/>
      <c r="R871" s="943"/>
      <c r="S871" s="943"/>
      <c r="T871" s="943"/>
      <c r="U871" s="943"/>
      <c r="V871" s="943"/>
      <c r="W871" s="943"/>
      <c r="X871" s="943"/>
      <c r="Y871" s="943"/>
      <c r="Z871" s="943"/>
      <c r="AA871" s="943"/>
      <c r="AB871" s="943"/>
      <c r="AC871" s="943"/>
      <c r="AD871" s="943"/>
      <c r="AE871" s="943"/>
    </row>
    <row r="872" spans="1:31" ht="15.75" customHeight="1">
      <c r="A872" s="943"/>
      <c r="B872" s="943"/>
      <c r="C872" s="943"/>
      <c r="D872" s="943"/>
      <c r="E872" s="943"/>
      <c r="F872" s="943"/>
      <c r="G872" s="943"/>
      <c r="H872" s="943"/>
      <c r="I872" s="943"/>
      <c r="J872" s="943"/>
      <c r="K872" s="943"/>
      <c r="L872" s="943"/>
      <c r="M872" s="943"/>
      <c r="N872" s="943"/>
      <c r="O872" s="943"/>
      <c r="P872" s="943"/>
      <c r="Q872" s="943"/>
      <c r="R872" s="943"/>
      <c r="S872" s="943"/>
      <c r="T872" s="943"/>
      <c r="U872" s="943"/>
      <c r="V872" s="943"/>
      <c r="W872" s="943"/>
      <c r="X872" s="943"/>
      <c r="Y872" s="943"/>
      <c r="Z872" s="943"/>
      <c r="AA872" s="943"/>
      <c r="AB872" s="943"/>
      <c r="AC872" s="943"/>
      <c r="AD872" s="943"/>
      <c r="AE872" s="943"/>
    </row>
    <row r="873" spans="1:31" ht="15.75" customHeight="1">
      <c r="A873" s="943"/>
      <c r="B873" s="943"/>
      <c r="C873" s="943"/>
      <c r="D873" s="943"/>
      <c r="E873" s="943"/>
      <c r="F873" s="943"/>
      <c r="G873" s="943"/>
      <c r="H873" s="943"/>
      <c r="I873" s="943"/>
      <c r="J873" s="943"/>
      <c r="K873" s="943"/>
      <c r="L873" s="943"/>
      <c r="M873" s="943"/>
      <c r="N873" s="943"/>
      <c r="O873" s="943"/>
      <c r="P873" s="943"/>
      <c r="Q873" s="943"/>
      <c r="R873" s="943"/>
      <c r="S873" s="943"/>
      <c r="T873" s="943"/>
      <c r="U873" s="943"/>
      <c r="V873" s="943"/>
      <c r="W873" s="943"/>
      <c r="X873" s="943"/>
      <c r="Y873" s="943"/>
      <c r="Z873" s="943"/>
      <c r="AA873" s="943"/>
      <c r="AB873" s="943"/>
      <c r="AC873" s="943"/>
      <c r="AD873" s="943"/>
      <c r="AE873" s="943"/>
    </row>
    <row r="874" spans="1:31" ht="15.75" customHeight="1">
      <c r="A874" s="943"/>
      <c r="B874" s="943"/>
      <c r="C874" s="943"/>
      <c r="D874" s="943"/>
      <c r="E874" s="943"/>
      <c r="F874" s="943"/>
      <c r="G874" s="943"/>
      <c r="H874" s="943"/>
      <c r="I874" s="943"/>
      <c r="J874" s="943"/>
      <c r="K874" s="943"/>
      <c r="L874" s="943"/>
      <c r="M874" s="943"/>
      <c r="N874" s="943"/>
      <c r="O874" s="943"/>
      <c r="P874" s="943"/>
      <c r="Q874" s="943"/>
      <c r="R874" s="943"/>
      <c r="S874" s="943"/>
      <c r="T874" s="943"/>
      <c r="U874" s="943"/>
      <c r="V874" s="943"/>
      <c r="W874" s="943"/>
      <c r="X874" s="943"/>
      <c r="Y874" s="943"/>
      <c r="Z874" s="943"/>
      <c r="AA874" s="943"/>
      <c r="AB874" s="943"/>
      <c r="AC874" s="943"/>
      <c r="AD874" s="943"/>
      <c r="AE874" s="943"/>
    </row>
    <row r="875" spans="1:31" ht="15.75" customHeight="1">
      <c r="A875" s="943"/>
      <c r="B875" s="943"/>
      <c r="C875" s="943"/>
      <c r="D875" s="943"/>
      <c r="E875" s="943"/>
      <c r="F875" s="943"/>
      <c r="G875" s="943"/>
      <c r="H875" s="943"/>
      <c r="I875" s="943"/>
      <c r="J875" s="943"/>
      <c r="K875" s="943"/>
      <c r="L875" s="943"/>
      <c r="M875" s="943"/>
      <c r="N875" s="943"/>
      <c r="O875" s="943"/>
      <c r="P875" s="943"/>
      <c r="Q875" s="943"/>
      <c r="R875" s="943"/>
      <c r="S875" s="943"/>
      <c r="T875" s="943"/>
      <c r="U875" s="943"/>
      <c r="V875" s="943"/>
      <c r="W875" s="943"/>
      <c r="X875" s="943"/>
      <c r="Y875" s="943"/>
      <c r="Z875" s="943"/>
      <c r="AA875" s="943"/>
      <c r="AB875" s="943"/>
      <c r="AC875" s="943"/>
      <c r="AD875" s="943"/>
      <c r="AE875" s="943"/>
    </row>
    <row r="876" spans="1:31" ht="15.75" customHeight="1">
      <c r="A876" s="943"/>
      <c r="B876" s="943"/>
      <c r="C876" s="943"/>
      <c r="D876" s="943"/>
      <c r="E876" s="943"/>
      <c r="F876" s="943"/>
      <c r="G876" s="943"/>
      <c r="H876" s="943"/>
      <c r="I876" s="943"/>
      <c r="J876" s="943"/>
      <c r="K876" s="943"/>
      <c r="L876" s="943"/>
      <c r="M876" s="943"/>
      <c r="N876" s="943"/>
      <c r="O876" s="943"/>
      <c r="P876" s="943"/>
      <c r="Q876" s="943"/>
      <c r="R876" s="943"/>
      <c r="S876" s="943"/>
      <c r="T876" s="943"/>
      <c r="U876" s="943"/>
      <c r="V876" s="943"/>
      <c r="W876" s="943"/>
      <c r="X876" s="943"/>
      <c r="Y876" s="943"/>
      <c r="Z876" s="943"/>
      <c r="AA876" s="943"/>
      <c r="AB876" s="943"/>
      <c r="AC876" s="943"/>
      <c r="AD876" s="943"/>
      <c r="AE876" s="943"/>
    </row>
    <row r="877" spans="1:31" ht="15.75" customHeight="1">
      <c r="A877" s="943"/>
      <c r="B877" s="943"/>
      <c r="C877" s="943"/>
      <c r="D877" s="943"/>
      <c r="E877" s="943"/>
      <c r="F877" s="943"/>
      <c r="G877" s="943"/>
      <c r="H877" s="943"/>
      <c r="I877" s="943"/>
      <c r="J877" s="943"/>
      <c r="K877" s="943"/>
      <c r="L877" s="943"/>
      <c r="M877" s="943"/>
      <c r="N877" s="943"/>
      <c r="O877" s="943"/>
      <c r="P877" s="943"/>
      <c r="Q877" s="943"/>
      <c r="R877" s="943"/>
      <c r="S877" s="943"/>
      <c r="T877" s="943"/>
      <c r="U877" s="943"/>
      <c r="V877" s="943"/>
      <c r="W877" s="943"/>
      <c r="X877" s="943"/>
      <c r="Y877" s="943"/>
      <c r="Z877" s="943"/>
      <c r="AA877" s="943"/>
      <c r="AB877" s="943"/>
      <c r="AC877" s="943"/>
      <c r="AD877" s="943"/>
      <c r="AE877" s="943"/>
    </row>
    <row r="878" spans="1:31" ht="15.75" customHeight="1">
      <c r="A878" s="943"/>
      <c r="B878" s="943"/>
      <c r="C878" s="943"/>
      <c r="D878" s="943"/>
      <c r="E878" s="943"/>
      <c r="F878" s="943"/>
      <c r="G878" s="943"/>
      <c r="H878" s="943"/>
      <c r="I878" s="943"/>
      <c r="J878" s="943"/>
      <c r="K878" s="943"/>
      <c r="L878" s="943"/>
      <c r="M878" s="943"/>
      <c r="N878" s="943"/>
      <c r="O878" s="943"/>
      <c r="P878" s="943"/>
      <c r="Q878" s="943"/>
      <c r="R878" s="943"/>
      <c r="S878" s="943"/>
      <c r="T878" s="943"/>
      <c r="U878" s="943"/>
      <c r="V878" s="943"/>
      <c r="W878" s="943"/>
      <c r="X878" s="943"/>
      <c r="Y878" s="943"/>
      <c r="Z878" s="943"/>
      <c r="AA878" s="943"/>
      <c r="AB878" s="943"/>
      <c r="AC878" s="943"/>
      <c r="AD878" s="943"/>
      <c r="AE878" s="943"/>
    </row>
    <row r="879" spans="1:31" ht="15.75" customHeight="1">
      <c r="A879" s="943"/>
      <c r="B879" s="943"/>
      <c r="C879" s="943"/>
      <c r="D879" s="943"/>
      <c r="E879" s="943"/>
      <c r="F879" s="943"/>
      <c r="G879" s="943"/>
      <c r="H879" s="943"/>
      <c r="I879" s="943"/>
      <c r="J879" s="943"/>
      <c r="K879" s="943"/>
      <c r="L879" s="943"/>
      <c r="M879" s="943"/>
      <c r="N879" s="943"/>
      <c r="O879" s="943"/>
      <c r="P879" s="943"/>
      <c r="Q879" s="943"/>
      <c r="R879" s="943"/>
      <c r="S879" s="943"/>
      <c r="T879" s="943"/>
      <c r="U879" s="943"/>
      <c r="V879" s="943"/>
      <c r="W879" s="943"/>
      <c r="X879" s="943"/>
      <c r="Y879" s="943"/>
      <c r="Z879" s="943"/>
      <c r="AA879" s="943"/>
      <c r="AB879" s="943"/>
      <c r="AC879" s="943"/>
      <c r="AD879" s="943"/>
      <c r="AE879" s="943"/>
    </row>
    <row r="880" spans="1:31" ht="15.75" customHeight="1">
      <c r="A880" s="943"/>
      <c r="B880" s="943"/>
      <c r="C880" s="943"/>
      <c r="D880" s="943"/>
      <c r="E880" s="943"/>
      <c r="F880" s="943"/>
      <c r="G880" s="943"/>
      <c r="H880" s="943"/>
      <c r="I880" s="943"/>
      <c r="J880" s="943"/>
      <c r="K880" s="943"/>
      <c r="L880" s="943"/>
      <c r="M880" s="943"/>
      <c r="N880" s="943"/>
      <c r="O880" s="943"/>
      <c r="P880" s="943"/>
      <c r="Q880" s="943"/>
      <c r="R880" s="943"/>
      <c r="S880" s="943"/>
      <c r="T880" s="943"/>
      <c r="U880" s="943"/>
      <c r="V880" s="943"/>
      <c r="W880" s="943"/>
      <c r="X880" s="943"/>
      <c r="Y880" s="943"/>
      <c r="Z880" s="943"/>
      <c r="AA880" s="943"/>
      <c r="AB880" s="943"/>
      <c r="AC880" s="943"/>
      <c r="AD880" s="943"/>
      <c r="AE880" s="943"/>
    </row>
    <row r="881" spans="1:31" ht="15.75" customHeight="1">
      <c r="A881" s="943"/>
      <c r="B881" s="943"/>
      <c r="C881" s="943"/>
      <c r="D881" s="943"/>
      <c r="E881" s="943"/>
      <c r="F881" s="943"/>
      <c r="G881" s="943"/>
      <c r="H881" s="943"/>
      <c r="I881" s="943"/>
      <c r="J881" s="943"/>
      <c r="K881" s="943"/>
      <c r="L881" s="943"/>
      <c r="M881" s="943"/>
      <c r="N881" s="943"/>
      <c r="O881" s="943"/>
      <c r="P881" s="943"/>
      <c r="Q881" s="943"/>
      <c r="R881" s="943"/>
      <c r="S881" s="943"/>
      <c r="T881" s="943"/>
      <c r="U881" s="943"/>
      <c r="V881" s="943"/>
      <c r="W881" s="943"/>
      <c r="X881" s="943"/>
      <c r="Y881" s="943"/>
      <c r="Z881" s="943"/>
      <c r="AA881" s="943"/>
      <c r="AB881" s="943"/>
      <c r="AC881" s="943"/>
      <c r="AD881" s="943"/>
      <c r="AE881" s="943"/>
    </row>
    <row r="882" spans="1:31" ht="15.75" customHeight="1">
      <c r="A882" s="943"/>
      <c r="B882" s="943"/>
      <c r="C882" s="943"/>
      <c r="D882" s="943"/>
      <c r="E882" s="943"/>
      <c r="F882" s="943"/>
      <c r="G882" s="943"/>
      <c r="H882" s="943"/>
      <c r="I882" s="943"/>
      <c r="J882" s="943"/>
      <c r="K882" s="943"/>
      <c r="L882" s="943"/>
      <c r="M882" s="943"/>
      <c r="N882" s="943"/>
      <c r="O882" s="943"/>
      <c r="P882" s="943"/>
      <c r="Q882" s="943"/>
      <c r="R882" s="943"/>
      <c r="S882" s="943"/>
      <c r="T882" s="943"/>
      <c r="U882" s="943"/>
      <c r="V882" s="943"/>
      <c r="W882" s="943"/>
      <c r="X882" s="943"/>
      <c r="Y882" s="943"/>
      <c r="Z882" s="943"/>
      <c r="AA882" s="943"/>
      <c r="AB882" s="943"/>
      <c r="AC882" s="943"/>
      <c r="AD882" s="943"/>
      <c r="AE882" s="943"/>
    </row>
    <row r="883" spans="1:31" ht="15.75" customHeight="1">
      <c r="A883" s="943"/>
      <c r="B883" s="943"/>
      <c r="C883" s="943"/>
      <c r="D883" s="943"/>
      <c r="E883" s="943"/>
      <c r="F883" s="943"/>
      <c r="G883" s="943"/>
      <c r="H883" s="943"/>
      <c r="I883" s="943"/>
      <c r="J883" s="943"/>
      <c r="K883" s="943"/>
      <c r="L883" s="943"/>
      <c r="M883" s="943"/>
      <c r="N883" s="943"/>
      <c r="O883" s="943"/>
      <c r="P883" s="943"/>
      <c r="Q883" s="943"/>
      <c r="R883" s="943"/>
      <c r="S883" s="943"/>
      <c r="T883" s="943"/>
      <c r="U883" s="943"/>
      <c r="V883" s="943"/>
      <c r="W883" s="943"/>
      <c r="X883" s="943"/>
      <c r="Y883" s="943"/>
      <c r="Z883" s="943"/>
      <c r="AA883" s="943"/>
      <c r="AB883" s="943"/>
      <c r="AC883" s="943"/>
      <c r="AD883" s="943"/>
      <c r="AE883" s="943"/>
    </row>
    <row r="884" spans="1:31" ht="15.75" customHeight="1">
      <c r="A884" s="943"/>
      <c r="B884" s="943"/>
      <c r="C884" s="943"/>
      <c r="D884" s="943"/>
      <c r="E884" s="943"/>
      <c r="F884" s="943"/>
      <c r="G884" s="943"/>
      <c r="H884" s="943"/>
      <c r="I884" s="943"/>
      <c r="J884" s="943"/>
      <c r="K884" s="943"/>
      <c r="L884" s="943"/>
      <c r="M884" s="943"/>
      <c r="N884" s="943"/>
      <c r="O884" s="943"/>
      <c r="P884" s="943"/>
      <c r="Q884" s="943"/>
      <c r="R884" s="943"/>
      <c r="S884" s="943"/>
      <c r="T884" s="943"/>
      <c r="U884" s="943"/>
      <c r="V884" s="943"/>
      <c r="W884" s="943"/>
      <c r="X884" s="943"/>
      <c r="Y884" s="943"/>
      <c r="Z884" s="943"/>
      <c r="AA884" s="943"/>
      <c r="AB884" s="943"/>
      <c r="AC884" s="943"/>
      <c r="AD884" s="943"/>
      <c r="AE884" s="943"/>
    </row>
    <row r="885" spans="1:31" ht="15.75" customHeight="1">
      <c r="A885" s="943"/>
      <c r="B885" s="943"/>
      <c r="C885" s="943"/>
      <c r="D885" s="943"/>
      <c r="E885" s="943"/>
      <c r="F885" s="943"/>
      <c r="G885" s="943"/>
      <c r="H885" s="943"/>
      <c r="I885" s="943"/>
      <c r="J885" s="943"/>
      <c r="K885" s="943"/>
      <c r="L885" s="943"/>
      <c r="M885" s="943"/>
      <c r="N885" s="943"/>
      <c r="O885" s="943"/>
      <c r="P885" s="943"/>
      <c r="Q885" s="943"/>
      <c r="R885" s="943"/>
      <c r="S885" s="943"/>
      <c r="T885" s="943"/>
      <c r="U885" s="943"/>
      <c r="V885" s="943"/>
      <c r="W885" s="943"/>
      <c r="X885" s="943"/>
      <c r="Y885" s="943"/>
      <c r="Z885" s="943"/>
      <c r="AA885" s="943"/>
      <c r="AB885" s="943"/>
      <c r="AC885" s="943"/>
      <c r="AD885" s="943"/>
      <c r="AE885" s="943"/>
    </row>
    <row r="886" spans="1:31" ht="15.75" customHeight="1">
      <c r="A886" s="943"/>
      <c r="B886" s="943"/>
      <c r="C886" s="943"/>
      <c r="D886" s="943"/>
      <c r="E886" s="943"/>
      <c r="F886" s="943"/>
      <c r="G886" s="943"/>
      <c r="H886" s="943"/>
      <c r="I886" s="943"/>
      <c r="J886" s="943"/>
      <c r="K886" s="943"/>
      <c r="L886" s="943"/>
      <c r="M886" s="943"/>
      <c r="N886" s="943"/>
      <c r="O886" s="943"/>
      <c r="P886" s="943"/>
      <c r="Q886" s="943"/>
      <c r="R886" s="943"/>
      <c r="S886" s="943"/>
      <c r="T886" s="943"/>
      <c r="U886" s="943"/>
      <c r="V886" s="943"/>
      <c r="W886" s="943"/>
      <c r="X886" s="943"/>
      <c r="Y886" s="943"/>
      <c r="Z886" s="943"/>
      <c r="AA886" s="943"/>
      <c r="AB886" s="943"/>
      <c r="AC886" s="943"/>
      <c r="AD886" s="943"/>
      <c r="AE886" s="943"/>
    </row>
    <row r="887" spans="1:31" ht="15.75" customHeight="1">
      <c r="A887" s="943"/>
      <c r="B887" s="943"/>
      <c r="C887" s="943"/>
      <c r="D887" s="943"/>
      <c r="E887" s="943"/>
      <c r="F887" s="943"/>
      <c r="G887" s="943"/>
      <c r="H887" s="943"/>
      <c r="I887" s="943"/>
      <c r="J887" s="943"/>
      <c r="K887" s="943"/>
      <c r="L887" s="943"/>
      <c r="M887" s="943"/>
      <c r="N887" s="943"/>
      <c r="O887" s="943"/>
      <c r="P887" s="943"/>
      <c r="Q887" s="943"/>
      <c r="R887" s="943"/>
      <c r="S887" s="943"/>
      <c r="T887" s="943"/>
      <c r="U887" s="943"/>
      <c r="V887" s="943"/>
      <c r="W887" s="943"/>
      <c r="X887" s="943"/>
      <c r="Y887" s="943"/>
      <c r="Z887" s="943"/>
      <c r="AA887" s="943"/>
      <c r="AB887" s="943"/>
      <c r="AC887" s="943"/>
      <c r="AD887" s="943"/>
      <c r="AE887" s="943"/>
    </row>
    <row r="888" spans="1:31" ht="15.75" customHeight="1">
      <c r="A888" s="943"/>
      <c r="B888" s="943"/>
      <c r="C888" s="943"/>
      <c r="D888" s="943"/>
      <c r="E888" s="943"/>
      <c r="F888" s="943"/>
      <c r="G888" s="943"/>
      <c r="H888" s="943"/>
      <c r="I888" s="943"/>
      <c r="J888" s="943"/>
      <c r="K888" s="943"/>
      <c r="L888" s="943"/>
      <c r="M888" s="943"/>
      <c r="N888" s="943"/>
      <c r="O888" s="943"/>
      <c r="P888" s="943"/>
      <c r="Q888" s="943"/>
      <c r="R888" s="943"/>
      <c r="S888" s="943"/>
      <c r="T888" s="943"/>
      <c r="U888" s="943"/>
      <c r="V888" s="943"/>
      <c r="W888" s="943"/>
      <c r="X888" s="943"/>
      <c r="Y888" s="943"/>
      <c r="Z888" s="943"/>
      <c r="AA888" s="943"/>
      <c r="AB888" s="943"/>
      <c r="AC888" s="943"/>
      <c r="AD888" s="943"/>
      <c r="AE888" s="943"/>
    </row>
    <row r="889" spans="1:31" ht="15.75" customHeight="1">
      <c r="A889" s="943"/>
      <c r="B889" s="943"/>
      <c r="C889" s="943"/>
      <c r="D889" s="943"/>
      <c r="E889" s="943"/>
      <c r="F889" s="943"/>
      <c r="G889" s="943"/>
      <c r="H889" s="943"/>
      <c r="I889" s="943"/>
      <c r="J889" s="943"/>
      <c r="K889" s="943"/>
      <c r="L889" s="943"/>
      <c r="M889" s="943"/>
      <c r="N889" s="943"/>
      <c r="O889" s="943"/>
      <c r="P889" s="943"/>
      <c r="Q889" s="943"/>
      <c r="R889" s="943"/>
      <c r="S889" s="943"/>
      <c r="T889" s="943"/>
      <c r="U889" s="943"/>
      <c r="V889" s="943"/>
      <c r="W889" s="943"/>
      <c r="X889" s="943"/>
      <c r="Y889" s="943"/>
      <c r="Z889" s="943"/>
      <c r="AA889" s="943"/>
      <c r="AB889" s="943"/>
      <c r="AC889" s="943"/>
      <c r="AD889" s="943"/>
      <c r="AE889" s="943"/>
    </row>
    <row r="890" spans="1:31" ht="15.75" customHeight="1">
      <c r="A890" s="943"/>
      <c r="B890" s="943"/>
      <c r="C890" s="943"/>
      <c r="D890" s="943"/>
      <c r="E890" s="943"/>
      <c r="F890" s="943"/>
      <c r="G890" s="943"/>
      <c r="H890" s="943"/>
      <c r="I890" s="943"/>
      <c r="J890" s="943"/>
      <c r="K890" s="943"/>
      <c r="L890" s="943"/>
      <c r="M890" s="943"/>
      <c r="N890" s="943"/>
      <c r="O890" s="943"/>
      <c r="P890" s="943"/>
      <c r="Q890" s="943"/>
      <c r="R890" s="943"/>
      <c r="S890" s="943"/>
      <c r="T890" s="943"/>
      <c r="U890" s="943"/>
      <c r="V890" s="943"/>
      <c r="W890" s="943"/>
      <c r="X890" s="943"/>
      <c r="Y890" s="943"/>
      <c r="Z890" s="943"/>
      <c r="AA890" s="943"/>
      <c r="AB890" s="943"/>
      <c r="AC890" s="943"/>
      <c r="AD890" s="943"/>
      <c r="AE890" s="943"/>
    </row>
    <row r="891" spans="1:31" ht="15.75" customHeight="1">
      <c r="A891" s="943"/>
      <c r="B891" s="943"/>
      <c r="C891" s="943"/>
      <c r="D891" s="943"/>
      <c r="E891" s="943"/>
      <c r="F891" s="943"/>
      <c r="G891" s="943"/>
      <c r="H891" s="943"/>
      <c r="I891" s="943"/>
      <c r="J891" s="943"/>
      <c r="K891" s="943"/>
      <c r="L891" s="943"/>
      <c r="M891" s="943"/>
      <c r="N891" s="943"/>
      <c r="O891" s="943"/>
      <c r="P891" s="943"/>
      <c r="Q891" s="943"/>
      <c r="R891" s="943"/>
      <c r="S891" s="943"/>
      <c r="T891" s="943"/>
      <c r="U891" s="943"/>
      <c r="V891" s="943"/>
      <c r="W891" s="943"/>
      <c r="X891" s="943"/>
      <c r="Y891" s="943"/>
      <c r="Z891" s="943"/>
      <c r="AA891" s="943"/>
      <c r="AB891" s="943"/>
      <c r="AC891" s="943"/>
      <c r="AD891" s="943"/>
      <c r="AE891" s="943"/>
    </row>
    <row r="892" spans="1:31" ht="15.75" customHeight="1">
      <c r="A892" s="943"/>
      <c r="B892" s="943"/>
      <c r="C892" s="943"/>
      <c r="D892" s="943"/>
      <c r="E892" s="943"/>
      <c r="F892" s="943"/>
      <c r="G892" s="943"/>
      <c r="H892" s="943"/>
      <c r="I892" s="943"/>
      <c r="J892" s="943"/>
      <c r="K892" s="943"/>
      <c r="L892" s="943"/>
      <c r="M892" s="943"/>
      <c r="N892" s="943"/>
      <c r="O892" s="943"/>
      <c r="P892" s="943"/>
      <c r="Q892" s="943"/>
      <c r="R892" s="943"/>
      <c r="S892" s="943"/>
      <c r="T892" s="943"/>
      <c r="U892" s="943"/>
      <c r="V892" s="943"/>
      <c r="W892" s="943"/>
      <c r="X892" s="943"/>
      <c r="Y892" s="943"/>
      <c r="Z892" s="943"/>
      <c r="AA892" s="943"/>
      <c r="AB892" s="943"/>
      <c r="AC892" s="943"/>
      <c r="AD892" s="943"/>
      <c r="AE892" s="943"/>
    </row>
    <row r="893" spans="1:31" ht="15.75" customHeight="1">
      <c r="A893" s="943"/>
      <c r="B893" s="943"/>
      <c r="C893" s="943"/>
      <c r="D893" s="943"/>
      <c r="E893" s="943"/>
      <c r="F893" s="943"/>
      <c r="G893" s="943"/>
      <c r="H893" s="943"/>
      <c r="I893" s="943"/>
      <c r="J893" s="943"/>
      <c r="K893" s="943"/>
      <c r="L893" s="943"/>
      <c r="M893" s="943"/>
      <c r="N893" s="943"/>
      <c r="O893" s="943"/>
      <c r="P893" s="943"/>
      <c r="Q893" s="943"/>
      <c r="R893" s="943"/>
      <c r="S893" s="943"/>
      <c r="T893" s="943"/>
      <c r="U893" s="943"/>
      <c r="V893" s="943"/>
      <c r="W893" s="943"/>
      <c r="X893" s="943"/>
      <c r="Y893" s="943"/>
      <c r="Z893" s="943"/>
      <c r="AA893" s="943"/>
      <c r="AB893" s="943"/>
      <c r="AC893" s="943"/>
      <c r="AD893" s="943"/>
      <c r="AE893" s="943"/>
    </row>
    <row r="894" spans="1:31" ht="15.75" customHeight="1">
      <c r="A894" s="943"/>
      <c r="B894" s="943"/>
      <c r="C894" s="943"/>
      <c r="D894" s="943"/>
      <c r="E894" s="943"/>
      <c r="F894" s="943"/>
      <c r="G894" s="943"/>
      <c r="H894" s="943"/>
      <c r="I894" s="943"/>
      <c r="J894" s="943"/>
      <c r="K894" s="943"/>
      <c r="L894" s="943"/>
      <c r="M894" s="943"/>
      <c r="N894" s="943"/>
      <c r="O894" s="943"/>
      <c r="P894" s="943"/>
      <c r="Q894" s="943"/>
      <c r="R894" s="943"/>
      <c r="S894" s="943"/>
      <c r="T894" s="943"/>
      <c r="U894" s="943"/>
      <c r="V894" s="943"/>
      <c r="W894" s="943"/>
      <c r="X894" s="943"/>
      <c r="Y894" s="943"/>
      <c r="Z894" s="943"/>
      <c r="AA894" s="943"/>
      <c r="AB894" s="943"/>
      <c r="AC894" s="943"/>
      <c r="AD894" s="943"/>
      <c r="AE894" s="943"/>
    </row>
    <row r="895" spans="1:31" ht="15.75" customHeight="1">
      <c r="A895" s="943"/>
      <c r="B895" s="943"/>
      <c r="C895" s="943"/>
      <c r="D895" s="943"/>
      <c r="E895" s="943"/>
      <c r="F895" s="943"/>
      <c r="G895" s="943"/>
      <c r="H895" s="943"/>
      <c r="I895" s="943"/>
      <c r="J895" s="943"/>
      <c r="K895" s="943"/>
      <c r="L895" s="943"/>
      <c r="M895" s="943"/>
      <c r="N895" s="943"/>
      <c r="O895" s="943"/>
      <c r="P895" s="943"/>
      <c r="Q895" s="943"/>
      <c r="R895" s="943"/>
      <c r="S895" s="943"/>
      <c r="T895" s="943"/>
      <c r="U895" s="943"/>
      <c r="V895" s="943"/>
      <c r="W895" s="943"/>
      <c r="X895" s="943"/>
      <c r="Y895" s="943"/>
      <c r="Z895" s="943"/>
      <c r="AA895" s="943"/>
      <c r="AB895" s="943"/>
      <c r="AC895" s="943"/>
      <c r="AD895" s="943"/>
      <c r="AE895" s="943"/>
    </row>
    <row r="896" spans="1:31" ht="15.75" customHeight="1">
      <c r="A896" s="943"/>
      <c r="B896" s="943"/>
      <c r="C896" s="943"/>
      <c r="D896" s="943"/>
      <c r="E896" s="943"/>
      <c r="F896" s="943"/>
      <c r="G896" s="943"/>
      <c r="H896" s="943"/>
      <c r="I896" s="943"/>
      <c r="J896" s="943"/>
      <c r="K896" s="943"/>
      <c r="L896" s="943"/>
      <c r="M896" s="943"/>
      <c r="N896" s="943"/>
      <c r="O896" s="943"/>
      <c r="P896" s="943"/>
      <c r="Q896" s="943"/>
      <c r="R896" s="943"/>
      <c r="S896" s="943"/>
      <c r="T896" s="943"/>
      <c r="U896" s="943"/>
      <c r="V896" s="943"/>
      <c r="W896" s="943"/>
      <c r="X896" s="943"/>
      <c r="Y896" s="943"/>
      <c r="Z896" s="943"/>
      <c r="AA896" s="943"/>
      <c r="AB896" s="943"/>
      <c r="AC896" s="943"/>
      <c r="AD896" s="943"/>
      <c r="AE896" s="943"/>
    </row>
    <row r="897" spans="1:31" ht="15.75" customHeight="1">
      <c r="A897" s="943"/>
      <c r="B897" s="943"/>
      <c r="C897" s="943"/>
      <c r="D897" s="943"/>
      <c r="E897" s="943"/>
      <c r="F897" s="943"/>
      <c r="G897" s="943"/>
      <c r="H897" s="943"/>
      <c r="I897" s="943"/>
      <c r="J897" s="943"/>
      <c r="K897" s="943"/>
      <c r="L897" s="943"/>
      <c r="M897" s="943"/>
      <c r="N897" s="943"/>
      <c r="O897" s="943"/>
      <c r="P897" s="943"/>
      <c r="Q897" s="943"/>
      <c r="R897" s="943"/>
      <c r="S897" s="943"/>
      <c r="T897" s="943"/>
      <c r="U897" s="943"/>
      <c r="V897" s="943"/>
      <c r="W897" s="943"/>
      <c r="X897" s="943"/>
      <c r="Y897" s="943"/>
      <c r="Z897" s="943"/>
      <c r="AA897" s="943"/>
      <c r="AB897" s="943"/>
      <c r="AC897" s="943"/>
      <c r="AD897" s="943"/>
      <c r="AE897" s="943"/>
    </row>
    <row r="898" spans="1:31" ht="15.75" customHeight="1">
      <c r="A898" s="943"/>
      <c r="B898" s="943"/>
      <c r="C898" s="943"/>
      <c r="D898" s="943"/>
      <c r="E898" s="943"/>
      <c r="F898" s="943"/>
      <c r="G898" s="943"/>
      <c r="H898" s="943"/>
      <c r="I898" s="943"/>
      <c r="J898" s="943"/>
      <c r="K898" s="943"/>
      <c r="L898" s="943"/>
      <c r="M898" s="943"/>
      <c r="N898" s="943"/>
      <c r="O898" s="943"/>
      <c r="P898" s="943"/>
      <c r="Q898" s="943"/>
      <c r="R898" s="943"/>
      <c r="S898" s="943"/>
      <c r="T898" s="943"/>
      <c r="U898" s="943"/>
      <c r="V898" s="943"/>
      <c r="W898" s="943"/>
      <c r="X898" s="943"/>
      <c r="Y898" s="943"/>
      <c r="Z898" s="943"/>
      <c r="AA898" s="943"/>
      <c r="AB898" s="943"/>
      <c r="AC898" s="943"/>
      <c r="AD898" s="943"/>
      <c r="AE898" s="943"/>
    </row>
    <row r="899" spans="1:31" ht="15.75" customHeight="1">
      <c r="A899" s="943"/>
      <c r="B899" s="943"/>
      <c r="C899" s="943"/>
      <c r="D899" s="943"/>
      <c r="E899" s="943"/>
      <c r="F899" s="943"/>
      <c r="G899" s="943"/>
      <c r="H899" s="943"/>
      <c r="I899" s="943"/>
      <c r="J899" s="943"/>
      <c r="K899" s="943"/>
      <c r="L899" s="943"/>
      <c r="M899" s="943"/>
      <c r="N899" s="943"/>
      <c r="O899" s="943"/>
      <c r="P899" s="943"/>
      <c r="Q899" s="943"/>
      <c r="R899" s="943"/>
      <c r="S899" s="943"/>
      <c r="T899" s="943"/>
      <c r="U899" s="943"/>
      <c r="V899" s="943"/>
      <c r="W899" s="943"/>
      <c r="X899" s="943"/>
      <c r="Y899" s="943"/>
      <c r="Z899" s="943"/>
      <c r="AA899" s="943"/>
      <c r="AB899" s="943"/>
      <c r="AC899" s="943"/>
      <c r="AD899" s="943"/>
      <c r="AE899" s="943"/>
    </row>
    <row r="900" spans="1:31" ht="15.75" customHeight="1">
      <c r="A900" s="943"/>
      <c r="B900" s="943"/>
      <c r="C900" s="943"/>
      <c r="D900" s="943"/>
      <c r="E900" s="943"/>
      <c r="F900" s="943"/>
      <c r="G900" s="943"/>
      <c r="H900" s="943"/>
      <c r="I900" s="943"/>
      <c r="J900" s="943"/>
      <c r="K900" s="943"/>
      <c r="L900" s="943"/>
      <c r="M900" s="943"/>
      <c r="N900" s="943"/>
      <c r="O900" s="943"/>
      <c r="P900" s="943"/>
      <c r="Q900" s="943"/>
      <c r="R900" s="943"/>
      <c r="S900" s="943"/>
      <c r="T900" s="943"/>
      <c r="U900" s="943"/>
      <c r="V900" s="943"/>
      <c r="W900" s="943"/>
      <c r="X900" s="943"/>
      <c r="Y900" s="943"/>
      <c r="Z900" s="943"/>
      <c r="AA900" s="943"/>
      <c r="AB900" s="943"/>
      <c r="AC900" s="943"/>
      <c r="AD900" s="943"/>
      <c r="AE900" s="943"/>
    </row>
    <row r="901" spans="1:31" ht="15.75" customHeight="1">
      <c r="A901" s="943"/>
      <c r="B901" s="943"/>
      <c r="C901" s="943"/>
      <c r="D901" s="943"/>
      <c r="E901" s="943"/>
      <c r="F901" s="943"/>
      <c r="G901" s="943"/>
      <c r="H901" s="943"/>
      <c r="I901" s="943"/>
      <c r="J901" s="943"/>
      <c r="K901" s="943"/>
      <c r="L901" s="943"/>
      <c r="M901" s="943"/>
      <c r="N901" s="943"/>
      <c r="O901" s="943"/>
      <c r="P901" s="943"/>
      <c r="Q901" s="943"/>
      <c r="R901" s="943"/>
      <c r="S901" s="943"/>
      <c r="T901" s="943"/>
      <c r="U901" s="943"/>
      <c r="V901" s="943"/>
      <c r="W901" s="943"/>
      <c r="X901" s="943"/>
      <c r="Y901" s="943"/>
      <c r="Z901" s="943"/>
      <c r="AA901" s="943"/>
      <c r="AB901" s="943"/>
      <c r="AC901" s="943"/>
      <c r="AD901" s="943"/>
      <c r="AE901" s="943"/>
    </row>
    <row r="902" spans="1:31" ht="15.75" customHeight="1">
      <c r="A902" s="943"/>
      <c r="B902" s="943"/>
      <c r="C902" s="943"/>
      <c r="D902" s="943"/>
      <c r="E902" s="943"/>
      <c r="F902" s="943"/>
      <c r="G902" s="943"/>
      <c r="H902" s="943"/>
      <c r="I902" s="943"/>
      <c r="J902" s="943"/>
      <c r="K902" s="943"/>
      <c r="L902" s="943"/>
      <c r="M902" s="943"/>
      <c r="N902" s="943"/>
      <c r="O902" s="943"/>
      <c r="P902" s="943"/>
      <c r="Q902" s="943"/>
      <c r="R902" s="943"/>
      <c r="S902" s="943"/>
      <c r="T902" s="943"/>
      <c r="U902" s="943"/>
      <c r="V902" s="943"/>
      <c r="W902" s="943"/>
      <c r="X902" s="943"/>
      <c r="Y902" s="943"/>
      <c r="Z902" s="943"/>
      <c r="AA902" s="943"/>
      <c r="AB902" s="943"/>
      <c r="AC902" s="943"/>
      <c r="AD902" s="943"/>
      <c r="AE902" s="943"/>
    </row>
    <row r="903" spans="1:31" ht="15.75" customHeight="1">
      <c r="A903" s="943"/>
      <c r="B903" s="943"/>
      <c r="C903" s="943"/>
      <c r="D903" s="943"/>
      <c r="E903" s="943"/>
      <c r="F903" s="943"/>
      <c r="G903" s="943"/>
      <c r="H903" s="943"/>
      <c r="I903" s="943"/>
      <c r="J903" s="943"/>
      <c r="K903" s="943"/>
      <c r="L903" s="943"/>
      <c r="M903" s="943"/>
      <c r="N903" s="943"/>
      <c r="O903" s="943"/>
      <c r="P903" s="943"/>
      <c r="Q903" s="943"/>
      <c r="R903" s="943"/>
      <c r="S903" s="943"/>
      <c r="T903" s="943"/>
      <c r="U903" s="943"/>
      <c r="V903" s="943"/>
      <c r="W903" s="943"/>
      <c r="X903" s="943"/>
      <c r="Y903" s="943"/>
      <c r="Z903" s="943"/>
      <c r="AA903" s="943"/>
      <c r="AB903" s="943"/>
      <c r="AC903" s="943"/>
      <c r="AD903" s="943"/>
      <c r="AE903" s="943"/>
    </row>
    <row r="904" spans="1:31" ht="15.75" customHeight="1">
      <c r="A904" s="943"/>
      <c r="B904" s="943"/>
      <c r="C904" s="943"/>
      <c r="D904" s="943"/>
      <c r="E904" s="943"/>
      <c r="F904" s="943"/>
      <c r="G904" s="943"/>
      <c r="H904" s="943"/>
      <c r="I904" s="943"/>
      <c r="J904" s="943"/>
      <c r="K904" s="943"/>
      <c r="L904" s="943"/>
      <c r="M904" s="943"/>
      <c r="N904" s="943"/>
      <c r="O904" s="943"/>
      <c r="P904" s="943"/>
      <c r="Q904" s="943"/>
      <c r="R904" s="943"/>
      <c r="S904" s="943"/>
      <c r="T904" s="943"/>
      <c r="U904" s="943"/>
      <c r="V904" s="943"/>
      <c r="W904" s="943"/>
      <c r="X904" s="943"/>
      <c r="Y904" s="943"/>
      <c r="Z904" s="943"/>
      <c r="AA904" s="943"/>
      <c r="AB904" s="943"/>
      <c r="AC904" s="943"/>
      <c r="AD904" s="943"/>
      <c r="AE904" s="943"/>
    </row>
    <row r="905" spans="1:31" ht="15.75" customHeight="1">
      <c r="A905" s="943"/>
      <c r="B905" s="943"/>
      <c r="C905" s="943"/>
      <c r="D905" s="943"/>
      <c r="E905" s="943"/>
      <c r="F905" s="943"/>
      <c r="G905" s="943"/>
      <c r="H905" s="943"/>
      <c r="I905" s="943"/>
      <c r="J905" s="943"/>
      <c r="K905" s="943"/>
      <c r="L905" s="943"/>
      <c r="M905" s="943"/>
      <c r="N905" s="943"/>
      <c r="O905" s="943"/>
      <c r="P905" s="943"/>
      <c r="Q905" s="943"/>
      <c r="R905" s="943"/>
      <c r="S905" s="943"/>
      <c r="T905" s="943"/>
      <c r="U905" s="943"/>
      <c r="V905" s="943"/>
      <c r="W905" s="943"/>
      <c r="X905" s="943"/>
      <c r="Y905" s="943"/>
      <c r="Z905" s="943"/>
      <c r="AA905" s="943"/>
      <c r="AB905" s="943"/>
      <c r="AC905" s="943"/>
      <c r="AD905" s="943"/>
      <c r="AE905" s="943"/>
    </row>
    <row r="906" spans="1:31" ht="15.75" customHeight="1">
      <c r="A906" s="943"/>
      <c r="B906" s="943"/>
      <c r="C906" s="943"/>
      <c r="D906" s="943"/>
      <c r="E906" s="943"/>
      <c r="F906" s="943"/>
      <c r="G906" s="943"/>
      <c r="H906" s="943"/>
      <c r="I906" s="943"/>
      <c r="J906" s="943"/>
      <c r="K906" s="943"/>
      <c r="L906" s="943"/>
      <c r="M906" s="943"/>
      <c r="N906" s="943"/>
      <c r="O906" s="943"/>
      <c r="P906" s="943"/>
      <c r="Q906" s="943"/>
      <c r="R906" s="943"/>
      <c r="S906" s="943"/>
      <c r="T906" s="943"/>
      <c r="U906" s="943"/>
      <c r="V906" s="943"/>
      <c r="W906" s="943"/>
      <c r="X906" s="943"/>
      <c r="Y906" s="943"/>
      <c r="Z906" s="943"/>
      <c r="AA906" s="943"/>
      <c r="AB906" s="943"/>
      <c r="AC906" s="943"/>
      <c r="AD906" s="943"/>
      <c r="AE906" s="943"/>
    </row>
    <row r="907" spans="1:31" ht="15.75" customHeight="1">
      <c r="A907" s="943"/>
      <c r="B907" s="943"/>
      <c r="C907" s="943"/>
      <c r="D907" s="943"/>
      <c r="E907" s="943"/>
      <c r="F907" s="943"/>
      <c r="G907" s="943"/>
      <c r="H907" s="943"/>
      <c r="I907" s="943"/>
      <c r="J907" s="943"/>
      <c r="K907" s="943"/>
      <c r="L907" s="943"/>
      <c r="M907" s="943"/>
      <c r="N907" s="943"/>
      <c r="O907" s="943"/>
      <c r="P907" s="943"/>
      <c r="Q907" s="943"/>
      <c r="R907" s="943"/>
      <c r="S907" s="943"/>
      <c r="T907" s="943"/>
      <c r="U907" s="943"/>
      <c r="V907" s="943"/>
      <c r="W907" s="943"/>
      <c r="X907" s="943"/>
      <c r="Y907" s="943"/>
      <c r="Z907" s="943"/>
      <c r="AA907" s="943"/>
      <c r="AB907" s="943"/>
      <c r="AC907" s="943"/>
      <c r="AD907" s="943"/>
      <c r="AE907" s="943"/>
    </row>
    <row r="908" spans="1:31" ht="15.75" customHeight="1">
      <c r="A908" s="943"/>
      <c r="B908" s="943"/>
      <c r="C908" s="943"/>
      <c r="D908" s="943"/>
      <c r="E908" s="943"/>
      <c r="F908" s="943"/>
      <c r="G908" s="943"/>
      <c r="H908" s="943"/>
      <c r="I908" s="943"/>
      <c r="J908" s="943"/>
      <c r="K908" s="943"/>
      <c r="L908" s="943"/>
      <c r="M908" s="943"/>
      <c r="N908" s="943"/>
      <c r="O908" s="943"/>
      <c r="P908" s="943"/>
      <c r="Q908" s="943"/>
      <c r="R908" s="943"/>
      <c r="S908" s="943"/>
      <c r="T908" s="943"/>
      <c r="U908" s="943"/>
      <c r="V908" s="943"/>
      <c r="W908" s="943"/>
      <c r="X908" s="943"/>
      <c r="Y908" s="943"/>
      <c r="Z908" s="943"/>
      <c r="AA908" s="943"/>
      <c r="AB908" s="943"/>
      <c r="AC908" s="943"/>
      <c r="AD908" s="943"/>
      <c r="AE908" s="943"/>
    </row>
    <row r="909" spans="1:31" ht="15.75" customHeight="1">
      <c r="A909" s="943"/>
      <c r="B909" s="943"/>
      <c r="C909" s="943"/>
      <c r="D909" s="943"/>
      <c r="E909" s="943"/>
      <c r="F909" s="943"/>
      <c r="G909" s="943"/>
      <c r="H909" s="943"/>
      <c r="I909" s="943"/>
      <c r="J909" s="943"/>
      <c r="K909" s="943"/>
      <c r="L909" s="943"/>
      <c r="M909" s="943"/>
      <c r="N909" s="943"/>
      <c r="O909" s="943"/>
      <c r="P909" s="943"/>
      <c r="Q909" s="943"/>
      <c r="R909" s="943"/>
      <c r="S909" s="943"/>
      <c r="T909" s="943"/>
      <c r="U909" s="943"/>
      <c r="V909" s="943"/>
      <c r="W909" s="943"/>
      <c r="X909" s="943"/>
      <c r="Y909" s="943"/>
      <c r="Z909" s="943"/>
      <c r="AA909" s="943"/>
      <c r="AB909" s="943"/>
      <c r="AC909" s="943"/>
      <c r="AD909" s="943"/>
      <c r="AE909" s="943"/>
    </row>
    <row r="910" spans="1:31" ht="15.75" customHeight="1">
      <c r="A910" s="943"/>
      <c r="B910" s="943"/>
      <c r="C910" s="943"/>
      <c r="D910" s="943"/>
      <c r="E910" s="943"/>
      <c r="F910" s="943"/>
      <c r="G910" s="943"/>
      <c r="H910" s="943"/>
      <c r="I910" s="943"/>
      <c r="J910" s="943"/>
      <c r="K910" s="943"/>
      <c r="L910" s="943"/>
      <c r="M910" s="943"/>
      <c r="N910" s="943"/>
      <c r="O910" s="943"/>
      <c r="P910" s="943"/>
      <c r="Q910" s="943"/>
      <c r="R910" s="943"/>
      <c r="S910" s="943"/>
      <c r="T910" s="943"/>
      <c r="U910" s="943"/>
      <c r="V910" s="943"/>
      <c r="W910" s="943"/>
      <c r="X910" s="943"/>
      <c r="Y910" s="943"/>
      <c r="Z910" s="943"/>
      <c r="AA910" s="943"/>
      <c r="AB910" s="943"/>
      <c r="AC910" s="943"/>
      <c r="AD910" s="943"/>
      <c r="AE910" s="943"/>
    </row>
    <row r="911" spans="1:31" ht="15.75" customHeight="1">
      <c r="A911" s="943"/>
      <c r="B911" s="943"/>
      <c r="C911" s="943"/>
      <c r="D911" s="943"/>
      <c r="E911" s="943"/>
      <c r="F911" s="943"/>
      <c r="G911" s="943"/>
      <c r="H911" s="943"/>
      <c r="I911" s="943"/>
      <c r="J911" s="943"/>
      <c r="K911" s="943"/>
      <c r="L911" s="943"/>
      <c r="M911" s="943"/>
      <c r="N911" s="943"/>
      <c r="O911" s="943"/>
      <c r="P911" s="943"/>
      <c r="Q911" s="943"/>
      <c r="R911" s="943"/>
      <c r="S911" s="943"/>
      <c r="T911" s="943"/>
      <c r="U911" s="943"/>
      <c r="V911" s="943"/>
      <c r="W911" s="943"/>
      <c r="X911" s="943"/>
      <c r="Y911" s="943"/>
      <c r="Z911" s="943"/>
      <c r="AA911" s="943"/>
      <c r="AB911" s="943"/>
      <c r="AC911" s="943"/>
      <c r="AD911" s="943"/>
      <c r="AE911" s="943"/>
    </row>
    <row r="912" spans="1:31" ht="15.75" customHeight="1">
      <c r="A912" s="943"/>
      <c r="B912" s="943"/>
      <c r="C912" s="943"/>
      <c r="D912" s="943"/>
      <c r="E912" s="943"/>
      <c r="F912" s="943"/>
      <c r="G912" s="943"/>
      <c r="H912" s="943"/>
      <c r="I912" s="943"/>
      <c r="J912" s="943"/>
      <c r="K912" s="943"/>
      <c r="L912" s="943"/>
      <c r="M912" s="943"/>
      <c r="N912" s="943"/>
      <c r="O912" s="943"/>
      <c r="P912" s="943"/>
      <c r="Q912" s="943"/>
      <c r="R912" s="943"/>
      <c r="S912" s="943"/>
      <c r="T912" s="943"/>
      <c r="U912" s="943"/>
      <c r="V912" s="943"/>
      <c r="W912" s="943"/>
      <c r="X912" s="943"/>
      <c r="Y912" s="943"/>
      <c r="Z912" s="943"/>
      <c r="AA912" s="943"/>
      <c r="AB912" s="943"/>
      <c r="AC912" s="943"/>
      <c r="AD912" s="943"/>
      <c r="AE912" s="943"/>
    </row>
    <row r="913" spans="1:31" ht="15.75" customHeight="1">
      <c r="A913" s="943"/>
      <c r="B913" s="943"/>
      <c r="C913" s="943"/>
      <c r="D913" s="943"/>
      <c r="E913" s="943"/>
      <c r="F913" s="943"/>
      <c r="G913" s="943"/>
      <c r="H913" s="943"/>
      <c r="I913" s="943"/>
      <c r="J913" s="943"/>
      <c r="K913" s="943"/>
      <c r="L913" s="943"/>
      <c r="M913" s="943"/>
      <c r="N913" s="943"/>
      <c r="O913" s="943"/>
      <c r="P913" s="943"/>
      <c r="Q913" s="943"/>
      <c r="R913" s="943"/>
      <c r="S913" s="943"/>
      <c r="T913" s="943"/>
      <c r="U913" s="943"/>
      <c r="V913" s="943"/>
      <c r="W913" s="943"/>
      <c r="X913" s="943"/>
      <c r="Y913" s="943"/>
      <c r="Z913" s="943"/>
      <c r="AA913" s="943"/>
      <c r="AB913" s="943"/>
      <c r="AC913" s="943"/>
      <c r="AD913" s="943"/>
      <c r="AE913" s="943"/>
    </row>
    <row r="914" spans="1:31" ht="15.75" customHeight="1">
      <c r="A914" s="943"/>
      <c r="B914" s="943"/>
      <c r="C914" s="943"/>
      <c r="D914" s="943"/>
      <c r="E914" s="943"/>
      <c r="F914" s="943"/>
      <c r="G914" s="943"/>
      <c r="H914" s="943"/>
      <c r="I914" s="943"/>
      <c r="J914" s="943"/>
      <c r="K914" s="943"/>
      <c r="L914" s="943"/>
      <c r="M914" s="943"/>
      <c r="N914" s="943"/>
      <c r="O914" s="943"/>
      <c r="P914" s="943"/>
      <c r="Q914" s="943"/>
      <c r="R914" s="943"/>
      <c r="S914" s="943"/>
      <c r="T914" s="943"/>
      <c r="U914" s="943"/>
      <c r="V914" s="943"/>
      <c r="W914" s="943"/>
      <c r="X914" s="943"/>
      <c r="Y914" s="943"/>
      <c r="Z914" s="943"/>
      <c r="AA914" s="943"/>
      <c r="AB914" s="943"/>
      <c r="AC914" s="943"/>
      <c r="AD914" s="943"/>
      <c r="AE914" s="943"/>
    </row>
    <row r="915" spans="1:31" ht="15.75" customHeight="1">
      <c r="A915" s="943"/>
      <c r="B915" s="943"/>
      <c r="C915" s="943"/>
      <c r="D915" s="943"/>
      <c r="E915" s="943"/>
      <c r="F915" s="943"/>
      <c r="G915" s="943"/>
      <c r="H915" s="943"/>
      <c r="I915" s="943"/>
      <c r="J915" s="943"/>
      <c r="K915" s="943"/>
      <c r="L915" s="943"/>
      <c r="M915" s="943"/>
      <c r="N915" s="943"/>
      <c r="O915" s="943"/>
      <c r="P915" s="943"/>
      <c r="Q915" s="943"/>
      <c r="R915" s="943"/>
      <c r="S915" s="943"/>
      <c r="T915" s="943"/>
      <c r="U915" s="943"/>
      <c r="V915" s="943"/>
      <c r="W915" s="943"/>
      <c r="X915" s="943"/>
      <c r="Y915" s="943"/>
      <c r="Z915" s="943"/>
      <c r="AA915" s="943"/>
      <c r="AB915" s="943"/>
      <c r="AC915" s="943"/>
      <c r="AD915" s="943"/>
      <c r="AE915" s="943"/>
    </row>
    <row r="916" spans="1:31" ht="15.75" customHeight="1">
      <c r="A916" s="943"/>
      <c r="B916" s="943"/>
      <c r="C916" s="943"/>
      <c r="D916" s="943"/>
      <c r="E916" s="943"/>
      <c r="F916" s="943"/>
      <c r="G916" s="943"/>
      <c r="H916" s="943"/>
      <c r="I916" s="943"/>
      <c r="J916" s="943"/>
      <c r="K916" s="943"/>
      <c r="L916" s="943"/>
      <c r="M916" s="943"/>
      <c r="N916" s="943"/>
      <c r="O916" s="943"/>
      <c r="P916" s="943"/>
      <c r="Q916" s="943"/>
      <c r="R916" s="943"/>
      <c r="S916" s="943"/>
      <c r="T916" s="943"/>
      <c r="U916" s="943"/>
      <c r="V916" s="943"/>
      <c r="W916" s="943"/>
      <c r="X916" s="943"/>
      <c r="Y916" s="943"/>
      <c r="Z916" s="943"/>
      <c r="AA916" s="943"/>
      <c r="AB916" s="943"/>
      <c r="AC916" s="943"/>
      <c r="AD916" s="943"/>
      <c r="AE916" s="943"/>
    </row>
    <row r="917" spans="1:31" ht="15.75" customHeight="1">
      <c r="A917" s="943"/>
      <c r="B917" s="943"/>
      <c r="C917" s="943"/>
      <c r="D917" s="943"/>
      <c r="E917" s="943"/>
      <c r="F917" s="943"/>
      <c r="G917" s="943"/>
      <c r="H917" s="943"/>
      <c r="I917" s="943"/>
      <c r="J917" s="943"/>
      <c r="K917" s="943"/>
      <c r="L917" s="943"/>
      <c r="M917" s="943"/>
      <c r="N917" s="943"/>
      <c r="O917" s="943"/>
      <c r="P917" s="943"/>
      <c r="Q917" s="943"/>
      <c r="R917" s="943"/>
      <c r="S917" s="943"/>
      <c r="T917" s="943"/>
      <c r="U917" s="943"/>
      <c r="V917" s="943"/>
      <c r="W917" s="943"/>
      <c r="X917" s="943"/>
      <c r="Y917" s="943"/>
      <c r="Z917" s="943"/>
      <c r="AA917" s="943"/>
      <c r="AB917" s="943"/>
      <c r="AC917" s="943"/>
      <c r="AD917" s="943"/>
      <c r="AE917" s="943"/>
    </row>
    <row r="918" spans="1:31" ht="15.75" customHeight="1">
      <c r="A918" s="943"/>
      <c r="B918" s="943"/>
      <c r="C918" s="943"/>
      <c r="D918" s="943"/>
      <c r="E918" s="943"/>
      <c r="F918" s="943"/>
      <c r="G918" s="943"/>
      <c r="H918" s="943"/>
      <c r="I918" s="943"/>
      <c r="J918" s="943"/>
      <c r="K918" s="943"/>
      <c r="L918" s="943"/>
      <c r="M918" s="943"/>
      <c r="N918" s="943"/>
      <c r="O918" s="943"/>
      <c r="P918" s="943"/>
      <c r="Q918" s="943"/>
      <c r="R918" s="943"/>
      <c r="S918" s="943"/>
      <c r="T918" s="943"/>
      <c r="U918" s="943"/>
      <c r="V918" s="943"/>
      <c r="W918" s="943"/>
      <c r="X918" s="943"/>
      <c r="Y918" s="943"/>
      <c r="Z918" s="943"/>
      <c r="AA918" s="943"/>
      <c r="AB918" s="943"/>
      <c r="AC918" s="943"/>
      <c r="AD918" s="943"/>
      <c r="AE918" s="943"/>
    </row>
    <row r="919" spans="1:31" ht="15.75" customHeight="1">
      <c r="A919" s="943"/>
      <c r="B919" s="943"/>
      <c r="C919" s="943"/>
      <c r="D919" s="943"/>
      <c r="E919" s="943"/>
      <c r="F919" s="943"/>
      <c r="G919" s="943"/>
      <c r="H919" s="943"/>
      <c r="I919" s="943"/>
      <c r="J919" s="943"/>
      <c r="K919" s="943"/>
      <c r="L919" s="943"/>
      <c r="M919" s="943"/>
      <c r="N919" s="943"/>
      <c r="O919" s="943"/>
      <c r="P919" s="943"/>
      <c r="Q919" s="943"/>
      <c r="R919" s="943"/>
      <c r="S919" s="943"/>
      <c r="T919" s="943"/>
      <c r="U919" s="943"/>
      <c r="V919" s="943"/>
      <c r="W919" s="943"/>
      <c r="X919" s="943"/>
      <c r="Y919" s="943"/>
      <c r="Z919" s="943"/>
      <c r="AA919" s="943"/>
      <c r="AB919" s="943"/>
      <c r="AC919" s="943"/>
      <c r="AD919" s="943"/>
      <c r="AE919" s="943"/>
    </row>
    <row r="920" spans="1:31" ht="15.75" customHeight="1">
      <c r="A920" s="943"/>
      <c r="B920" s="943"/>
      <c r="C920" s="943"/>
      <c r="D920" s="943"/>
      <c r="E920" s="943"/>
      <c r="F920" s="943"/>
      <c r="G920" s="943"/>
      <c r="H920" s="943"/>
      <c r="I920" s="943"/>
      <c r="J920" s="943"/>
      <c r="K920" s="943"/>
      <c r="L920" s="943"/>
      <c r="M920" s="943"/>
      <c r="N920" s="943"/>
      <c r="O920" s="943"/>
      <c r="P920" s="943"/>
      <c r="Q920" s="943"/>
      <c r="R920" s="943"/>
      <c r="S920" s="943"/>
      <c r="T920" s="943"/>
      <c r="U920" s="943"/>
      <c r="V920" s="943"/>
      <c r="W920" s="943"/>
      <c r="X920" s="943"/>
      <c r="Y920" s="943"/>
      <c r="Z920" s="943"/>
      <c r="AA920" s="943"/>
      <c r="AB920" s="943"/>
      <c r="AC920" s="943"/>
      <c r="AD920" s="943"/>
      <c r="AE920" s="943"/>
    </row>
    <row r="921" spans="1:31" ht="15.75" customHeight="1">
      <c r="A921" s="943"/>
      <c r="B921" s="943"/>
      <c r="C921" s="943"/>
      <c r="D921" s="943"/>
      <c r="E921" s="943"/>
      <c r="F921" s="943"/>
      <c r="G921" s="943"/>
      <c r="H921" s="943"/>
      <c r="I921" s="943"/>
      <c r="J921" s="943"/>
      <c r="K921" s="943"/>
      <c r="L921" s="943"/>
      <c r="M921" s="943"/>
      <c r="N921" s="943"/>
      <c r="O921" s="943"/>
      <c r="P921" s="943"/>
      <c r="Q921" s="943"/>
      <c r="R921" s="943"/>
      <c r="S921" s="943"/>
      <c r="T921" s="943"/>
      <c r="U921" s="943"/>
      <c r="V921" s="943"/>
      <c r="W921" s="943"/>
      <c r="X921" s="943"/>
      <c r="Y921" s="943"/>
      <c r="Z921" s="943"/>
      <c r="AA921" s="943"/>
      <c r="AB921" s="943"/>
      <c r="AC921" s="943"/>
      <c r="AD921" s="943"/>
      <c r="AE921" s="943"/>
    </row>
    <row r="922" spans="1:31" ht="15.75" customHeight="1">
      <c r="A922" s="943"/>
      <c r="B922" s="943"/>
      <c r="C922" s="943"/>
      <c r="D922" s="943"/>
      <c r="E922" s="943"/>
      <c r="F922" s="943"/>
      <c r="G922" s="943"/>
      <c r="H922" s="943"/>
      <c r="I922" s="943"/>
      <c r="J922" s="943"/>
      <c r="K922" s="943"/>
      <c r="L922" s="943"/>
      <c r="M922" s="943"/>
      <c r="N922" s="943"/>
      <c r="O922" s="943"/>
      <c r="P922" s="943"/>
      <c r="Q922" s="943"/>
      <c r="R922" s="943"/>
      <c r="S922" s="943"/>
      <c r="T922" s="943"/>
      <c r="U922" s="943"/>
      <c r="V922" s="943"/>
      <c r="W922" s="943"/>
      <c r="X922" s="943"/>
      <c r="Y922" s="943"/>
      <c r="Z922" s="943"/>
      <c r="AA922" s="943"/>
      <c r="AB922" s="943"/>
      <c r="AC922" s="943"/>
      <c r="AD922" s="943"/>
      <c r="AE922" s="943"/>
    </row>
    <row r="923" spans="1:31" ht="15.75" customHeight="1">
      <c r="A923" s="943"/>
      <c r="B923" s="943"/>
      <c r="C923" s="943"/>
      <c r="D923" s="943"/>
      <c r="E923" s="943"/>
      <c r="F923" s="943"/>
      <c r="G923" s="943"/>
      <c r="H923" s="943"/>
      <c r="I923" s="943"/>
      <c r="J923" s="943"/>
      <c r="K923" s="943"/>
      <c r="L923" s="943"/>
      <c r="M923" s="943"/>
      <c r="N923" s="943"/>
      <c r="O923" s="943"/>
      <c r="P923" s="943"/>
      <c r="Q923" s="943"/>
      <c r="R923" s="943"/>
      <c r="S923" s="943"/>
      <c r="T923" s="943"/>
      <c r="U923" s="943"/>
      <c r="V923" s="943"/>
      <c r="W923" s="943"/>
      <c r="X923" s="943"/>
      <c r="Y923" s="943"/>
      <c r="Z923" s="943"/>
      <c r="AA923" s="943"/>
      <c r="AB923" s="943"/>
      <c r="AC923" s="943"/>
      <c r="AD923" s="943"/>
      <c r="AE923" s="943"/>
    </row>
    <row r="924" spans="1:31" ht="15.75" customHeight="1">
      <c r="A924" s="943"/>
      <c r="B924" s="943"/>
      <c r="C924" s="943"/>
      <c r="D924" s="943"/>
      <c r="E924" s="943"/>
      <c r="F924" s="943"/>
      <c r="G924" s="943"/>
      <c r="H924" s="943"/>
      <c r="I924" s="943"/>
      <c r="J924" s="943"/>
      <c r="K924" s="943"/>
      <c r="L924" s="943"/>
      <c r="M924" s="943"/>
      <c r="N924" s="943"/>
      <c r="O924" s="943"/>
      <c r="P924" s="943"/>
      <c r="Q924" s="943"/>
      <c r="R924" s="943"/>
      <c r="S924" s="943"/>
      <c r="T924" s="943"/>
      <c r="U924" s="943"/>
      <c r="V924" s="943"/>
      <c r="W924" s="943"/>
      <c r="X924" s="943"/>
      <c r="Y924" s="943"/>
      <c r="Z924" s="943"/>
      <c r="AA924" s="943"/>
      <c r="AB924" s="943"/>
      <c r="AC924" s="943"/>
      <c r="AD924" s="943"/>
      <c r="AE924" s="943"/>
    </row>
    <row r="925" spans="1:31" ht="15.75" customHeight="1">
      <c r="A925" s="943"/>
      <c r="B925" s="943"/>
      <c r="C925" s="943"/>
      <c r="D925" s="943"/>
      <c r="E925" s="943"/>
      <c r="F925" s="943"/>
      <c r="G925" s="943"/>
      <c r="H925" s="943"/>
      <c r="I925" s="943"/>
      <c r="J925" s="943"/>
      <c r="K925" s="943"/>
      <c r="L925" s="943"/>
      <c r="M925" s="943"/>
      <c r="N925" s="943"/>
      <c r="O925" s="943"/>
      <c r="P925" s="943"/>
      <c r="Q925" s="943"/>
      <c r="R925" s="943"/>
      <c r="S925" s="943"/>
      <c r="T925" s="943"/>
      <c r="U925" s="943"/>
      <c r="V925" s="943"/>
      <c r="W925" s="943"/>
      <c r="X925" s="943"/>
      <c r="Y925" s="943"/>
      <c r="Z925" s="943"/>
      <c r="AA925" s="943"/>
      <c r="AB925" s="943"/>
      <c r="AC925" s="943"/>
      <c r="AD925" s="943"/>
      <c r="AE925" s="943"/>
    </row>
    <row r="926" spans="1:31" ht="15.75" customHeight="1">
      <c r="A926" s="943"/>
      <c r="B926" s="943"/>
      <c r="C926" s="943"/>
      <c r="D926" s="943"/>
      <c r="E926" s="943"/>
      <c r="F926" s="943"/>
      <c r="G926" s="943"/>
      <c r="H926" s="943"/>
      <c r="I926" s="943"/>
      <c r="J926" s="943"/>
      <c r="K926" s="943"/>
      <c r="L926" s="943"/>
      <c r="M926" s="943"/>
      <c r="N926" s="943"/>
      <c r="O926" s="943"/>
      <c r="P926" s="943"/>
      <c r="Q926" s="943"/>
      <c r="R926" s="943"/>
      <c r="S926" s="943"/>
      <c r="T926" s="943"/>
      <c r="U926" s="943"/>
      <c r="V926" s="943"/>
      <c r="W926" s="943"/>
      <c r="X926" s="943"/>
      <c r="Y926" s="943"/>
      <c r="Z926" s="943"/>
      <c r="AA926" s="943"/>
      <c r="AB926" s="943"/>
      <c r="AC926" s="943"/>
      <c r="AD926" s="943"/>
      <c r="AE926" s="943"/>
    </row>
    <row r="927" spans="1:31" ht="15.75" customHeight="1">
      <c r="A927" s="943"/>
      <c r="B927" s="943"/>
      <c r="C927" s="943"/>
      <c r="D927" s="943"/>
      <c r="E927" s="943"/>
      <c r="F927" s="943"/>
      <c r="G927" s="943"/>
      <c r="H927" s="943"/>
      <c r="I927" s="943"/>
      <c r="J927" s="943"/>
      <c r="K927" s="943"/>
      <c r="L927" s="943"/>
      <c r="M927" s="943"/>
      <c r="N927" s="943"/>
      <c r="O927" s="943"/>
      <c r="P927" s="943"/>
      <c r="Q927" s="943"/>
      <c r="R927" s="943"/>
      <c r="S927" s="943"/>
      <c r="T927" s="943"/>
      <c r="U927" s="943"/>
      <c r="V927" s="943"/>
      <c r="W927" s="943"/>
      <c r="X927" s="943"/>
      <c r="Y927" s="943"/>
      <c r="Z927" s="943"/>
      <c r="AA927" s="943"/>
      <c r="AB927" s="943"/>
      <c r="AC927" s="943"/>
      <c r="AD927" s="943"/>
      <c r="AE927" s="943"/>
    </row>
    <row r="928" spans="1:31" ht="15.75" customHeight="1">
      <c r="A928" s="943"/>
      <c r="B928" s="943"/>
      <c r="C928" s="943"/>
      <c r="D928" s="943"/>
      <c r="E928" s="943"/>
      <c r="F928" s="943"/>
      <c r="G928" s="943"/>
      <c r="H928" s="943"/>
      <c r="I928" s="943"/>
      <c r="J928" s="943"/>
      <c r="K928" s="943"/>
      <c r="L928" s="943"/>
      <c r="M928" s="943"/>
      <c r="N928" s="943"/>
      <c r="O928" s="943"/>
      <c r="P928" s="943"/>
      <c r="Q928" s="943"/>
      <c r="R928" s="943"/>
      <c r="S928" s="943"/>
      <c r="T928" s="943"/>
      <c r="U928" s="943"/>
      <c r="V928" s="943"/>
      <c r="W928" s="943"/>
      <c r="X928" s="943"/>
      <c r="Y928" s="943"/>
      <c r="Z928" s="943"/>
      <c r="AA928" s="943"/>
      <c r="AB928" s="943"/>
      <c r="AC928" s="943"/>
      <c r="AD928" s="943"/>
      <c r="AE928" s="943"/>
    </row>
    <row r="929" spans="1:31" ht="15.75" customHeight="1">
      <c r="A929" s="943"/>
      <c r="B929" s="943"/>
      <c r="C929" s="943"/>
      <c r="D929" s="943"/>
      <c r="E929" s="943"/>
      <c r="F929" s="943"/>
      <c r="G929" s="943"/>
      <c r="H929" s="943"/>
      <c r="I929" s="943"/>
      <c r="J929" s="943"/>
      <c r="K929" s="943"/>
      <c r="L929" s="943"/>
      <c r="M929" s="943"/>
      <c r="N929" s="943"/>
      <c r="O929" s="943"/>
      <c r="P929" s="943"/>
      <c r="Q929" s="943"/>
      <c r="R929" s="943"/>
      <c r="S929" s="943"/>
      <c r="T929" s="943"/>
      <c r="U929" s="943"/>
      <c r="V929" s="943"/>
      <c r="W929" s="943"/>
      <c r="X929" s="943"/>
      <c r="Y929" s="943"/>
      <c r="Z929" s="943"/>
      <c r="AA929" s="943"/>
      <c r="AB929" s="943"/>
      <c r="AC929" s="943"/>
      <c r="AD929" s="943"/>
      <c r="AE929" s="943"/>
    </row>
    <row r="930" spans="1:31" ht="15.75" customHeight="1">
      <c r="A930" s="943"/>
      <c r="B930" s="943"/>
      <c r="C930" s="943"/>
      <c r="D930" s="943"/>
      <c r="E930" s="943"/>
      <c r="F930" s="943"/>
      <c r="G930" s="943"/>
      <c r="H930" s="943"/>
      <c r="I930" s="943"/>
      <c r="J930" s="943"/>
      <c r="K930" s="943"/>
      <c r="L930" s="943"/>
      <c r="M930" s="943"/>
      <c r="N930" s="943"/>
      <c r="O930" s="943"/>
      <c r="P930" s="943"/>
      <c r="Q930" s="943"/>
      <c r="R930" s="943"/>
      <c r="S930" s="943"/>
      <c r="T930" s="943"/>
      <c r="U930" s="943"/>
      <c r="V930" s="943"/>
      <c r="W930" s="943"/>
      <c r="X930" s="943"/>
      <c r="Y930" s="943"/>
      <c r="Z930" s="943"/>
      <c r="AA930" s="943"/>
      <c r="AB930" s="943"/>
      <c r="AC930" s="943"/>
      <c r="AD930" s="943"/>
      <c r="AE930" s="943"/>
    </row>
    <row r="931" spans="1:31" ht="15.75" customHeight="1">
      <c r="A931" s="943"/>
      <c r="B931" s="943"/>
      <c r="C931" s="943"/>
      <c r="D931" s="943"/>
      <c r="E931" s="943"/>
      <c r="F931" s="943"/>
      <c r="G931" s="943"/>
      <c r="H931" s="943"/>
      <c r="I931" s="943"/>
      <c r="J931" s="943"/>
      <c r="K931" s="943"/>
      <c r="L931" s="943"/>
      <c r="M931" s="943"/>
      <c r="N931" s="943"/>
      <c r="O931" s="943"/>
      <c r="P931" s="943"/>
      <c r="Q931" s="943"/>
      <c r="R931" s="943"/>
      <c r="S931" s="943"/>
      <c r="T931" s="943"/>
      <c r="U931" s="943"/>
      <c r="V931" s="943"/>
      <c r="W931" s="943"/>
      <c r="X931" s="943"/>
      <c r="Y931" s="943"/>
      <c r="Z931" s="943"/>
      <c r="AA931" s="943"/>
      <c r="AB931" s="943"/>
      <c r="AC931" s="943"/>
      <c r="AD931" s="943"/>
      <c r="AE931" s="943"/>
    </row>
    <row r="932" spans="1:31" ht="15.75" customHeight="1">
      <c r="A932" s="943"/>
      <c r="B932" s="943"/>
      <c r="C932" s="943"/>
      <c r="D932" s="943"/>
      <c r="E932" s="943"/>
      <c r="F932" s="943"/>
      <c r="G932" s="943"/>
      <c r="H932" s="943"/>
      <c r="I932" s="943"/>
      <c r="J932" s="943"/>
      <c r="K932" s="943"/>
      <c r="L932" s="943"/>
      <c r="M932" s="943"/>
      <c r="N932" s="943"/>
      <c r="O932" s="943"/>
      <c r="P932" s="943"/>
      <c r="Q932" s="943"/>
      <c r="R932" s="943"/>
      <c r="S932" s="943"/>
      <c r="T932" s="943"/>
      <c r="U932" s="943"/>
      <c r="V932" s="943"/>
      <c r="W932" s="943"/>
      <c r="X932" s="943"/>
      <c r="Y932" s="943"/>
      <c r="Z932" s="943"/>
      <c r="AA932" s="943"/>
      <c r="AB932" s="943"/>
      <c r="AC932" s="943"/>
      <c r="AD932" s="943"/>
      <c r="AE932" s="943"/>
    </row>
    <row r="933" spans="1:31" ht="15.75" customHeight="1">
      <c r="A933" s="943"/>
      <c r="B933" s="943"/>
      <c r="C933" s="943"/>
      <c r="D933" s="943"/>
      <c r="E933" s="943"/>
      <c r="F933" s="943"/>
      <c r="G933" s="943"/>
      <c r="H933" s="943"/>
      <c r="I933" s="943"/>
      <c r="J933" s="943"/>
      <c r="K933" s="943"/>
      <c r="L933" s="943"/>
      <c r="M933" s="943"/>
      <c r="N933" s="943"/>
      <c r="O933" s="943"/>
      <c r="P933" s="943"/>
      <c r="Q933" s="943"/>
      <c r="R933" s="943"/>
      <c r="S933" s="943"/>
      <c r="T933" s="943"/>
      <c r="U933" s="943"/>
      <c r="V933" s="943"/>
      <c r="W933" s="943"/>
      <c r="X933" s="943"/>
      <c r="Y933" s="943"/>
      <c r="Z933" s="943"/>
      <c r="AA933" s="943"/>
      <c r="AB933" s="943"/>
      <c r="AC933" s="943"/>
      <c r="AD933" s="943"/>
      <c r="AE933" s="943"/>
    </row>
    <row r="934" spans="1:31" ht="15.75" customHeight="1">
      <c r="A934" s="943"/>
      <c r="B934" s="943"/>
      <c r="C934" s="943"/>
      <c r="D934" s="943"/>
      <c r="E934" s="943"/>
      <c r="F934" s="943"/>
      <c r="G934" s="943"/>
      <c r="H934" s="943"/>
      <c r="I934" s="943"/>
      <c r="J934" s="943"/>
      <c r="K934" s="943"/>
      <c r="L934" s="943"/>
      <c r="M934" s="943"/>
      <c r="N934" s="943"/>
      <c r="O934" s="943"/>
      <c r="P934" s="943"/>
      <c r="Q934" s="943"/>
      <c r="R934" s="943"/>
      <c r="S934" s="943"/>
      <c r="T934" s="943"/>
      <c r="U934" s="943"/>
      <c r="V934" s="943"/>
      <c r="W934" s="943"/>
      <c r="X934" s="943"/>
      <c r="Y934" s="943"/>
      <c r="Z934" s="943"/>
      <c r="AA934" s="943"/>
      <c r="AB934" s="943"/>
      <c r="AC934" s="943"/>
      <c r="AD934" s="943"/>
      <c r="AE934" s="943"/>
    </row>
    <row r="935" spans="1:31" ht="15.75" customHeight="1">
      <c r="A935" s="943"/>
      <c r="B935" s="943"/>
      <c r="C935" s="943"/>
      <c r="D935" s="943"/>
      <c r="E935" s="943"/>
      <c r="F935" s="943"/>
      <c r="G935" s="943"/>
      <c r="H935" s="943"/>
      <c r="I935" s="943"/>
      <c r="J935" s="943"/>
      <c r="K935" s="943"/>
      <c r="L935" s="943"/>
      <c r="M935" s="943"/>
      <c r="N935" s="943"/>
      <c r="O935" s="943"/>
      <c r="P935" s="943"/>
      <c r="Q935" s="943"/>
      <c r="R935" s="943"/>
      <c r="S935" s="943"/>
      <c r="T935" s="943"/>
      <c r="U935" s="943"/>
      <c r="V935" s="943"/>
      <c r="W935" s="943"/>
      <c r="X935" s="943"/>
      <c r="Y935" s="943"/>
      <c r="Z935" s="943"/>
      <c r="AA935" s="943"/>
      <c r="AB935" s="943"/>
      <c r="AC935" s="943"/>
      <c r="AD935" s="943"/>
      <c r="AE935" s="943"/>
    </row>
    <row r="936" spans="1:31" ht="15.75" customHeight="1">
      <c r="A936" s="943"/>
      <c r="B936" s="943"/>
      <c r="C936" s="943"/>
      <c r="D936" s="943"/>
      <c r="E936" s="943"/>
      <c r="F936" s="943"/>
      <c r="G936" s="943"/>
      <c r="H936" s="943"/>
      <c r="I936" s="943"/>
      <c r="J936" s="943"/>
      <c r="K936" s="943"/>
      <c r="L936" s="943"/>
      <c r="M936" s="943"/>
      <c r="N936" s="943"/>
      <c r="O936" s="943"/>
      <c r="P936" s="943"/>
      <c r="Q936" s="943"/>
      <c r="R936" s="943"/>
      <c r="S936" s="943"/>
      <c r="T936" s="943"/>
      <c r="U936" s="943"/>
      <c r="V936" s="943"/>
      <c r="W936" s="943"/>
      <c r="X936" s="943"/>
      <c r="Y936" s="943"/>
      <c r="Z936" s="943"/>
      <c r="AA936" s="943"/>
      <c r="AB936" s="943"/>
      <c r="AC936" s="943"/>
      <c r="AD936" s="943"/>
      <c r="AE936" s="943"/>
    </row>
    <row r="937" spans="1:31" ht="15.75" customHeight="1">
      <c r="A937" s="943"/>
      <c r="B937" s="943"/>
      <c r="C937" s="943"/>
      <c r="D937" s="943"/>
      <c r="E937" s="943"/>
      <c r="F937" s="943"/>
      <c r="G937" s="943"/>
      <c r="H937" s="943"/>
      <c r="I937" s="943"/>
      <c r="J937" s="943"/>
      <c r="K937" s="943"/>
      <c r="L937" s="943"/>
      <c r="M937" s="943"/>
      <c r="N937" s="943"/>
      <c r="O937" s="943"/>
      <c r="P937" s="943"/>
      <c r="Q937" s="943"/>
      <c r="R937" s="943"/>
      <c r="S937" s="943"/>
      <c r="T937" s="943"/>
      <c r="U937" s="943"/>
      <c r="V937" s="943"/>
      <c r="W937" s="943"/>
      <c r="X937" s="943"/>
      <c r="Y937" s="943"/>
      <c r="Z937" s="943"/>
      <c r="AA937" s="943"/>
      <c r="AB937" s="943"/>
      <c r="AC937" s="943"/>
      <c r="AD937" s="943"/>
      <c r="AE937" s="943"/>
    </row>
    <row r="938" spans="1:31" ht="15.75" customHeight="1">
      <c r="A938" s="943"/>
      <c r="B938" s="943"/>
      <c r="C938" s="943"/>
      <c r="D938" s="943"/>
      <c r="E938" s="943"/>
      <c r="F938" s="943"/>
      <c r="G938" s="943"/>
      <c r="H938" s="943"/>
      <c r="I938" s="943"/>
      <c r="J938" s="943"/>
      <c r="K938" s="943"/>
      <c r="L938" s="943"/>
      <c r="M938" s="943"/>
      <c r="N938" s="943"/>
      <c r="O938" s="943"/>
      <c r="P938" s="943"/>
      <c r="Q938" s="943"/>
      <c r="R938" s="943"/>
      <c r="S938" s="943"/>
      <c r="T938" s="943"/>
      <c r="U938" s="943"/>
      <c r="V938" s="943"/>
      <c r="W938" s="943"/>
      <c r="X938" s="943"/>
      <c r="Y938" s="943"/>
      <c r="Z938" s="943"/>
      <c r="AA938" s="943"/>
      <c r="AB938" s="943"/>
      <c r="AC938" s="943"/>
      <c r="AD938" s="943"/>
      <c r="AE938" s="943"/>
    </row>
    <row r="939" spans="1:31" ht="15.75" customHeight="1">
      <c r="A939" s="943"/>
      <c r="B939" s="943"/>
      <c r="C939" s="943"/>
      <c r="D939" s="943"/>
      <c r="E939" s="943"/>
      <c r="F939" s="943"/>
      <c r="G939" s="943"/>
      <c r="H939" s="943"/>
      <c r="I939" s="943"/>
      <c r="J939" s="943"/>
      <c r="K939" s="943"/>
      <c r="L939" s="943"/>
      <c r="M939" s="943"/>
      <c r="N939" s="943"/>
      <c r="O939" s="943"/>
      <c r="P939" s="943"/>
      <c r="Q939" s="943"/>
      <c r="R939" s="943"/>
      <c r="S939" s="943"/>
      <c r="T939" s="943"/>
      <c r="U939" s="943"/>
      <c r="V939" s="943"/>
      <c r="W939" s="943"/>
      <c r="X939" s="943"/>
      <c r="Y939" s="943"/>
      <c r="Z939" s="943"/>
      <c r="AA939" s="943"/>
      <c r="AB939" s="943"/>
      <c r="AC939" s="943"/>
      <c r="AD939" s="943"/>
      <c r="AE939" s="943"/>
    </row>
    <row r="940" spans="1:31" ht="15.75" customHeight="1">
      <c r="A940" s="943"/>
      <c r="B940" s="943"/>
      <c r="C940" s="943"/>
      <c r="D940" s="943"/>
      <c r="E940" s="943"/>
      <c r="F940" s="943"/>
      <c r="G940" s="943"/>
      <c r="H940" s="943"/>
      <c r="I940" s="943"/>
      <c r="J940" s="943"/>
      <c r="K940" s="943"/>
      <c r="L940" s="943"/>
      <c r="M940" s="943"/>
      <c r="N940" s="943"/>
      <c r="O940" s="943"/>
      <c r="P940" s="943"/>
      <c r="Q940" s="943"/>
      <c r="R940" s="943"/>
      <c r="S940" s="943"/>
      <c r="T940" s="943"/>
      <c r="U940" s="943"/>
      <c r="V940" s="943"/>
      <c r="W940" s="943"/>
      <c r="X940" s="943"/>
      <c r="Y940" s="943"/>
      <c r="Z940" s="943"/>
      <c r="AA940" s="943"/>
      <c r="AB940" s="943"/>
      <c r="AC940" s="943"/>
      <c r="AD940" s="943"/>
      <c r="AE940" s="943"/>
    </row>
    <row r="941" spans="1:31" ht="15.75" customHeight="1">
      <c r="A941" s="943"/>
      <c r="B941" s="943"/>
      <c r="C941" s="943"/>
      <c r="D941" s="943"/>
      <c r="E941" s="943"/>
      <c r="F941" s="943"/>
      <c r="G941" s="943"/>
      <c r="H941" s="943"/>
      <c r="I941" s="943"/>
      <c r="J941" s="943"/>
      <c r="K941" s="943"/>
      <c r="L941" s="943"/>
      <c r="M941" s="943"/>
      <c r="N941" s="943"/>
      <c r="O941" s="943"/>
      <c r="P941" s="943"/>
      <c r="Q941" s="943"/>
      <c r="R941" s="943"/>
      <c r="S941" s="943"/>
      <c r="T941" s="943"/>
      <c r="U941" s="943"/>
      <c r="V941" s="943"/>
      <c r="W941" s="943"/>
      <c r="X941" s="943"/>
      <c r="Y941" s="943"/>
      <c r="Z941" s="943"/>
      <c r="AA941" s="943"/>
      <c r="AB941" s="943"/>
      <c r="AC941" s="943"/>
      <c r="AD941" s="943"/>
      <c r="AE941" s="943"/>
    </row>
    <row r="942" spans="1:31" ht="15.75" customHeight="1">
      <c r="A942" s="943"/>
      <c r="B942" s="943"/>
      <c r="C942" s="943"/>
      <c r="D942" s="943"/>
      <c r="E942" s="943"/>
      <c r="F942" s="943"/>
      <c r="G942" s="943"/>
      <c r="H942" s="943"/>
      <c r="I942" s="943"/>
      <c r="J942" s="943"/>
      <c r="K942" s="943"/>
      <c r="L942" s="943"/>
      <c r="M942" s="943"/>
      <c r="N942" s="943"/>
      <c r="O942" s="943"/>
      <c r="P942" s="943"/>
      <c r="Q942" s="943"/>
      <c r="R942" s="943"/>
      <c r="S942" s="943"/>
      <c r="T942" s="943"/>
      <c r="U942" s="943"/>
      <c r="V942" s="943"/>
      <c r="W942" s="943"/>
      <c r="X942" s="943"/>
      <c r="Y942" s="943"/>
      <c r="Z942" s="943"/>
      <c r="AA942" s="943"/>
      <c r="AB942" s="943"/>
      <c r="AC942" s="943"/>
      <c r="AD942" s="943"/>
      <c r="AE942" s="943"/>
    </row>
    <row r="943" spans="1:31" ht="15.75" customHeight="1">
      <c r="A943" s="943"/>
      <c r="B943" s="943"/>
      <c r="C943" s="943"/>
      <c r="D943" s="943"/>
      <c r="E943" s="943"/>
      <c r="F943" s="943"/>
      <c r="G943" s="943"/>
      <c r="H943" s="943"/>
      <c r="I943" s="943"/>
      <c r="J943" s="943"/>
      <c r="K943" s="943"/>
      <c r="L943" s="943"/>
      <c r="M943" s="943"/>
      <c r="N943" s="943"/>
      <c r="O943" s="943"/>
      <c r="P943" s="943"/>
      <c r="Q943" s="943"/>
      <c r="R943" s="943"/>
      <c r="S943" s="943"/>
      <c r="T943" s="943"/>
      <c r="U943" s="943"/>
      <c r="V943" s="943"/>
      <c r="W943" s="943"/>
      <c r="X943" s="943"/>
      <c r="Y943" s="943"/>
      <c r="Z943" s="943"/>
      <c r="AA943" s="943"/>
      <c r="AB943" s="943"/>
      <c r="AC943" s="943"/>
      <c r="AD943" s="943"/>
      <c r="AE943" s="943"/>
    </row>
    <row r="944" spans="1:31" ht="15.75" customHeight="1">
      <c r="A944" s="943"/>
      <c r="B944" s="943"/>
      <c r="C944" s="943"/>
      <c r="D944" s="943"/>
      <c r="E944" s="943"/>
      <c r="F944" s="943"/>
      <c r="G944" s="943"/>
      <c r="H944" s="943"/>
      <c r="I944" s="943"/>
      <c r="J944" s="943"/>
      <c r="K944" s="943"/>
      <c r="L944" s="943"/>
      <c r="M944" s="943"/>
      <c r="N944" s="943"/>
      <c r="O944" s="943"/>
      <c r="P944" s="943"/>
      <c r="Q944" s="943"/>
      <c r="R944" s="943"/>
      <c r="S944" s="943"/>
      <c r="T944" s="943"/>
      <c r="U944" s="943"/>
      <c r="V944" s="943"/>
      <c r="W944" s="943"/>
      <c r="X944" s="943"/>
      <c r="Y944" s="943"/>
      <c r="Z944" s="943"/>
      <c r="AA944" s="943"/>
      <c r="AB944" s="943"/>
      <c r="AC944" s="943"/>
      <c r="AD944" s="943"/>
      <c r="AE944" s="943"/>
    </row>
    <row r="945" spans="1:31" ht="15.75" customHeight="1">
      <c r="A945" s="943"/>
      <c r="B945" s="943"/>
      <c r="C945" s="943"/>
      <c r="D945" s="943"/>
      <c r="E945" s="943"/>
      <c r="F945" s="943"/>
      <c r="G945" s="943"/>
      <c r="H945" s="943"/>
      <c r="I945" s="943"/>
      <c r="J945" s="943"/>
      <c r="K945" s="943"/>
      <c r="L945" s="943"/>
      <c r="M945" s="943"/>
      <c r="N945" s="943"/>
      <c r="O945" s="943"/>
      <c r="P945" s="943"/>
      <c r="Q945" s="943"/>
      <c r="R945" s="943"/>
      <c r="S945" s="943"/>
      <c r="T945" s="943"/>
      <c r="U945" s="943"/>
      <c r="V945" s="943"/>
      <c r="W945" s="943"/>
      <c r="X945" s="943"/>
      <c r="Y945" s="943"/>
      <c r="Z945" s="943"/>
      <c r="AA945" s="943"/>
      <c r="AB945" s="943"/>
      <c r="AC945" s="943"/>
      <c r="AD945" s="943"/>
      <c r="AE945" s="943"/>
    </row>
    <row r="946" spans="1:31" ht="15.75" customHeight="1">
      <c r="A946" s="943"/>
      <c r="B946" s="943"/>
      <c r="C946" s="943"/>
      <c r="D946" s="943"/>
      <c r="E946" s="943"/>
      <c r="F946" s="943"/>
      <c r="G946" s="943"/>
      <c r="H946" s="943"/>
      <c r="I946" s="943"/>
      <c r="J946" s="943"/>
      <c r="K946" s="943"/>
      <c r="L946" s="943"/>
      <c r="M946" s="943"/>
      <c r="N946" s="943"/>
      <c r="O946" s="943"/>
      <c r="P946" s="943"/>
      <c r="Q946" s="943"/>
      <c r="R946" s="943"/>
      <c r="S946" s="943"/>
      <c r="T946" s="943"/>
      <c r="U946" s="943"/>
      <c r="V946" s="943"/>
      <c r="W946" s="943"/>
      <c r="X946" s="943"/>
      <c r="Y946" s="943"/>
      <c r="Z946" s="943"/>
      <c r="AA946" s="943"/>
      <c r="AB946" s="943"/>
      <c r="AC946" s="943"/>
      <c r="AD946" s="943"/>
      <c r="AE946" s="943"/>
    </row>
    <row r="947" spans="1:31" ht="15.75" customHeight="1">
      <c r="A947" s="943"/>
      <c r="B947" s="943"/>
      <c r="C947" s="943"/>
      <c r="D947" s="943"/>
      <c r="E947" s="943"/>
      <c r="F947" s="943"/>
      <c r="G947" s="943"/>
      <c r="H947" s="943"/>
      <c r="I947" s="943"/>
      <c r="J947" s="943"/>
      <c r="K947" s="943"/>
      <c r="L947" s="943"/>
      <c r="M947" s="943"/>
      <c r="N947" s="943"/>
      <c r="O947" s="943"/>
      <c r="P947" s="943"/>
      <c r="Q947" s="943"/>
      <c r="R947" s="943"/>
      <c r="S947" s="943"/>
      <c r="T947" s="943"/>
      <c r="U947" s="943"/>
      <c r="V947" s="943"/>
      <c r="W947" s="943"/>
      <c r="X947" s="943"/>
      <c r="Y947" s="943"/>
      <c r="Z947" s="943"/>
      <c r="AA947" s="943"/>
      <c r="AB947" s="943"/>
      <c r="AC947" s="943"/>
      <c r="AD947" s="943"/>
      <c r="AE947" s="943"/>
    </row>
    <row r="948" spans="1:31" ht="15.75" customHeight="1">
      <c r="A948" s="943"/>
      <c r="B948" s="943"/>
      <c r="C948" s="943"/>
      <c r="D948" s="943"/>
      <c r="E948" s="943"/>
      <c r="F948" s="943"/>
      <c r="G948" s="943"/>
      <c r="H948" s="943"/>
      <c r="I948" s="943"/>
      <c r="J948" s="943"/>
      <c r="K948" s="943"/>
      <c r="L948" s="943"/>
      <c r="M948" s="943"/>
      <c r="N948" s="943"/>
      <c r="O948" s="943"/>
      <c r="P948" s="943"/>
      <c r="Q948" s="943"/>
      <c r="R948" s="943"/>
      <c r="S948" s="943"/>
      <c r="T948" s="943"/>
      <c r="U948" s="943"/>
      <c r="V948" s="943"/>
      <c r="W948" s="943"/>
      <c r="X948" s="943"/>
      <c r="Y948" s="943"/>
      <c r="Z948" s="943"/>
      <c r="AA948" s="943"/>
      <c r="AB948" s="943"/>
      <c r="AC948" s="943"/>
      <c r="AD948" s="943"/>
      <c r="AE948" s="943"/>
    </row>
    <row r="949" spans="1:31" ht="15.75" customHeight="1">
      <c r="A949" s="943"/>
      <c r="B949" s="943"/>
      <c r="C949" s="943"/>
      <c r="D949" s="943"/>
      <c r="E949" s="943"/>
      <c r="F949" s="943"/>
      <c r="G949" s="943"/>
      <c r="H949" s="943"/>
      <c r="I949" s="943"/>
      <c r="J949" s="943"/>
      <c r="K949" s="943"/>
      <c r="L949" s="943"/>
      <c r="M949" s="943"/>
      <c r="N949" s="943"/>
      <c r="O949" s="943"/>
      <c r="P949" s="943"/>
      <c r="Q949" s="943"/>
      <c r="R949" s="943"/>
      <c r="S949" s="943"/>
      <c r="T949" s="943"/>
      <c r="U949" s="943"/>
      <c r="V949" s="943"/>
      <c r="W949" s="943"/>
      <c r="X949" s="943"/>
      <c r="Y949" s="943"/>
      <c r="Z949" s="943"/>
      <c r="AA949" s="943"/>
      <c r="AB949" s="943"/>
      <c r="AC949" s="943"/>
      <c r="AD949" s="943"/>
      <c r="AE949" s="943"/>
    </row>
    <row r="950" spans="1:31" ht="15.75" customHeight="1">
      <c r="A950" s="943"/>
      <c r="B950" s="943"/>
      <c r="C950" s="943"/>
      <c r="D950" s="943"/>
      <c r="E950" s="943"/>
      <c r="F950" s="943"/>
      <c r="G950" s="943"/>
      <c r="H950" s="943"/>
      <c r="I950" s="943"/>
      <c r="J950" s="943"/>
      <c r="K950" s="943"/>
      <c r="L950" s="943"/>
      <c r="M950" s="943"/>
      <c r="N950" s="943"/>
      <c r="O950" s="943"/>
      <c r="P950" s="943"/>
      <c r="Q950" s="943"/>
      <c r="R950" s="943"/>
      <c r="S950" s="943"/>
      <c r="T950" s="943"/>
      <c r="U950" s="943"/>
      <c r="V950" s="943"/>
      <c r="W950" s="943"/>
      <c r="X950" s="943"/>
      <c r="Y950" s="943"/>
      <c r="Z950" s="943"/>
      <c r="AA950" s="943"/>
      <c r="AB950" s="943"/>
      <c r="AC950" s="943"/>
      <c r="AD950" s="943"/>
      <c r="AE950" s="943"/>
    </row>
    <row r="951" spans="1:31" ht="15.75" customHeight="1">
      <c r="A951" s="943"/>
      <c r="B951" s="943"/>
      <c r="C951" s="943"/>
      <c r="D951" s="943"/>
      <c r="E951" s="943"/>
      <c r="F951" s="943"/>
      <c r="G951" s="943"/>
      <c r="H951" s="943"/>
      <c r="I951" s="943"/>
      <c r="J951" s="943"/>
      <c r="K951" s="943"/>
      <c r="L951" s="943"/>
      <c r="M951" s="943"/>
      <c r="N951" s="943"/>
      <c r="O951" s="943"/>
      <c r="P951" s="943"/>
      <c r="Q951" s="943"/>
      <c r="R951" s="943"/>
      <c r="S951" s="943"/>
      <c r="T951" s="943"/>
      <c r="U951" s="943"/>
      <c r="V951" s="943"/>
      <c r="W951" s="943"/>
      <c r="X951" s="943"/>
      <c r="Y951" s="943"/>
      <c r="Z951" s="943"/>
      <c r="AA951" s="943"/>
      <c r="AB951" s="943"/>
      <c r="AC951" s="943"/>
      <c r="AD951" s="943"/>
      <c r="AE951" s="943"/>
    </row>
    <row r="952" spans="1:31" ht="15.75" customHeight="1">
      <c r="A952" s="943"/>
      <c r="B952" s="943"/>
      <c r="C952" s="943"/>
      <c r="D952" s="943"/>
      <c r="E952" s="943"/>
      <c r="F952" s="943"/>
      <c r="G952" s="943"/>
      <c r="H952" s="943"/>
      <c r="I952" s="943"/>
      <c r="J952" s="943"/>
      <c r="K952" s="943"/>
      <c r="L952" s="943"/>
      <c r="M952" s="943"/>
      <c r="N952" s="943"/>
      <c r="O952" s="943"/>
      <c r="P952" s="943"/>
      <c r="Q952" s="943"/>
      <c r="R952" s="943"/>
      <c r="S952" s="943"/>
      <c r="T952" s="943"/>
      <c r="U952" s="943"/>
      <c r="V952" s="943"/>
      <c r="W952" s="943"/>
      <c r="X952" s="943"/>
      <c r="Y952" s="943"/>
      <c r="Z952" s="943"/>
      <c r="AA952" s="943"/>
      <c r="AB952" s="943"/>
      <c r="AC952" s="943"/>
      <c r="AD952" s="943"/>
      <c r="AE952" s="943"/>
    </row>
    <row r="953" spans="1:31" ht="15.75" customHeight="1">
      <c r="A953" s="943"/>
      <c r="B953" s="943"/>
      <c r="C953" s="943"/>
      <c r="D953" s="943"/>
      <c r="E953" s="943"/>
      <c r="F953" s="943"/>
      <c r="G953" s="943"/>
      <c r="H953" s="943"/>
      <c r="I953" s="943"/>
      <c r="J953" s="943"/>
      <c r="K953" s="943"/>
      <c r="L953" s="943"/>
      <c r="M953" s="943"/>
      <c r="N953" s="943"/>
      <c r="O953" s="943"/>
      <c r="P953" s="943"/>
      <c r="Q953" s="943"/>
      <c r="R953" s="943"/>
      <c r="S953" s="943"/>
      <c r="T953" s="943"/>
      <c r="U953" s="943"/>
      <c r="V953" s="943"/>
      <c r="W953" s="943"/>
      <c r="X953" s="943"/>
      <c r="Y953" s="943"/>
      <c r="Z953" s="943"/>
      <c r="AA953" s="943"/>
      <c r="AB953" s="943"/>
      <c r="AC953" s="943"/>
      <c r="AD953" s="943"/>
      <c r="AE953" s="943"/>
    </row>
    <row r="954" spans="1:31" ht="15.75" customHeight="1">
      <c r="A954" s="943"/>
      <c r="B954" s="943"/>
      <c r="C954" s="943"/>
      <c r="D954" s="943"/>
      <c r="E954" s="943"/>
      <c r="F954" s="943"/>
      <c r="G954" s="943"/>
      <c r="H954" s="943"/>
      <c r="I954" s="943"/>
      <c r="J954" s="943"/>
      <c r="K954" s="943"/>
      <c r="L954" s="943"/>
      <c r="M954" s="943"/>
      <c r="N954" s="943"/>
      <c r="O954" s="943"/>
      <c r="P954" s="943"/>
      <c r="Q954" s="943"/>
      <c r="R954" s="943"/>
      <c r="S954" s="943"/>
      <c r="T954" s="943"/>
      <c r="U954" s="943"/>
      <c r="V954" s="943"/>
      <c r="W954" s="943"/>
      <c r="X954" s="943"/>
      <c r="Y954" s="943"/>
      <c r="Z954" s="943"/>
      <c r="AA954" s="943"/>
      <c r="AB954" s="943"/>
      <c r="AC954" s="943"/>
      <c r="AD954" s="943"/>
      <c r="AE954" s="943"/>
    </row>
    <row r="955" spans="1:31" ht="15.75" customHeight="1">
      <c r="A955" s="943"/>
      <c r="B955" s="943"/>
      <c r="C955" s="943"/>
      <c r="D955" s="943"/>
      <c r="E955" s="943"/>
      <c r="F955" s="943"/>
      <c r="G955" s="943"/>
      <c r="H955" s="943"/>
      <c r="I955" s="943"/>
      <c r="J955" s="943"/>
      <c r="K955" s="943"/>
      <c r="L955" s="943"/>
      <c r="M955" s="943"/>
      <c r="N955" s="943"/>
      <c r="O955" s="943"/>
      <c r="P955" s="943"/>
      <c r="Q955" s="943"/>
      <c r="R955" s="943"/>
      <c r="S955" s="943"/>
      <c r="T955" s="943"/>
      <c r="U955" s="943"/>
      <c r="V955" s="943"/>
      <c r="W955" s="943"/>
      <c r="X955" s="943"/>
      <c r="Y955" s="943"/>
      <c r="Z955" s="943"/>
      <c r="AA955" s="943"/>
      <c r="AB955" s="943"/>
      <c r="AC955" s="943"/>
      <c r="AD955" s="943"/>
      <c r="AE955" s="943"/>
    </row>
    <row r="956" spans="1:31" ht="15.75" customHeight="1">
      <c r="A956" s="943"/>
      <c r="B956" s="943"/>
      <c r="C956" s="943"/>
      <c r="D956" s="943"/>
      <c r="E956" s="943"/>
      <c r="F956" s="943"/>
      <c r="G956" s="943"/>
      <c r="H956" s="943"/>
      <c r="I956" s="943"/>
      <c r="J956" s="943"/>
      <c r="K956" s="943"/>
      <c r="L956" s="943"/>
      <c r="M956" s="943"/>
      <c r="N956" s="943"/>
      <c r="O956" s="943"/>
      <c r="P956" s="943"/>
      <c r="Q956" s="943"/>
      <c r="R956" s="943"/>
      <c r="S956" s="943"/>
      <c r="T956" s="943"/>
      <c r="U956" s="943"/>
      <c r="V956" s="943"/>
      <c r="W956" s="943"/>
      <c r="X956" s="943"/>
      <c r="Y956" s="943"/>
      <c r="Z956" s="943"/>
      <c r="AA956" s="943"/>
      <c r="AB956" s="943"/>
      <c r="AC956" s="943"/>
      <c r="AD956" s="943"/>
      <c r="AE956" s="943"/>
    </row>
    <row r="957" spans="1:31" ht="15.75" customHeight="1">
      <c r="A957" s="943"/>
      <c r="B957" s="943"/>
      <c r="C957" s="943"/>
      <c r="D957" s="943"/>
      <c r="E957" s="943"/>
      <c r="F957" s="943"/>
      <c r="G957" s="943"/>
      <c r="H957" s="943"/>
      <c r="I957" s="943"/>
      <c r="J957" s="943"/>
      <c r="K957" s="943"/>
      <c r="L957" s="943"/>
      <c r="M957" s="943"/>
      <c r="N957" s="943"/>
      <c r="O957" s="943"/>
      <c r="P957" s="943"/>
      <c r="Q957" s="943"/>
      <c r="R957" s="943"/>
      <c r="S957" s="943"/>
      <c r="T957" s="943"/>
      <c r="U957" s="943"/>
      <c r="V957" s="943"/>
      <c r="W957" s="943"/>
      <c r="X957" s="943"/>
      <c r="Y957" s="943"/>
      <c r="Z957" s="943"/>
      <c r="AA957" s="943"/>
      <c r="AB957" s="943"/>
      <c r="AC957" s="943"/>
      <c r="AD957" s="943"/>
      <c r="AE957" s="943"/>
    </row>
    <row r="958" spans="1:31" ht="15.75" customHeight="1">
      <c r="A958" s="943"/>
      <c r="B958" s="943"/>
      <c r="C958" s="943"/>
      <c r="D958" s="943"/>
      <c r="E958" s="943"/>
      <c r="F958" s="943"/>
      <c r="G958" s="943"/>
      <c r="H958" s="943"/>
      <c r="I958" s="943"/>
      <c r="J958" s="943"/>
      <c r="K958" s="943"/>
      <c r="L958" s="943"/>
      <c r="M958" s="943"/>
      <c r="N958" s="943"/>
      <c r="O958" s="943"/>
      <c r="P958" s="943"/>
      <c r="Q958" s="943"/>
      <c r="R958" s="943"/>
      <c r="S958" s="943"/>
      <c r="T958" s="943"/>
      <c r="U958" s="943"/>
      <c r="V958" s="943"/>
      <c r="W958" s="943"/>
      <c r="X958" s="943"/>
      <c r="Y958" s="943"/>
      <c r="Z958" s="943"/>
      <c r="AA958" s="943"/>
      <c r="AB958" s="943"/>
      <c r="AC958" s="943"/>
      <c r="AD958" s="943"/>
      <c r="AE958" s="943"/>
    </row>
    <row r="959" spans="1:31" ht="15.75" customHeight="1">
      <c r="A959" s="943"/>
      <c r="B959" s="943"/>
      <c r="C959" s="943"/>
      <c r="D959" s="943"/>
      <c r="E959" s="943"/>
      <c r="F959" s="943"/>
      <c r="G959" s="943"/>
      <c r="H959" s="943"/>
      <c r="I959" s="943"/>
      <c r="J959" s="943"/>
      <c r="K959" s="943"/>
      <c r="L959" s="943"/>
      <c r="M959" s="943"/>
      <c r="N959" s="943"/>
      <c r="O959" s="943"/>
      <c r="P959" s="943"/>
      <c r="Q959" s="943"/>
      <c r="R959" s="943"/>
      <c r="S959" s="943"/>
      <c r="T959" s="943"/>
      <c r="U959" s="943"/>
      <c r="V959" s="943"/>
      <c r="W959" s="943"/>
      <c r="X959" s="943"/>
      <c r="Y959" s="943"/>
      <c r="Z959" s="943"/>
      <c r="AA959" s="943"/>
      <c r="AB959" s="943"/>
      <c r="AC959" s="943"/>
      <c r="AD959" s="943"/>
      <c r="AE959" s="943"/>
    </row>
    <row r="960" spans="1:31" ht="15.75" customHeight="1">
      <c r="A960" s="943"/>
      <c r="B960" s="943"/>
      <c r="C960" s="943"/>
      <c r="D960" s="943"/>
      <c r="E960" s="943"/>
      <c r="F960" s="943"/>
      <c r="G960" s="943"/>
      <c r="H960" s="943"/>
      <c r="I960" s="943"/>
      <c r="J960" s="943"/>
      <c r="K960" s="943"/>
      <c r="L960" s="943"/>
      <c r="M960" s="943"/>
      <c r="N960" s="943"/>
      <c r="O960" s="943"/>
      <c r="P960" s="943"/>
      <c r="Q960" s="943"/>
      <c r="R960" s="943"/>
      <c r="S960" s="943"/>
      <c r="T960" s="943"/>
      <c r="U960" s="943"/>
      <c r="V960" s="943"/>
      <c r="W960" s="943"/>
      <c r="X960" s="943"/>
      <c r="Y960" s="943"/>
      <c r="Z960" s="943"/>
      <c r="AA960" s="943"/>
      <c r="AB960" s="943"/>
      <c r="AC960" s="943"/>
      <c r="AD960" s="943"/>
      <c r="AE960" s="943"/>
    </row>
    <row r="961" spans="1:31" ht="15.75" customHeight="1">
      <c r="A961" s="943"/>
      <c r="B961" s="943"/>
      <c r="C961" s="943"/>
      <c r="D961" s="943"/>
      <c r="E961" s="943"/>
      <c r="F961" s="943"/>
      <c r="G961" s="943"/>
      <c r="H961" s="943"/>
      <c r="I961" s="943"/>
      <c r="J961" s="943"/>
      <c r="K961" s="943"/>
      <c r="L961" s="943"/>
      <c r="M961" s="943"/>
      <c r="N961" s="943"/>
      <c r="O961" s="943"/>
      <c r="P961" s="943"/>
      <c r="Q961" s="943"/>
      <c r="R961" s="943"/>
      <c r="S961" s="943"/>
      <c r="T961" s="943"/>
      <c r="U961" s="943"/>
      <c r="V961" s="943"/>
      <c r="W961" s="943"/>
      <c r="X961" s="943"/>
      <c r="Y961" s="943"/>
      <c r="Z961" s="943"/>
      <c r="AA961" s="943"/>
      <c r="AB961" s="943"/>
      <c r="AC961" s="943"/>
      <c r="AD961" s="943"/>
      <c r="AE961" s="943"/>
    </row>
    <row r="962" spans="1:31" ht="15.75" customHeight="1">
      <c r="A962" s="943"/>
      <c r="B962" s="943"/>
      <c r="C962" s="943"/>
      <c r="D962" s="943"/>
      <c r="E962" s="943"/>
      <c r="F962" s="943"/>
      <c r="G962" s="943"/>
      <c r="H962" s="943"/>
      <c r="I962" s="943"/>
      <c r="J962" s="943"/>
      <c r="K962" s="943"/>
      <c r="L962" s="943"/>
      <c r="M962" s="943"/>
      <c r="N962" s="943"/>
      <c r="O962" s="943"/>
      <c r="P962" s="943"/>
      <c r="Q962" s="943"/>
      <c r="R962" s="943"/>
      <c r="S962" s="943"/>
      <c r="T962" s="943"/>
      <c r="U962" s="943"/>
      <c r="V962" s="943"/>
      <c r="W962" s="943"/>
      <c r="X962" s="943"/>
      <c r="Y962" s="943"/>
      <c r="Z962" s="943"/>
      <c r="AA962" s="943"/>
      <c r="AB962" s="943"/>
      <c r="AC962" s="943"/>
      <c r="AD962" s="943"/>
      <c r="AE962" s="943"/>
    </row>
    <row r="963" spans="1:31" ht="15.75" customHeight="1">
      <c r="A963" s="943"/>
      <c r="B963" s="943"/>
      <c r="C963" s="943"/>
      <c r="D963" s="943"/>
      <c r="E963" s="943"/>
      <c r="F963" s="943"/>
      <c r="G963" s="943"/>
      <c r="H963" s="943"/>
      <c r="I963" s="943"/>
      <c r="J963" s="943"/>
      <c r="K963" s="943"/>
      <c r="L963" s="943"/>
      <c r="M963" s="943"/>
      <c r="N963" s="943"/>
      <c r="O963" s="943"/>
      <c r="P963" s="943"/>
      <c r="Q963" s="943"/>
      <c r="R963" s="943"/>
      <c r="S963" s="943"/>
      <c r="T963" s="943"/>
      <c r="U963" s="943"/>
      <c r="V963" s="943"/>
      <c r="W963" s="943"/>
      <c r="X963" s="943"/>
      <c r="Y963" s="943"/>
      <c r="Z963" s="943"/>
      <c r="AA963" s="943"/>
      <c r="AB963" s="943"/>
      <c r="AC963" s="943"/>
      <c r="AD963" s="943"/>
      <c r="AE963" s="943"/>
    </row>
    <row r="964" spans="1:31" ht="15.75" customHeight="1">
      <c r="A964" s="943"/>
      <c r="B964" s="943"/>
      <c r="C964" s="943"/>
      <c r="D964" s="943"/>
      <c r="E964" s="943"/>
      <c r="F964" s="943"/>
      <c r="G964" s="943"/>
      <c r="H964" s="943"/>
      <c r="I964" s="943"/>
      <c r="J964" s="943"/>
      <c r="K964" s="943"/>
      <c r="L964" s="943"/>
      <c r="M964" s="943"/>
      <c r="N964" s="943"/>
      <c r="O964" s="943"/>
      <c r="P964" s="943"/>
      <c r="Q964" s="943"/>
      <c r="R964" s="943"/>
      <c r="S964" s="943"/>
      <c r="T964" s="943"/>
      <c r="U964" s="943"/>
      <c r="V964" s="943"/>
      <c r="W964" s="943"/>
      <c r="X964" s="943"/>
      <c r="Y964" s="943"/>
      <c r="Z964" s="943"/>
      <c r="AA964" s="943"/>
      <c r="AB964" s="943"/>
      <c r="AC964" s="943"/>
      <c r="AD964" s="943"/>
      <c r="AE964" s="943"/>
    </row>
    <row r="965" spans="1:31" ht="15.75" customHeight="1">
      <c r="A965" s="943"/>
      <c r="B965" s="943"/>
      <c r="C965" s="943"/>
      <c r="D965" s="943"/>
      <c r="E965" s="943"/>
      <c r="F965" s="943"/>
      <c r="G965" s="943"/>
      <c r="H965" s="943"/>
      <c r="I965" s="943"/>
      <c r="J965" s="943"/>
      <c r="K965" s="943"/>
      <c r="L965" s="943"/>
      <c r="M965" s="943"/>
      <c r="N965" s="943"/>
      <c r="O965" s="943"/>
      <c r="P965" s="943"/>
      <c r="Q965" s="943"/>
      <c r="R965" s="943"/>
      <c r="S965" s="943"/>
      <c r="T965" s="943"/>
      <c r="U965" s="943"/>
      <c r="V965" s="943"/>
      <c r="W965" s="943"/>
      <c r="X965" s="943"/>
      <c r="Y965" s="943"/>
      <c r="Z965" s="943"/>
      <c r="AA965" s="943"/>
      <c r="AB965" s="943"/>
      <c r="AC965" s="943"/>
      <c r="AD965" s="943"/>
      <c r="AE965" s="943"/>
    </row>
    <row r="966" spans="1:31" ht="15.75" customHeight="1">
      <c r="A966" s="943"/>
      <c r="B966" s="943"/>
      <c r="C966" s="943"/>
      <c r="D966" s="943"/>
      <c r="E966" s="943"/>
      <c r="F966" s="943"/>
      <c r="G966" s="943"/>
      <c r="H966" s="943"/>
      <c r="I966" s="943"/>
      <c r="J966" s="943"/>
      <c r="K966" s="943"/>
      <c r="L966" s="943"/>
      <c r="M966" s="943"/>
      <c r="N966" s="943"/>
      <c r="O966" s="943"/>
      <c r="P966" s="943"/>
      <c r="Q966" s="943"/>
      <c r="R966" s="943"/>
      <c r="S966" s="943"/>
      <c r="T966" s="943"/>
      <c r="U966" s="943"/>
      <c r="V966" s="943"/>
      <c r="W966" s="943"/>
      <c r="X966" s="943"/>
      <c r="Y966" s="943"/>
      <c r="Z966" s="943"/>
      <c r="AA966" s="943"/>
      <c r="AB966" s="943"/>
      <c r="AC966" s="943"/>
      <c r="AD966" s="943"/>
      <c r="AE966" s="943"/>
    </row>
    <row r="967" spans="1:31" ht="15.75" customHeight="1">
      <c r="A967" s="943"/>
      <c r="B967" s="943"/>
      <c r="C967" s="943"/>
      <c r="D967" s="943"/>
      <c r="E967" s="943"/>
      <c r="F967" s="943"/>
      <c r="G967" s="943"/>
      <c r="H967" s="943"/>
      <c r="I967" s="943"/>
      <c r="J967" s="943"/>
      <c r="K967" s="943"/>
      <c r="L967" s="943"/>
      <c r="M967" s="943"/>
      <c r="N967" s="943"/>
      <c r="O967" s="943"/>
      <c r="P967" s="943"/>
      <c r="Q967" s="943"/>
      <c r="R967" s="943"/>
      <c r="S967" s="943"/>
      <c r="T967" s="943"/>
      <c r="U967" s="943"/>
      <c r="V967" s="943"/>
      <c r="W967" s="943"/>
      <c r="X967" s="943"/>
      <c r="Y967" s="943"/>
      <c r="Z967" s="943"/>
      <c r="AA967" s="943"/>
      <c r="AB967" s="943"/>
      <c r="AC967" s="943"/>
      <c r="AD967" s="943"/>
      <c r="AE967" s="943"/>
    </row>
    <row r="968" spans="1:31" ht="15.75" customHeight="1">
      <c r="A968" s="943"/>
      <c r="B968" s="943"/>
      <c r="C968" s="943"/>
      <c r="D968" s="943"/>
      <c r="E968" s="943"/>
      <c r="F968" s="943"/>
      <c r="G968" s="943"/>
      <c r="H968" s="943"/>
      <c r="I968" s="943"/>
      <c r="J968" s="943"/>
      <c r="K968" s="943"/>
      <c r="L968" s="943"/>
      <c r="M968" s="943"/>
      <c r="N968" s="943"/>
      <c r="O968" s="943"/>
      <c r="P968" s="943"/>
      <c r="Q968" s="943"/>
      <c r="R968" s="943"/>
      <c r="S968" s="943"/>
      <c r="T968" s="943"/>
      <c r="U968" s="943"/>
      <c r="V968" s="943"/>
      <c r="W968" s="943"/>
      <c r="X968" s="943"/>
      <c r="Y968" s="943"/>
      <c r="Z968" s="943"/>
      <c r="AA968" s="943"/>
      <c r="AB968" s="943"/>
      <c r="AC968" s="943"/>
      <c r="AD968" s="943"/>
      <c r="AE968" s="943"/>
    </row>
    <row r="969" spans="1:31" ht="15.75" customHeight="1">
      <c r="A969" s="943"/>
      <c r="B969" s="943"/>
      <c r="C969" s="943"/>
      <c r="D969" s="943"/>
      <c r="E969" s="943"/>
      <c r="F969" s="943"/>
      <c r="G969" s="943"/>
      <c r="H969" s="943"/>
      <c r="I969" s="943"/>
      <c r="J969" s="943"/>
      <c r="K969" s="943"/>
      <c r="L969" s="943"/>
      <c r="M969" s="943"/>
      <c r="N969" s="943"/>
      <c r="O969" s="943"/>
      <c r="P969" s="943"/>
      <c r="Q969" s="943"/>
      <c r="R969" s="943"/>
      <c r="S969" s="943"/>
      <c r="T969" s="943"/>
      <c r="U969" s="943"/>
      <c r="V969" s="943"/>
      <c r="W969" s="943"/>
      <c r="X969" s="943"/>
      <c r="Y969" s="943"/>
      <c r="Z969" s="943"/>
      <c r="AA969" s="943"/>
      <c r="AB969" s="943"/>
      <c r="AC969" s="943"/>
      <c r="AD969" s="943"/>
      <c r="AE969" s="943"/>
    </row>
    <row r="970" spans="1:31" ht="15.75" customHeight="1">
      <c r="A970" s="943"/>
      <c r="B970" s="943"/>
      <c r="C970" s="943"/>
      <c r="D970" s="943"/>
      <c r="E970" s="943"/>
      <c r="F970" s="943"/>
      <c r="G970" s="943"/>
      <c r="H970" s="943"/>
      <c r="I970" s="943"/>
      <c r="J970" s="943"/>
      <c r="K970" s="943"/>
      <c r="L970" s="943"/>
      <c r="M970" s="943"/>
      <c r="N970" s="943"/>
      <c r="O970" s="943"/>
      <c r="P970" s="943"/>
      <c r="Q970" s="943"/>
      <c r="R970" s="943"/>
      <c r="S970" s="943"/>
      <c r="T970" s="943"/>
      <c r="U970" s="943"/>
      <c r="V970" s="943"/>
      <c r="W970" s="943"/>
      <c r="X970" s="943"/>
      <c r="Y970" s="943"/>
      <c r="Z970" s="943"/>
      <c r="AA970" s="943"/>
      <c r="AB970" s="943"/>
      <c r="AC970" s="943"/>
      <c r="AD970" s="943"/>
      <c r="AE970" s="943"/>
    </row>
    <row r="971" spans="1:31" ht="15.75" customHeight="1">
      <c r="A971" s="943"/>
      <c r="B971" s="943"/>
      <c r="C971" s="943"/>
      <c r="D971" s="943"/>
      <c r="E971" s="943"/>
      <c r="F971" s="943"/>
      <c r="G971" s="943"/>
      <c r="H971" s="943"/>
      <c r="I971" s="943"/>
      <c r="J971" s="943"/>
      <c r="K971" s="943"/>
      <c r="L971" s="943"/>
      <c r="M971" s="943"/>
      <c r="N971" s="943"/>
      <c r="O971" s="943"/>
      <c r="P971" s="943"/>
      <c r="Q971" s="943"/>
      <c r="R971" s="943"/>
      <c r="S971" s="943"/>
      <c r="T971" s="943"/>
      <c r="U971" s="943"/>
      <c r="V971" s="943"/>
      <c r="W971" s="943"/>
      <c r="X971" s="943"/>
      <c r="Y971" s="943"/>
      <c r="Z971" s="943"/>
      <c r="AA971" s="943"/>
      <c r="AB971" s="943"/>
      <c r="AC971" s="943"/>
      <c r="AD971" s="943"/>
      <c r="AE971" s="943"/>
    </row>
    <row r="972" spans="1:31" ht="15.75" customHeight="1">
      <c r="A972" s="943"/>
      <c r="B972" s="943"/>
      <c r="C972" s="943"/>
      <c r="D972" s="943"/>
      <c r="E972" s="943"/>
      <c r="F972" s="943"/>
      <c r="G972" s="943"/>
      <c r="H972" s="943"/>
      <c r="I972" s="943"/>
      <c r="J972" s="943"/>
      <c r="K972" s="943"/>
      <c r="L972" s="943"/>
      <c r="M972" s="943"/>
      <c r="N972" s="943"/>
      <c r="O972" s="943"/>
      <c r="P972" s="943"/>
      <c r="Q972" s="943"/>
      <c r="R972" s="943"/>
      <c r="S972" s="943"/>
      <c r="T972" s="943"/>
      <c r="U972" s="943"/>
      <c r="V972" s="943"/>
      <c r="W972" s="943"/>
      <c r="X972" s="943"/>
      <c r="Y972" s="943"/>
      <c r="Z972" s="943"/>
      <c r="AA972" s="943"/>
      <c r="AB972" s="943"/>
      <c r="AC972" s="943"/>
      <c r="AD972" s="943"/>
      <c r="AE972" s="943"/>
    </row>
    <row r="973" spans="1:31" ht="15.75" customHeight="1">
      <c r="A973" s="943"/>
      <c r="B973" s="943"/>
      <c r="C973" s="943"/>
      <c r="D973" s="943"/>
      <c r="E973" s="943"/>
      <c r="F973" s="943"/>
      <c r="G973" s="943"/>
      <c r="H973" s="943"/>
      <c r="I973" s="943"/>
      <c r="J973" s="943"/>
      <c r="K973" s="943"/>
      <c r="L973" s="943"/>
      <c r="M973" s="943"/>
      <c r="N973" s="943"/>
      <c r="O973" s="943"/>
      <c r="P973" s="943"/>
      <c r="Q973" s="943"/>
      <c r="R973" s="943"/>
      <c r="S973" s="943"/>
      <c r="T973" s="943"/>
      <c r="U973" s="943"/>
      <c r="V973" s="943"/>
      <c r="W973" s="943"/>
      <c r="X973" s="943"/>
      <c r="Y973" s="943"/>
      <c r="Z973" s="943"/>
      <c r="AA973" s="943"/>
      <c r="AB973" s="943"/>
      <c r="AC973" s="943"/>
      <c r="AD973" s="943"/>
      <c r="AE973" s="943"/>
    </row>
    <row r="974" spans="1:31" ht="15.75" customHeight="1">
      <c r="A974" s="943"/>
      <c r="B974" s="943"/>
      <c r="C974" s="943"/>
      <c r="D974" s="943"/>
      <c r="E974" s="943"/>
      <c r="F974" s="943"/>
      <c r="G974" s="943"/>
      <c r="H974" s="943"/>
      <c r="I974" s="943"/>
      <c r="J974" s="943"/>
      <c r="K974" s="943"/>
      <c r="L974" s="943"/>
      <c r="M974" s="943"/>
      <c r="N974" s="943"/>
      <c r="O974" s="943"/>
      <c r="P974" s="943"/>
      <c r="Q974" s="943"/>
      <c r="R974" s="943"/>
      <c r="S974" s="943"/>
      <c r="T974" s="943"/>
      <c r="U974" s="943"/>
      <c r="V974" s="943"/>
      <c r="W974" s="943"/>
      <c r="X974" s="943"/>
      <c r="Y974" s="943"/>
      <c r="Z974" s="943"/>
      <c r="AA974" s="943"/>
      <c r="AB974" s="943"/>
      <c r="AC974" s="943"/>
      <c r="AD974" s="943"/>
      <c r="AE974" s="943"/>
    </row>
    <row r="975" spans="1:31" ht="15.75" customHeight="1">
      <c r="A975" s="943"/>
      <c r="B975" s="943"/>
      <c r="C975" s="943"/>
      <c r="D975" s="943"/>
      <c r="E975" s="943"/>
      <c r="F975" s="943"/>
      <c r="G975" s="943"/>
      <c r="H975" s="943"/>
      <c r="I975" s="943"/>
      <c r="J975" s="943"/>
      <c r="K975" s="943"/>
      <c r="L975" s="943"/>
      <c r="M975" s="943"/>
      <c r="N975" s="943"/>
      <c r="O975" s="943"/>
      <c r="P975" s="943"/>
      <c r="Q975" s="943"/>
      <c r="R975" s="943"/>
      <c r="S975" s="943"/>
      <c r="T975" s="943"/>
      <c r="U975" s="943"/>
      <c r="V975" s="943"/>
      <c r="W975" s="943"/>
      <c r="X975" s="943"/>
      <c r="Y975" s="943"/>
      <c r="Z975" s="943"/>
      <c r="AA975" s="943"/>
      <c r="AB975" s="943"/>
      <c r="AC975" s="943"/>
      <c r="AD975" s="943"/>
      <c r="AE975" s="943"/>
    </row>
    <row r="976" spans="1:31" ht="15.75" customHeight="1">
      <c r="A976" s="943"/>
      <c r="B976" s="943"/>
      <c r="C976" s="943"/>
      <c r="D976" s="943"/>
      <c r="E976" s="943"/>
      <c r="F976" s="943"/>
      <c r="G976" s="943"/>
      <c r="H976" s="943"/>
      <c r="I976" s="943"/>
      <c r="J976" s="943"/>
      <c r="K976" s="943"/>
      <c r="L976" s="943"/>
      <c r="M976" s="943"/>
      <c r="N976" s="943"/>
      <c r="O976" s="943"/>
      <c r="P976" s="943"/>
      <c r="Q976" s="943"/>
      <c r="R976" s="943"/>
      <c r="S976" s="943"/>
      <c r="T976" s="943"/>
      <c r="U976" s="943"/>
      <c r="V976" s="943"/>
      <c r="W976" s="943"/>
      <c r="X976" s="943"/>
      <c r="Y976" s="943"/>
      <c r="Z976" s="943"/>
      <c r="AA976" s="943"/>
      <c r="AB976" s="943"/>
      <c r="AC976" s="943"/>
      <c r="AD976" s="943"/>
      <c r="AE976" s="943"/>
    </row>
    <row r="977" spans="1:31" ht="15.75" customHeight="1">
      <c r="A977" s="943"/>
      <c r="B977" s="943"/>
      <c r="C977" s="943"/>
      <c r="D977" s="943"/>
      <c r="E977" s="943"/>
      <c r="F977" s="943"/>
      <c r="G977" s="943"/>
      <c r="H977" s="943"/>
      <c r="I977" s="943"/>
      <c r="J977" s="943"/>
      <c r="K977" s="943"/>
      <c r="L977" s="943"/>
      <c r="M977" s="943"/>
      <c r="N977" s="943"/>
      <c r="O977" s="943"/>
      <c r="P977" s="943"/>
      <c r="Q977" s="943"/>
      <c r="R977" s="943"/>
      <c r="S977" s="943"/>
      <c r="T977" s="943"/>
      <c r="U977" s="943"/>
      <c r="V977" s="943"/>
      <c r="W977" s="943"/>
      <c r="X977" s="943"/>
      <c r="Y977" s="943"/>
      <c r="Z977" s="943"/>
      <c r="AA977" s="943"/>
      <c r="AB977" s="943"/>
      <c r="AC977" s="943"/>
      <c r="AD977" s="943"/>
      <c r="AE977" s="943"/>
    </row>
    <row r="978" spans="1:31" ht="15.75" customHeight="1">
      <c r="A978" s="943"/>
      <c r="B978" s="943"/>
      <c r="C978" s="943"/>
      <c r="D978" s="943"/>
      <c r="E978" s="943"/>
      <c r="F978" s="943"/>
      <c r="G978" s="943"/>
      <c r="H978" s="943"/>
      <c r="I978" s="943"/>
      <c r="J978" s="943"/>
      <c r="K978" s="943"/>
      <c r="L978" s="943"/>
      <c r="M978" s="943"/>
      <c r="N978" s="943"/>
      <c r="O978" s="943"/>
      <c r="P978" s="943"/>
      <c r="Q978" s="943"/>
      <c r="R978" s="943"/>
      <c r="S978" s="943"/>
      <c r="T978" s="943"/>
      <c r="U978" s="943"/>
      <c r="V978" s="943"/>
      <c r="W978" s="943"/>
      <c r="X978" s="943"/>
      <c r="Y978" s="943"/>
      <c r="Z978" s="943"/>
      <c r="AA978" s="943"/>
      <c r="AB978" s="943"/>
      <c r="AC978" s="943"/>
      <c r="AD978" s="943"/>
      <c r="AE978" s="943"/>
    </row>
    <row r="979" spans="1:31" ht="15.75" customHeight="1">
      <c r="A979" s="943"/>
      <c r="B979" s="943"/>
      <c r="C979" s="943"/>
      <c r="D979" s="943"/>
      <c r="E979" s="943"/>
      <c r="F979" s="943"/>
      <c r="G979" s="943"/>
      <c r="H979" s="943"/>
      <c r="I979" s="943"/>
      <c r="J979" s="943"/>
      <c r="K979" s="943"/>
      <c r="L979" s="943"/>
      <c r="M979" s="943"/>
      <c r="N979" s="943"/>
      <c r="O979" s="943"/>
      <c r="P979" s="943"/>
      <c r="Q979" s="943"/>
      <c r="R979" s="943"/>
      <c r="S979" s="943"/>
      <c r="T979" s="943"/>
      <c r="U979" s="943"/>
      <c r="V979" s="943"/>
      <c r="W979" s="943"/>
      <c r="X979" s="943"/>
      <c r="Y979" s="943"/>
      <c r="Z979" s="943"/>
      <c r="AA979" s="943"/>
      <c r="AB979" s="943"/>
      <c r="AC979" s="943"/>
      <c r="AD979" s="943"/>
      <c r="AE979" s="943"/>
    </row>
    <row r="980" spans="1:31" ht="15.75" customHeight="1">
      <c r="A980" s="943"/>
      <c r="B980" s="943"/>
      <c r="C980" s="943"/>
      <c r="D980" s="943"/>
      <c r="E980" s="943"/>
      <c r="F980" s="943"/>
      <c r="G980" s="943"/>
      <c r="H980" s="943"/>
      <c r="I980" s="943"/>
      <c r="J980" s="943"/>
      <c r="K980" s="943"/>
      <c r="L980" s="943"/>
      <c r="M980" s="943"/>
      <c r="N980" s="943"/>
      <c r="O980" s="943"/>
      <c r="P980" s="943"/>
      <c r="Q980" s="943"/>
      <c r="R980" s="943"/>
      <c r="S980" s="943"/>
      <c r="T980" s="943"/>
      <c r="U980" s="943"/>
      <c r="V980" s="943"/>
      <c r="W980" s="943"/>
      <c r="X980" s="943"/>
      <c r="Y980" s="943"/>
      <c r="Z980" s="943"/>
      <c r="AA980" s="943"/>
      <c r="AB980" s="943"/>
      <c r="AC980" s="943"/>
      <c r="AD980" s="943"/>
      <c r="AE980" s="943"/>
    </row>
    <row r="981" spans="1:31" ht="15.75" customHeight="1">
      <c r="A981" s="943"/>
      <c r="B981" s="943"/>
      <c r="C981" s="943"/>
      <c r="D981" s="943"/>
      <c r="E981" s="943"/>
      <c r="F981" s="943"/>
      <c r="G981" s="943"/>
      <c r="H981" s="943"/>
      <c r="I981" s="943"/>
      <c r="J981" s="943"/>
      <c r="K981" s="943"/>
      <c r="L981" s="943"/>
      <c r="M981" s="943"/>
      <c r="N981" s="943"/>
      <c r="O981" s="943"/>
      <c r="P981" s="943"/>
      <c r="Q981" s="943"/>
      <c r="R981" s="943"/>
      <c r="S981" s="943"/>
      <c r="T981" s="943"/>
      <c r="U981" s="943"/>
      <c r="V981" s="943"/>
      <c r="W981" s="943"/>
      <c r="X981" s="943"/>
      <c r="Y981" s="943"/>
      <c r="Z981" s="943"/>
      <c r="AA981" s="943"/>
      <c r="AB981" s="943"/>
      <c r="AC981" s="943"/>
      <c r="AD981" s="943"/>
      <c r="AE981" s="943"/>
    </row>
    <row r="982" spans="1:31" ht="15.75" customHeight="1">
      <c r="A982" s="943"/>
      <c r="B982" s="943"/>
      <c r="C982" s="943"/>
      <c r="D982" s="943"/>
      <c r="E982" s="943"/>
      <c r="F982" s="943"/>
      <c r="G982" s="943"/>
      <c r="H982" s="943"/>
      <c r="I982" s="943"/>
      <c r="J982" s="943"/>
      <c r="K982" s="943"/>
      <c r="L982" s="943"/>
      <c r="M982" s="943"/>
      <c r="N982" s="943"/>
      <c r="O982" s="943"/>
      <c r="P982" s="943"/>
      <c r="Q982" s="943"/>
      <c r="R982" s="943"/>
      <c r="S982" s="943"/>
      <c r="T982" s="943"/>
      <c r="U982" s="943"/>
      <c r="V982" s="943"/>
      <c r="W982" s="943"/>
      <c r="X982" s="943"/>
      <c r="Y982" s="943"/>
      <c r="Z982" s="943"/>
      <c r="AA982" s="943"/>
      <c r="AB982" s="943"/>
      <c r="AC982" s="943"/>
      <c r="AD982" s="943"/>
      <c r="AE982" s="943"/>
    </row>
    <row r="983" spans="1:31" ht="15.75" customHeight="1">
      <c r="A983" s="943"/>
      <c r="B983" s="943"/>
      <c r="C983" s="943"/>
      <c r="D983" s="943"/>
      <c r="E983" s="943"/>
      <c r="F983" s="943"/>
      <c r="G983" s="943"/>
      <c r="H983" s="943"/>
      <c r="I983" s="943"/>
      <c r="J983" s="943"/>
      <c r="K983" s="943"/>
      <c r="L983" s="943"/>
      <c r="M983" s="943"/>
      <c r="N983" s="943"/>
      <c r="O983" s="943"/>
      <c r="P983" s="943"/>
      <c r="Q983" s="943"/>
      <c r="R983" s="943"/>
      <c r="S983" s="943"/>
      <c r="T983" s="943"/>
      <c r="U983" s="943"/>
      <c r="V983" s="943"/>
      <c r="W983" s="943"/>
      <c r="X983" s="943"/>
      <c r="Y983" s="943"/>
      <c r="Z983" s="943"/>
      <c r="AA983" s="943"/>
      <c r="AB983" s="943"/>
      <c r="AC983" s="943"/>
      <c r="AD983" s="943"/>
      <c r="AE983" s="943"/>
    </row>
    <row r="984" spans="1:31" ht="15.75" customHeight="1">
      <c r="A984" s="943"/>
      <c r="B984" s="943"/>
      <c r="C984" s="943"/>
      <c r="D984" s="943"/>
      <c r="E984" s="943"/>
      <c r="F984" s="943"/>
      <c r="G984" s="943"/>
      <c r="H984" s="943"/>
      <c r="I984" s="943"/>
      <c r="J984" s="943"/>
      <c r="K984" s="943"/>
      <c r="L984" s="943"/>
      <c r="M984" s="943"/>
      <c r="N984" s="943"/>
      <c r="O984" s="943"/>
      <c r="P984" s="943"/>
      <c r="Q984" s="943"/>
      <c r="R984" s="943"/>
      <c r="S984" s="943"/>
      <c r="T984" s="943"/>
      <c r="U984" s="943"/>
      <c r="V984" s="943"/>
      <c r="W984" s="943"/>
      <c r="X984" s="943"/>
      <c r="Y984" s="943"/>
      <c r="Z984" s="943"/>
      <c r="AA984" s="943"/>
      <c r="AB984" s="943"/>
      <c r="AC984" s="943"/>
      <c r="AD984" s="943"/>
      <c r="AE984" s="943"/>
    </row>
    <row r="985" spans="1:31" ht="15.75" customHeight="1">
      <c r="A985" s="943"/>
      <c r="B985" s="943"/>
      <c r="C985" s="943"/>
      <c r="D985" s="943"/>
      <c r="E985" s="943"/>
      <c r="F985" s="943"/>
      <c r="G985" s="943"/>
      <c r="H985" s="943"/>
      <c r="I985" s="943"/>
      <c r="J985" s="943"/>
      <c r="K985" s="943"/>
      <c r="L985" s="943"/>
      <c r="M985" s="943"/>
      <c r="N985" s="943"/>
      <c r="O985" s="943"/>
      <c r="P985" s="943"/>
      <c r="Q985" s="943"/>
      <c r="R985" s="943"/>
      <c r="S985" s="943"/>
      <c r="T985" s="943"/>
      <c r="U985" s="943"/>
      <c r="V985" s="943"/>
      <c r="W985" s="943"/>
      <c r="X985" s="943"/>
      <c r="Y985" s="943"/>
      <c r="Z985" s="943"/>
      <c r="AA985" s="943"/>
      <c r="AB985" s="943"/>
      <c r="AC985" s="943"/>
      <c r="AD985" s="943"/>
      <c r="AE985" s="943"/>
    </row>
    <row r="986" spans="1:31" ht="15.75" customHeight="1">
      <c r="A986" s="943"/>
      <c r="B986" s="943"/>
      <c r="C986" s="943"/>
      <c r="D986" s="943"/>
      <c r="E986" s="943"/>
      <c r="F986" s="943"/>
      <c r="G986" s="943"/>
      <c r="H986" s="943"/>
      <c r="I986" s="943"/>
      <c r="J986" s="943"/>
      <c r="K986" s="943"/>
      <c r="L986" s="943"/>
      <c r="M986" s="943"/>
      <c r="N986" s="943"/>
      <c r="O986" s="943"/>
      <c r="P986" s="943"/>
      <c r="Q986" s="943"/>
      <c r="R986" s="943"/>
      <c r="S986" s="943"/>
      <c r="T986" s="943"/>
      <c r="U986" s="943"/>
      <c r="V986" s="943"/>
      <c r="W986" s="943"/>
      <c r="X986" s="943"/>
      <c r="Y986" s="943"/>
      <c r="Z986" s="943"/>
      <c r="AA986" s="943"/>
      <c r="AB986" s="943"/>
      <c r="AC986" s="943"/>
      <c r="AD986" s="943"/>
      <c r="AE986" s="943"/>
    </row>
    <row r="987" spans="1:31" ht="15.75" customHeight="1">
      <c r="A987" s="943"/>
      <c r="B987" s="943"/>
      <c r="C987" s="943"/>
      <c r="D987" s="943"/>
      <c r="E987" s="943"/>
      <c r="F987" s="943"/>
      <c r="G987" s="943"/>
      <c r="H987" s="943"/>
      <c r="I987" s="943"/>
      <c r="J987" s="943"/>
      <c r="K987" s="943"/>
      <c r="L987" s="943"/>
      <c r="M987" s="943"/>
      <c r="N987" s="943"/>
      <c r="O987" s="943"/>
      <c r="P987" s="943"/>
      <c r="Q987" s="943"/>
      <c r="R987" s="943"/>
      <c r="S987" s="943"/>
      <c r="T987" s="943"/>
      <c r="U987" s="943"/>
      <c r="V987" s="943"/>
      <c r="W987" s="943"/>
      <c r="X987" s="943"/>
      <c r="Y987" s="943"/>
      <c r="Z987" s="943"/>
      <c r="AA987" s="943"/>
      <c r="AB987" s="943"/>
      <c r="AC987" s="943"/>
      <c r="AD987" s="943"/>
      <c r="AE987" s="943"/>
    </row>
    <row r="988" spans="1:31" ht="15.75" customHeight="1">
      <c r="A988" s="943"/>
      <c r="B988" s="943"/>
      <c r="C988" s="943"/>
      <c r="D988" s="943"/>
      <c r="E988" s="943"/>
      <c r="F988" s="943"/>
      <c r="G988" s="943"/>
      <c r="H988" s="943"/>
      <c r="I988" s="943"/>
      <c r="J988" s="943"/>
      <c r="K988" s="943"/>
      <c r="L988" s="943"/>
      <c r="M988" s="943"/>
      <c r="N988" s="943"/>
      <c r="O988" s="943"/>
      <c r="P988" s="943"/>
      <c r="Q988" s="943"/>
      <c r="R988" s="943"/>
      <c r="S988" s="943"/>
      <c r="T988" s="943"/>
      <c r="U988" s="943"/>
      <c r="V988" s="943"/>
      <c r="W988" s="943"/>
      <c r="X988" s="943"/>
      <c r="Y988" s="943"/>
      <c r="Z988" s="943"/>
      <c r="AA988" s="943"/>
      <c r="AB988" s="943"/>
      <c r="AC988" s="943"/>
      <c r="AD988" s="943"/>
      <c r="AE988" s="943"/>
    </row>
    <row r="989" spans="1:31" ht="15.75" customHeight="1">
      <c r="A989" s="943"/>
      <c r="B989" s="943"/>
      <c r="C989" s="943"/>
      <c r="D989" s="943"/>
      <c r="E989" s="943"/>
      <c r="F989" s="943"/>
      <c r="G989" s="943"/>
      <c r="H989" s="943"/>
      <c r="I989" s="943"/>
      <c r="J989" s="943"/>
      <c r="K989" s="943"/>
      <c r="L989" s="943"/>
      <c r="M989" s="943"/>
      <c r="N989" s="943"/>
      <c r="O989" s="943"/>
      <c r="P989" s="943"/>
      <c r="Q989" s="943"/>
      <c r="R989" s="943"/>
      <c r="S989" s="943"/>
      <c r="T989" s="943"/>
      <c r="U989" s="943"/>
      <c r="V989" s="943"/>
      <c r="W989" s="943"/>
      <c r="X989" s="943"/>
      <c r="Y989" s="943"/>
      <c r="Z989" s="943"/>
      <c r="AA989" s="943"/>
      <c r="AB989" s="943"/>
      <c r="AC989" s="943"/>
      <c r="AD989" s="943"/>
      <c r="AE989" s="943"/>
    </row>
    <row r="990" spans="1:31" ht="15.75" customHeight="1">
      <c r="A990" s="943"/>
      <c r="B990" s="943"/>
      <c r="C990" s="943"/>
      <c r="D990" s="943"/>
      <c r="E990" s="943"/>
      <c r="F990" s="943"/>
      <c r="G990" s="943"/>
      <c r="H990" s="943"/>
      <c r="I990" s="943"/>
      <c r="J990" s="943"/>
      <c r="K990" s="943"/>
      <c r="L990" s="943"/>
      <c r="M990" s="943"/>
      <c r="N990" s="943"/>
      <c r="O990" s="943"/>
      <c r="P990" s="943"/>
      <c r="Q990" s="943"/>
      <c r="R990" s="943"/>
      <c r="S990" s="943"/>
      <c r="T990" s="943"/>
      <c r="U990" s="943"/>
      <c r="V990" s="943"/>
      <c r="W990" s="943"/>
      <c r="X990" s="943"/>
      <c r="Y990" s="943"/>
      <c r="Z990" s="943"/>
      <c r="AA990" s="943"/>
      <c r="AB990" s="943"/>
      <c r="AC990" s="943"/>
      <c r="AD990" s="943"/>
      <c r="AE990" s="943"/>
    </row>
    <row r="991" spans="1:31" ht="15.75" customHeight="1">
      <c r="A991" s="943"/>
      <c r="B991" s="943"/>
      <c r="C991" s="943"/>
      <c r="D991" s="943"/>
      <c r="E991" s="943"/>
      <c r="F991" s="943"/>
      <c r="G991" s="943"/>
      <c r="H991" s="943"/>
      <c r="I991" s="943"/>
      <c r="J991" s="943"/>
      <c r="K991" s="943"/>
      <c r="L991" s="943"/>
      <c r="M991" s="943"/>
      <c r="N991" s="943"/>
      <c r="O991" s="943"/>
      <c r="P991" s="943"/>
      <c r="Q991" s="943"/>
      <c r="R991" s="943"/>
      <c r="S991" s="943"/>
      <c r="T991" s="943"/>
      <c r="U991" s="943"/>
      <c r="V991" s="943"/>
      <c r="W991" s="943"/>
      <c r="X991" s="943"/>
      <c r="Y991" s="943"/>
      <c r="Z991" s="943"/>
      <c r="AA991" s="943"/>
      <c r="AB991" s="943"/>
      <c r="AC991" s="943"/>
      <c r="AD991" s="943"/>
      <c r="AE991" s="943"/>
    </row>
    <row r="992" spans="1:31" ht="15.75" customHeight="1">
      <c r="A992" s="943"/>
      <c r="B992" s="943"/>
      <c r="C992" s="943"/>
      <c r="D992" s="943"/>
      <c r="E992" s="943"/>
      <c r="F992" s="943"/>
      <c r="G992" s="943"/>
      <c r="H992" s="943"/>
      <c r="I992" s="943"/>
      <c r="J992" s="943"/>
      <c r="K992" s="943"/>
      <c r="L992" s="943"/>
      <c r="M992" s="943"/>
      <c r="N992" s="943"/>
      <c r="O992" s="943"/>
      <c r="P992" s="943"/>
      <c r="Q992" s="943"/>
      <c r="R992" s="943"/>
      <c r="S992" s="943"/>
      <c r="T992" s="943"/>
      <c r="U992" s="943"/>
      <c r="V992" s="943"/>
      <c r="W992" s="943"/>
      <c r="X992" s="943"/>
      <c r="Y992" s="943"/>
      <c r="Z992" s="943"/>
      <c r="AA992" s="943"/>
      <c r="AB992" s="943"/>
      <c r="AC992" s="943"/>
      <c r="AD992" s="943"/>
      <c r="AE992" s="943"/>
    </row>
    <row r="993" spans="1:31" ht="15.75" customHeight="1">
      <c r="A993" s="943"/>
      <c r="B993" s="943"/>
      <c r="C993" s="943"/>
      <c r="D993" s="943"/>
      <c r="E993" s="943"/>
      <c r="F993" s="943"/>
      <c r="G993" s="943"/>
      <c r="H993" s="943"/>
      <c r="I993" s="943"/>
      <c r="J993" s="943"/>
      <c r="K993" s="943"/>
      <c r="L993" s="943"/>
      <c r="M993" s="943"/>
      <c r="N993" s="943"/>
      <c r="O993" s="943"/>
      <c r="P993" s="943"/>
      <c r="Q993" s="943"/>
      <c r="R993" s="943"/>
      <c r="S993" s="943"/>
      <c r="T993" s="943"/>
      <c r="U993" s="943"/>
      <c r="V993" s="943"/>
      <c r="W993" s="943"/>
      <c r="X993" s="943"/>
      <c r="Y993" s="943"/>
      <c r="Z993" s="943"/>
      <c r="AA993" s="943"/>
      <c r="AB993" s="943"/>
      <c r="AC993" s="943"/>
      <c r="AD993" s="943"/>
      <c r="AE993" s="943"/>
    </row>
    <row r="994" spans="1:31" ht="15.75" customHeight="1">
      <c r="A994" s="943"/>
      <c r="B994" s="943"/>
      <c r="C994" s="943"/>
      <c r="D994" s="943"/>
      <c r="E994" s="943"/>
      <c r="F994" s="943"/>
      <c r="G994" s="943"/>
      <c r="H994" s="943"/>
      <c r="I994" s="943"/>
      <c r="J994" s="943"/>
      <c r="K994" s="943"/>
      <c r="L994" s="943"/>
      <c r="M994" s="943"/>
      <c r="N994" s="943"/>
      <c r="O994" s="943"/>
      <c r="P994" s="943"/>
      <c r="Q994" s="943"/>
      <c r="R994" s="943"/>
      <c r="S994" s="943"/>
      <c r="T994" s="943"/>
      <c r="U994" s="943"/>
      <c r="V994" s="943"/>
      <c r="W994" s="943"/>
      <c r="X994" s="943"/>
      <c r="Y994" s="943"/>
      <c r="Z994" s="943"/>
      <c r="AA994" s="943"/>
      <c r="AB994" s="943"/>
      <c r="AC994" s="943"/>
      <c r="AD994" s="943"/>
      <c r="AE994" s="943"/>
    </row>
    <row r="995" spans="1:31" ht="15.75" customHeight="1">
      <c r="A995" s="943"/>
      <c r="B995" s="943"/>
      <c r="C995" s="943"/>
      <c r="D995" s="943"/>
      <c r="E995" s="943"/>
      <c r="F995" s="943"/>
      <c r="G995" s="943"/>
      <c r="H995" s="943"/>
      <c r="I995" s="943"/>
      <c r="J995" s="943"/>
      <c r="K995" s="943"/>
      <c r="L995" s="943"/>
      <c r="M995" s="943"/>
      <c r="N995" s="943"/>
      <c r="O995" s="943"/>
      <c r="P995" s="943"/>
      <c r="Q995" s="943"/>
      <c r="R995" s="943"/>
      <c r="S995" s="943"/>
      <c r="T995" s="943"/>
      <c r="U995" s="943"/>
      <c r="V995" s="943"/>
      <c r="W995" s="943"/>
      <c r="X995" s="943"/>
      <c r="Y995" s="943"/>
      <c r="Z995" s="943"/>
      <c r="AA995" s="943"/>
      <c r="AB995" s="943"/>
      <c r="AC995" s="943"/>
      <c r="AD995" s="943"/>
      <c r="AE995" s="943"/>
    </row>
    <row r="996" spans="1:31" ht="15.75" customHeight="1">
      <c r="A996" s="943"/>
      <c r="B996" s="943"/>
      <c r="C996" s="943"/>
      <c r="D996" s="943"/>
      <c r="E996" s="943"/>
      <c r="F996" s="943"/>
      <c r="G996" s="943"/>
      <c r="H996" s="943"/>
      <c r="I996" s="943"/>
      <c r="J996" s="943"/>
      <c r="K996" s="943"/>
      <c r="L996" s="943"/>
      <c r="M996" s="943"/>
      <c r="N996" s="943"/>
      <c r="O996" s="943"/>
      <c r="P996" s="943"/>
      <c r="Q996" s="943"/>
      <c r="R996" s="943"/>
      <c r="S996" s="943"/>
      <c r="T996" s="943"/>
      <c r="U996" s="943"/>
      <c r="V996" s="943"/>
      <c r="W996" s="943"/>
      <c r="X996" s="943"/>
      <c r="Y996" s="943"/>
      <c r="Z996" s="943"/>
      <c r="AA996" s="943"/>
      <c r="AB996" s="943"/>
      <c r="AC996" s="943"/>
      <c r="AD996" s="943"/>
      <c r="AE996" s="943"/>
    </row>
    <row r="997" spans="1:31" ht="15.75" customHeight="1">
      <c r="A997" s="943"/>
      <c r="B997" s="943"/>
      <c r="C997" s="943"/>
      <c r="D997" s="943"/>
      <c r="E997" s="943"/>
      <c r="F997" s="943"/>
      <c r="G997" s="943"/>
      <c r="H997" s="943"/>
      <c r="I997" s="943"/>
      <c r="J997" s="943"/>
      <c r="K997" s="943"/>
      <c r="L997" s="943"/>
      <c r="M997" s="943"/>
      <c r="N997" s="943"/>
      <c r="O997" s="943"/>
      <c r="P997" s="943"/>
      <c r="Q997" s="943"/>
      <c r="R997" s="943"/>
      <c r="S997" s="943"/>
      <c r="T997" s="943"/>
      <c r="U997" s="943"/>
      <c r="V997" s="943"/>
      <c r="W997" s="943"/>
      <c r="X997" s="943"/>
      <c r="Y997" s="943"/>
      <c r="Z997" s="943"/>
      <c r="AA997" s="943"/>
      <c r="AB997" s="943"/>
      <c r="AC997" s="943"/>
      <c r="AD997" s="943"/>
      <c r="AE997" s="943"/>
    </row>
    <row r="998" spans="1:31" ht="15.75" customHeight="1">
      <c r="A998" s="943"/>
      <c r="B998" s="943"/>
      <c r="C998" s="943"/>
      <c r="D998" s="943"/>
      <c r="E998" s="943"/>
      <c r="F998" s="943"/>
      <c r="G998" s="943"/>
      <c r="H998" s="943"/>
      <c r="I998" s="943"/>
      <c r="J998" s="943"/>
      <c r="K998" s="943"/>
      <c r="L998" s="943"/>
      <c r="M998" s="943"/>
      <c r="N998" s="943"/>
      <c r="O998" s="943"/>
      <c r="P998" s="943"/>
      <c r="Q998" s="943"/>
      <c r="R998" s="943"/>
      <c r="S998" s="943"/>
      <c r="T998" s="943"/>
      <c r="U998" s="943"/>
      <c r="V998" s="943"/>
      <c r="W998" s="943"/>
      <c r="X998" s="943"/>
      <c r="Y998" s="943"/>
      <c r="Z998" s="943"/>
      <c r="AA998" s="943"/>
      <c r="AB998" s="943"/>
      <c r="AC998" s="943"/>
      <c r="AD998" s="943"/>
      <c r="AE998" s="943"/>
    </row>
    <row r="999" spans="1:31" ht="15.75" customHeight="1">
      <c r="A999" s="943"/>
      <c r="B999" s="943"/>
      <c r="C999" s="943"/>
      <c r="D999" s="943"/>
      <c r="E999" s="943"/>
      <c r="F999" s="943"/>
      <c r="G999" s="943"/>
      <c r="H999" s="943"/>
      <c r="I999" s="943"/>
      <c r="J999" s="943"/>
      <c r="K999" s="943"/>
      <c r="L999" s="943"/>
      <c r="M999" s="943"/>
      <c r="N999" s="943"/>
      <c r="O999" s="943"/>
      <c r="P999" s="943"/>
      <c r="Q999" s="943"/>
      <c r="R999" s="943"/>
      <c r="S999" s="943"/>
      <c r="T999" s="943"/>
      <c r="U999" s="943"/>
      <c r="V999" s="943"/>
      <c r="W999" s="943"/>
      <c r="X999" s="943"/>
      <c r="Y999" s="943"/>
      <c r="Z999" s="943"/>
      <c r="AA999" s="943"/>
      <c r="AB999" s="943"/>
      <c r="AC999" s="943"/>
      <c r="AD999" s="943"/>
      <c r="AE999" s="943"/>
    </row>
    <row r="1000" spans="1:31" ht="15.75" customHeight="1">
      <c r="A1000" s="943"/>
      <c r="B1000" s="943"/>
      <c r="C1000" s="943"/>
      <c r="D1000" s="943"/>
      <c r="E1000" s="943"/>
      <c r="F1000" s="943"/>
      <c r="G1000" s="943"/>
      <c r="H1000" s="943"/>
      <c r="I1000" s="943"/>
      <c r="J1000" s="943"/>
      <c r="K1000" s="943"/>
      <c r="L1000" s="943"/>
      <c r="M1000" s="943"/>
      <c r="N1000" s="943"/>
      <c r="O1000" s="943"/>
      <c r="P1000" s="943"/>
      <c r="Q1000" s="943"/>
      <c r="R1000" s="943"/>
      <c r="S1000" s="943"/>
      <c r="T1000" s="943"/>
      <c r="U1000" s="943"/>
      <c r="V1000" s="943"/>
      <c r="W1000" s="943"/>
      <c r="X1000" s="943"/>
      <c r="Y1000" s="943"/>
      <c r="Z1000" s="943"/>
      <c r="AA1000" s="943"/>
      <c r="AB1000" s="943"/>
      <c r="AC1000" s="943"/>
      <c r="AD1000" s="943"/>
      <c r="AE1000" s="943"/>
    </row>
    <row r="1001" spans="1:31" ht="15.75" customHeight="1">
      <c r="A1001" s="943"/>
      <c r="B1001" s="943"/>
      <c r="C1001" s="943"/>
      <c r="D1001" s="943"/>
      <c r="E1001" s="943"/>
      <c r="F1001" s="943"/>
      <c r="G1001" s="943"/>
      <c r="H1001" s="943"/>
      <c r="I1001" s="943"/>
      <c r="J1001" s="943"/>
      <c r="K1001" s="943"/>
      <c r="L1001" s="943"/>
      <c r="M1001" s="943"/>
      <c r="N1001" s="943"/>
      <c r="O1001" s="943"/>
      <c r="P1001" s="943"/>
      <c r="Q1001" s="943"/>
      <c r="R1001" s="943"/>
      <c r="S1001" s="943"/>
      <c r="T1001" s="943"/>
      <c r="U1001" s="943"/>
      <c r="V1001" s="943"/>
      <c r="W1001" s="943"/>
      <c r="X1001" s="943"/>
      <c r="Y1001" s="943"/>
      <c r="Z1001" s="943"/>
      <c r="AA1001" s="943"/>
      <c r="AB1001" s="943"/>
      <c r="AC1001" s="943"/>
      <c r="AD1001" s="943"/>
      <c r="AE1001" s="943"/>
    </row>
    <row r="1002" spans="1:31" ht="15.75" customHeight="1">
      <c r="A1002" s="943"/>
      <c r="B1002" s="943"/>
      <c r="C1002" s="943"/>
      <c r="D1002" s="943"/>
      <c r="E1002" s="943"/>
      <c r="F1002" s="943"/>
      <c r="G1002" s="943"/>
      <c r="H1002" s="943"/>
      <c r="I1002" s="943"/>
      <c r="J1002" s="943"/>
      <c r="K1002" s="943"/>
      <c r="L1002" s="943"/>
      <c r="M1002" s="943"/>
      <c r="N1002" s="943"/>
      <c r="O1002" s="943"/>
      <c r="P1002" s="943"/>
      <c r="Q1002" s="943"/>
      <c r="R1002" s="943"/>
      <c r="S1002" s="943"/>
      <c r="T1002" s="943"/>
      <c r="U1002" s="943"/>
      <c r="V1002" s="943"/>
      <c r="W1002" s="943"/>
      <c r="X1002" s="943"/>
      <c r="Y1002" s="943"/>
      <c r="Z1002" s="943"/>
      <c r="AA1002" s="943"/>
      <c r="AB1002" s="943"/>
      <c r="AC1002" s="943"/>
      <c r="AD1002" s="943"/>
      <c r="AE1002" s="943"/>
    </row>
    <row r="1003" spans="1:31" ht="15.75" customHeight="1">
      <c r="A1003" s="943"/>
      <c r="B1003" s="943"/>
      <c r="C1003" s="943"/>
      <c r="D1003" s="943"/>
      <c r="E1003" s="943"/>
      <c r="F1003" s="943"/>
      <c r="G1003" s="943"/>
      <c r="H1003" s="943"/>
      <c r="I1003" s="943"/>
      <c r="J1003" s="943"/>
      <c r="K1003" s="943"/>
      <c r="L1003" s="943"/>
      <c r="M1003" s="943"/>
      <c r="N1003" s="943"/>
      <c r="O1003" s="943"/>
      <c r="P1003" s="943"/>
      <c r="Q1003" s="943"/>
      <c r="R1003" s="943"/>
      <c r="S1003" s="943"/>
      <c r="T1003" s="943"/>
      <c r="U1003" s="943"/>
      <c r="V1003" s="943"/>
      <c r="W1003" s="943"/>
      <c r="X1003" s="943"/>
      <c r="Y1003" s="943"/>
      <c r="Z1003" s="943"/>
      <c r="AA1003" s="943"/>
      <c r="AB1003" s="943"/>
      <c r="AC1003" s="943"/>
      <c r="AD1003" s="943"/>
      <c r="AE1003" s="943"/>
    </row>
    <row r="1004" spans="1:31" ht="15.75" customHeight="1">
      <c r="A1004" s="943"/>
      <c r="B1004" s="943"/>
      <c r="C1004" s="943"/>
      <c r="D1004" s="943"/>
      <c r="E1004" s="943"/>
      <c r="F1004" s="943"/>
      <c r="G1004" s="943"/>
      <c r="H1004" s="943"/>
      <c r="I1004" s="943"/>
      <c r="J1004" s="943"/>
      <c r="K1004" s="943"/>
      <c r="L1004" s="943"/>
      <c r="M1004" s="943"/>
      <c r="N1004" s="943"/>
      <c r="O1004" s="943"/>
      <c r="P1004" s="943"/>
      <c r="Q1004" s="943"/>
      <c r="R1004" s="943"/>
      <c r="S1004" s="943"/>
      <c r="T1004" s="943"/>
      <c r="U1004" s="943"/>
      <c r="V1004" s="943"/>
      <c r="W1004" s="943"/>
      <c r="X1004" s="943"/>
      <c r="Y1004" s="943"/>
      <c r="Z1004" s="943"/>
      <c r="AA1004" s="943"/>
      <c r="AB1004" s="943"/>
      <c r="AC1004" s="943"/>
      <c r="AD1004" s="943"/>
      <c r="AE1004" s="943"/>
    </row>
    <row r="1005" spans="1:31" ht="15.75" customHeight="1">
      <c r="A1005" s="943"/>
      <c r="B1005" s="943"/>
      <c r="C1005" s="943"/>
      <c r="D1005" s="943"/>
      <c r="E1005" s="943"/>
      <c r="F1005" s="943"/>
      <c r="G1005" s="943"/>
      <c r="H1005" s="943"/>
      <c r="I1005" s="943"/>
      <c r="J1005" s="943"/>
      <c r="K1005" s="943"/>
      <c r="L1005" s="943"/>
      <c r="M1005" s="943"/>
      <c r="N1005" s="943"/>
      <c r="O1005" s="943"/>
      <c r="P1005" s="943"/>
      <c r="Q1005" s="943"/>
      <c r="R1005" s="943"/>
      <c r="S1005" s="943"/>
      <c r="T1005" s="943"/>
      <c r="U1005" s="943"/>
      <c r="V1005" s="943"/>
      <c r="W1005" s="943"/>
      <c r="X1005" s="943"/>
      <c r="Y1005" s="943"/>
      <c r="Z1005" s="943"/>
      <c r="AA1005" s="943"/>
      <c r="AB1005" s="943"/>
      <c r="AC1005" s="943"/>
      <c r="AD1005" s="943"/>
      <c r="AE1005" s="943"/>
    </row>
    <row r="1006" spans="1:31" ht="15.75" customHeight="1">
      <c r="A1006" s="943"/>
      <c r="B1006" s="943"/>
      <c r="C1006" s="943"/>
      <c r="D1006" s="943"/>
      <c r="E1006" s="943"/>
      <c r="F1006" s="943"/>
      <c r="G1006" s="943"/>
      <c r="H1006" s="943"/>
      <c r="I1006" s="943"/>
      <c r="J1006" s="943"/>
      <c r="K1006" s="943"/>
      <c r="L1006" s="943"/>
      <c r="M1006" s="943"/>
      <c r="N1006" s="943"/>
      <c r="O1006" s="943"/>
      <c r="P1006" s="943"/>
      <c r="Q1006" s="943"/>
      <c r="R1006" s="943"/>
      <c r="S1006" s="943"/>
      <c r="T1006" s="943"/>
      <c r="U1006" s="943"/>
      <c r="V1006" s="943"/>
      <c r="W1006" s="943"/>
      <c r="X1006" s="943"/>
      <c r="Y1006" s="943"/>
      <c r="Z1006" s="943"/>
      <c r="AA1006" s="943"/>
      <c r="AB1006" s="943"/>
      <c r="AC1006" s="943"/>
      <c r="AD1006" s="943"/>
      <c r="AE1006" s="943"/>
    </row>
    <row r="1007" spans="1:31" ht="15.75" customHeight="1">
      <c r="A1007" s="943"/>
      <c r="B1007" s="943"/>
      <c r="C1007" s="943"/>
      <c r="D1007" s="943"/>
      <c r="E1007" s="943"/>
      <c r="F1007" s="943"/>
      <c r="G1007" s="943"/>
      <c r="H1007" s="943"/>
      <c r="I1007" s="943"/>
      <c r="J1007" s="943"/>
      <c r="K1007" s="943"/>
      <c r="L1007" s="943"/>
      <c r="M1007" s="943"/>
      <c r="N1007" s="943"/>
      <c r="O1007" s="943"/>
      <c r="P1007" s="943"/>
      <c r="Q1007" s="943"/>
      <c r="R1007" s="943"/>
      <c r="S1007" s="943"/>
      <c r="T1007" s="943"/>
      <c r="U1007" s="943"/>
      <c r="V1007" s="943"/>
      <c r="W1007" s="943"/>
      <c r="X1007" s="943"/>
      <c r="Y1007" s="943"/>
      <c r="Z1007" s="943"/>
      <c r="AA1007" s="943"/>
      <c r="AB1007" s="943"/>
      <c r="AC1007" s="943"/>
      <c r="AD1007" s="943"/>
      <c r="AE1007" s="943"/>
    </row>
    <row r="1008" spans="1:31" ht="15.75" customHeight="1">
      <c r="A1008" s="943"/>
      <c r="B1008" s="943"/>
      <c r="C1008" s="943"/>
      <c r="D1008" s="943"/>
      <c r="E1008" s="943"/>
      <c r="F1008" s="943"/>
      <c r="G1008" s="943"/>
      <c r="H1008" s="943"/>
      <c r="I1008" s="943"/>
      <c r="J1008" s="943"/>
      <c r="K1008" s="943"/>
      <c r="L1008" s="943"/>
      <c r="M1008" s="943"/>
      <c r="N1008" s="943"/>
      <c r="O1008" s="943"/>
      <c r="P1008" s="943"/>
      <c r="Q1008" s="943"/>
      <c r="R1008" s="943"/>
      <c r="S1008" s="943"/>
      <c r="T1008" s="943"/>
      <c r="U1008" s="943"/>
      <c r="V1008" s="943"/>
      <c r="W1008" s="943"/>
      <c r="X1008" s="943"/>
      <c r="Y1008" s="943"/>
      <c r="Z1008" s="943"/>
      <c r="AA1008" s="943"/>
      <c r="AB1008" s="943"/>
      <c r="AC1008" s="943"/>
      <c r="AD1008" s="943"/>
      <c r="AE1008" s="943"/>
    </row>
    <row r="1009" spans="1:31" ht="15.75" customHeight="1">
      <c r="A1009" s="943"/>
      <c r="B1009" s="943"/>
      <c r="C1009" s="943"/>
      <c r="D1009" s="943"/>
      <c r="E1009" s="943"/>
      <c r="F1009" s="943"/>
      <c r="G1009" s="943"/>
      <c r="H1009" s="943"/>
      <c r="I1009" s="943"/>
      <c r="J1009" s="943"/>
      <c r="K1009" s="943"/>
      <c r="L1009" s="943"/>
      <c r="M1009" s="943"/>
      <c r="N1009" s="943"/>
      <c r="O1009" s="943"/>
      <c r="P1009" s="943"/>
      <c r="Q1009" s="943"/>
      <c r="R1009" s="943"/>
      <c r="S1009" s="943"/>
      <c r="T1009" s="943"/>
      <c r="U1009" s="943"/>
      <c r="V1009" s="943"/>
      <c r="W1009" s="943"/>
      <c r="X1009" s="943"/>
      <c r="Y1009" s="943"/>
      <c r="Z1009" s="943"/>
      <c r="AA1009" s="943"/>
      <c r="AB1009" s="943"/>
      <c r="AC1009" s="943"/>
      <c r="AD1009" s="943"/>
      <c r="AE1009" s="943"/>
    </row>
    <row r="1010" spans="1:31" ht="15.75" customHeight="1">
      <c r="A1010" s="943"/>
      <c r="B1010" s="943"/>
      <c r="C1010" s="943"/>
      <c r="D1010" s="943"/>
      <c r="E1010" s="943"/>
      <c r="F1010" s="943"/>
      <c r="G1010" s="943"/>
      <c r="H1010" s="943"/>
      <c r="I1010" s="943"/>
      <c r="J1010" s="943"/>
      <c r="K1010" s="943"/>
      <c r="L1010" s="943"/>
      <c r="M1010" s="943"/>
      <c r="N1010" s="943"/>
      <c r="O1010" s="943"/>
      <c r="P1010" s="943"/>
      <c r="Q1010" s="943"/>
      <c r="R1010" s="943"/>
      <c r="S1010" s="943"/>
      <c r="T1010" s="943"/>
      <c r="U1010" s="943"/>
      <c r="V1010" s="943"/>
      <c r="W1010" s="943"/>
      <c r="X1010" s="943"/>
      <c r="Y1010" s="943"/>
      <c r="Z1010" s="943"/>
      <c r="AA1010" s="943"/>
      <c r="AB1010" s="943"/>
      <c r="AC1010" s="943"/>
      <c r="AD1010" s="943"/>
      <c r="AE1010" s="943"/>
    </row>
    <row r="1011" spans="1:31" ht="15.75" customHeight="1">
      <c r="A1011" s="943"/>
      <c r="B1011" s="943"/>
      <c r="C1011" s="943"/>
      <c r="D1011" s="943"/>
      <c r="E1011" s="943"/>
      <c r="F1011" s="943"/>
      <c r="G1011" s="943"/>
      <c r="H1011" s="943"/>
      <c r="I1011" s="943"/>
      <c r="J1011" s="943"/>
      <c r="K1011" s="943"/>
      <c r="L1011" s="943"/>
      <c r="M1011" s="943"/>
      <c r="N1011" s="943"/>
      <c r="O1011" s="943"/>
      <c r="P1011" s="943"/>
      <c r="Q1011" s="943"/>
      <c r="R1011" s="943"/>
      <c r="S1011" s="943"/>
      <c r="T1011" s="943"/>
      <c r="U1011" s="943"/>
      <c r="V1011" s="943"/>
      <c r="W1011" s="943"/>
      <c r="X1011" s="943"/>
      <c r="Y1011" s="943"/>
      <c r="Z1011" s="943"/>
      <c r="AA1011" s="943"/>
      <c r="AB1011" s="943"/>
      <c r="AC1011" s="943"/>
      <c r="AD1011" s="943"/>
      <c r="AE1011" s="943"/>
    </row>
    <row r="1012" spans="1:31" ht="15.75" customHeight="1">
      <c r="A1012" s="943"/>
      <c r="B1012" s="943"/>
      <c r="C1012" s="943"/>
      <c r="D1012" s="943"/>
      <c r="E1012" s="943"/>
      <c r="F1012" s="943"/>
      <c r="G1012" s="943"/>
      <c r="H1012" s="943"/>
      <c r="I1012" s="943"/>
      <c r="J1012" s="943"/>
      <c r="K1012" s="943"/>
      <c r="L1012" s="943"/>
      <c r="M1012" s="943"/>
      <c r="N1012" s="943"/>
      <c r="O1012" s="943"/>
      <c r="P1012" s="943"/>
      <c r="Q1012" s="943"/>
      <c r="R1012" s="943"/>
      <c r="S1012" s="943"/>
      <c r="T1012" s="943"/>
      <c r="U1012" s="943"/>
      <c r="V1012" s="943"/>
      <c r="W1012" s="943"/>
      <c r="X1012" s="943"/>
      <c r="Y1012" s="943"/>
      <c r="Z1012" s="943"/>
      <c r="AA1012" s="943"/>
      <c r="AB1012" s="943"/>
      <c r="AC1012" s="943"/>
      <c r="AD1012" s="943"/>
      <c r="AE1012" s="943"/>
    </row>
    <row r="1013" spans="1:31" ht="15.75" customHeight="1">
      <c r="A1013" s="943"/>
      <c r="B1013" s="943"/>
      <c r="C1013" s="943"/>
      <c r="D1013" s="943"/>
      <c r="E1013" s="943"/>
      <c r="F1013" s="943"/>
      <c r="G1013" s="943"/>
      <c r="H1013" s="943"/>
      <c r="I1013" s="943"/>
      <c r="J1013" s="943"/>
      <c r="K1013" s="943"/>
      <c r="L1013" s="943"/>
      <c r="M1013" s="943"/>
      <c r="N1013" s="943"/>
      <c r="O1013" s="943"/>
      <c r="P1013" s="943"/>
      <c r="Q1013" s="943"/>
      <c r="R1013" s="943"/>
      <c r="S1013" s="943"/>
      <c r="T1013" s="943"/>
      <c r="U1013" s="943"/>
      <c r="V1013" s="943"/>
      <c r="W1013" s="943"/>
      <c r="X1013" s="943"/>
      <c r="Y1013" s="943"/>
      <c r="Z1013" s="943"/>
      <c r="AA1013" s="943"/>
      <c r="AB1013" s="943"/>
      <c r="AC1013" s="943"/>
      <c r="AD1013" s="943"/>
      <c r="AE1013" s="943"/>
    </row>
    <row r="1014" spans="1:31" ht="15.75" customHeight="1">
      <c r="A1014" s="943"/>
      <c r="B1014" s="943"/>
      <c r="C1014" s="943"/>
      <c r="D1014" s="943"/>
      <c r="E1014" s="943"/>
      <c r="F1014" s="943"/>
      <c r="G1014" s="943"/>
      <c r="H1014" s="943"/>
      <c r="I1014" s="943"/>
      <c r="J1014" s="943"/>
      <c r="K1014" s="943"/>
      <c r="L1014" s="943"/>
      <c r="M1014" s="943"/>
      <c r="N1014" s="943"/>
      <c r="O1014" s="943"/>
      <c r="P1014" s="943"/>
      <c r="Q1014" s="943"/>
      <c r="R1014" s="943"/>
      <c r="S1014" s="943"/>
      <c r="T1014" s="943"/>
      <c r="U1014" s="943"/>
      <c r="V1014" s="943"/>
      <c r="W1014" s="943"/>
      <c r="X1014" s="943"/>
      <c r="Y1014" s="943"/>
      <c r="Z1014" s="943"/>
      <c r="AA1014" s="943"/>
      <c r="AB1014" s="943"/>
      <c r="AC1014" s="943"/>
      <c r="AD1014" s="943"/>
      <c r="AE1014" s="943"/>
    </row>
    <row r="1015" spans="1:31" ht="15.75" customHeight="1">
      <c r="A1015" s="943"/>
      <c r="B1015" s="943"/>
      <c r="C1015" s="943"/>
      <c r="D1015" s="943"/>
      <c r="E1015" s="943"/>
      <c r="F1015" s="943"/>
      <c r="G1015" s="943"/>
      <c r="H1015" s="943"/>
      <c r="I1015" s="943"/>
      <c r="J1015" s="943"/>
      <c r="K1015" s="943"/>
      <c r="L1015" s="943"/>
      <c r="M1015" s="943"/>
      <c r="N1015" s="943"/>
      <c r="O1015" s="943"/>
      <c r="P1015" s="943"/>
      <c r="Q1015" s="943"/>
      <c r="R1015" s="943"/>
      <c r="S1015" s="943"/>
      <c r="T1015" s="943"/>
      <c r="U1015" s="943"/>
      <c r="V1015" s="943"/>
      <c r="W1015" s="943"/>
      <c r="X1015" s="943"/>
      <c r="Y1015" s="943"/>
      <c r="Z1015" s="943"/>
      <c r="AA1015" s="943"/>
      <c r="AB1015" s="943"/>
      <c r="AC1015" s="943"/>
      <c r="AD1015" s="943"/>
      <c r="AE1015" s="943"/>
    </row>
    <row r="1016" spans="1:31" ht="15.75" customHeight="1">
      <c r="A1016" s="943"/>
      <c r="B1016" s="943"/>
      <c r="C1016" s="943"/>
      <c r="D1016" s="943"/>
      <c r="E1016" s="943"/>
      <c r="F1016" s="943"/>
      <c r="G1016" s="943"/>
      <c r="H1016" s="943"/>
      <c r="I1016" s="943"/>
      <c r="J1016" s="943"/>
      <c r="K1016" s="943"/>
      <c r="L1016" s="943"/>
      <c r="M1016" s="943"/>
      <c r="N1016" s="943"/>
      <c r="O1016" s="943"/>
      <c r="P1016" s="943"/>
      <c r="Q1016" s="943"/>
      <c r="R1016" s="943"/>
      <c r="S1016" s="943"/>
      <c r="T1016" s="943"/>
      <c r="U1016" s="943"/>
      <c r="V1016" s="943"/>
      <c r="W1016" s="943"/>
      <c r="X1016" s="943"/>
      <c r="Y1016" s="943"/>
      <c r="Z1016" s="943"/>
      <c r="AA1016" s="943"/>
      <c r="AB1016" s="943"/>
      <c r="AC1016" s="943"/>
      <c r="AD1016" s="943"/>
      <c r="AE1016" s="943"/>
    </row>
    <row r="1017" spans="1:31" ht="15.75" customHeight="1">
      <c r="A1017" s="943"/>
      <c r="B1017" s="943"/>
      <c r="C1017" s="943"/>
      <c r="D1017" s="943"/>
      <c r="E1017" s="943"/>
      <c r="F1017" s="943"/>
      <c r="G1017" s="943"/>
      <c r="H1017" s="943"/>
      <c r="I1017" s="943"/>
      <c r="J1017" s="943"/>
      <c r="K1017" s="943"/>
      <c r="L1017" s="943"/>
      <c r="M1017" s="943"/>
      <c r="N1017" s="943"/>
      <c r="O1017" s="943"/>
      <c r="P1017" s="943"/>
      <c r="Q1017" s="943"/>
      <c r="R1017" s="943"/>
      <c r="S1017" s="943"/>
      <c r="T1017" s="943"/>
      <c r="U1017" s="943"/>
      <c r="V1017" s="943"/>
      <c r="W1017" s="943"/>
      <c r="X1017" s="943"/>
      <c r="Y1017" s="943"/>
      <c r="Z1017" s="943"/>
      <c r="AA1017" s="943"/>
      <c r="AB1017" s="943"/>
      <c r="AC1017" s="943"/>
      <c r="AD1017" s="943"/>
      <c r="AE1017" s="943"/>
    </row>
    <row r="1018" spans="1:31" ht="15.75" customHeight="1">
      <c r="A1018" s="943"/>
      <c r="B1018" s="943"/>
      <c r="C1018" s="943"/>
      <c r="D1018" s="943"/>
      <c r="E1018" s="943"/>
      <c r="F1018" s="943"/>
      <c r="G1018" s="943"/>
      <c r="H1018" s="943"/>
      <c r="I1018" s="943"/>
      <c r="J1018" s="943"/>
      <c r="K1018" s="943"/>
      <c r="L1018" s="943"/>
      <c r="M1018" s="943"/>
      <c r="N1018" s="943"/>
      <c r="O1018" s="943"/>
      <c r="P1018" s="943"/>
      <c r="Q1018" s="943"/>
      <c r="R1018" s="943"/>
      <c r="S1018" s="943"/>
      <c r="T1018" s="943"/>
      <c r="U1018" s="943"/>
      <c r="V1018" s="943"/>
      <c r="W1018" s="943"/>
      <c r="X1018" s="943"/>
      <c r="Y1018" s="943"/>
      <c r="Z1018" s="943"/>
      <c r="AA1018" s="943"/>
      <c r="AB1018" s="943"/>
      <c r="AC1018" s="943"/>
      <c r="AD1018" s="943"/>
      <c r="AE1018" s="943"/>
    </row>
    <row r="1019" spans="1:31" ht="15.75" customHeight="1">
      <c r="A1019" s="943"/>
      <c r="B1019" s="943"/>
      <c r="C1019" s="943"/>
      <c r="D1019" s="943"/>
      <c r="E1019" s="943"/>
      <c r="F1019" s="943"/>
      <c r="G1019" s="943"/>
      <c r="H1019" s="943"/>
      <c r="I1019" s="943"/>
      <c r="J1019" s="943"/>
      <c r="K1019" s="943"/>
      <c r="L1019" s="943"/>
      <c r="M1019" s="943"/>
      <c r="N1019" s="943"/>
      <c r="O1019" s="943"/>
      <c r="P1019" s="943"/>
      <c r="Q1019" s="943"/>
      <c r="R1019" s="943"/>
      <c r="S1019" s="943"/>
      <c r="T1019" s="943"/>
      <c r="U1019" s="943"/>
      <c r="V1019" s="943"/>
      <c r="W1019" s="943"/>
      <c r="X1019" s="943"/>
      <c r="Y1019" s="943"/>
      <c r="Z1019" s="943"/>
      <c r="AA1019" s="943"/>
      <c r="AB1019" s="943"/>
      <c r="AC1019" s="943"/>
      <c r="AD1019" s="943"/>
      <c r="AE1019" s="943"/>
    </row>
    <row r="1020" spans="1:31" ht="15.75" customHeight="1">
      <c r="A1020" s="943"/>
      <c r="B1020" s="943"/>
      <c r="C1020" s="943"/>
      <c r="D1020" s="943"/>
      <c r="E1020" s="943"/>
      <c r="F1020" s="943"/>
      <c r="G1020" s="943"/>
      <c r="H1020" s="943"/>
      <c r="I1020" s="943"/>
      <c r="J1020" s="943"/>
      <c r="K1020" s="943"/>
      <c r="L1020" s="943"/>
      <c r="M1020" s="943"/>
      <c r="N1020" s="943"/>
      <c r="O1020" s="943"/>
      <c r="P1020" s="943"/>
      <c r="Q1020" s="943"/>
      <c r="R1020" s="943"/>
      <c r="S1020" s="943"/>
      <c r="T1020" s="943"/>
      <c r="U1020" s="943"/>
      <c r="V1020" s="943"/>
      <c r="W1020" s="943"/>
      <c r="X1020" s="943"/>
      <c r="Y1020" s="943"/>
      <c r="Z1020" s="943"/>
      <c r="AA1020" s="943"/>
      <c r="AB1020" s="943"/>
      <c r="AC1020" s="943"/>
      <c r="AD1020" s="943"/>
      <c r="AE1020" s="943"/>
    </row>
    <row r="1021" spans="1:31" ht="15.75" customHeight="1">
      <c r="A1021" s="943"/>
      <c r="B1021" s="943"/>
      <c r="C1021" s="943"/>
      <c r="D1021" s="943"/>
      <c r="E1021" s="943"/>
      <c r="F1021" s="943"/>
      <c r="G1021" s="943"/>
      <c r="H1021" s="943"/>
      <c r="I1021" s="943"/>
      <c r="J1021" s="943"/>
      <c r="K1021" s="943"/>
      <c r="L1021" s="943"/>
      <c r="M1021" s="943"/>
      <c r="N1021" s="943"/>
      <c r="O1021" s="943"/>
      <c r="P1021" s="943"/>
      <c r="Q1021" s="943"/>
      <c r="R1021" s="943"/>
      <c r="S1021" s="943"/>
      <c r="T1021" s="943"/>
      <c r="U1021" s="943"/>
      <c r="V1021" s="943"/>
      <c r="W1021" s="943"/>
      <c r="X1021" s="943"/>
      <c r="Y1021" s="943"/>
      <c r="Z1021" s="943"/>
      <c r="AA1021" s="943"/>
      <c r="AB1021" s="943"/>
      <c r="AC1021" s="943"/>
      <c r="AD1021" s="943"/>
      <c r="AE1021" s="943"/>
    </row>
    <row r="1022" spans="1:31" ht="15.75" customHeight="1">
      <c r="A1022" s="943"/>
      <c r="B1022" s="943"/>
      <c r="C1022" s="943"/>
      <c r="D1022" s="943"/>
      <c r="E1022" s="943"/>
      <c r="F1022" s="943"/>
      <c r="G1022" s="943"/>
      <c r="H1022" s="943"/>
      <c r="I1022" s="943"/>
      <c r="J1022" s="943"/>
      <c r="K1022" s="943"/>
      <c r="L1022" s="943"/>
      <c r="M1022" s="943"/>
      <c r="N1022" s="943"/>
      <c r="O1022" s="943"/>
      <c r="P1022" s="943"/>
      <c r="Q1022" s="943"/>
      <c r="R1022" s="943"/>
      <c r="S1022" s="943"/>
      <c r="T1022" s="943"/>
      <c r="U1022" s="943"/>
      <c r="V1022" s="943"/>
      <c r="W1022" s="943"/>
      <c r="X1022" s="943"/>
      <c r="Y1022" s="943"/>
      <c r="Z1022" s="943"/>
      <c r="AA1022" s="943"/>
      <c r="AB1022" s="943"/>
      <c r="AC1022" s="943"/>
      <c r="AD1022" s="943"/>
      <c r="AE1022" s="943"/>
    </row>
    <row r="1023" spans="1:31" ht="15.75" customHeight="1">
      <c r="A1023" s="943"/>
      <c r="B1023" s="943"/>
      <c r="C1023" s="943"/>
      <c r="D1023" s="943"/>
      <c r="E1023" s="943"/>
      <c r="F1023" s="943"/>
      <c r="G1023" s="943"/>
      <c r="H1023" s="943"/>
      <c r="I1023" s="943"/>
      <c r="J1023" s="943"/>
      <c r="K1023" s="943"/>
      <c r="L1023" s="943"/>
      <c r="M1023" s="943"/>
      <c r="N1023" s="943"/>
      <c r="O1023" s="943"/>
      <c r="P1023" s="943"/>
      <c r="Q1023" s="943"/>
      <c r="R1023" s="943"/>
      <c r="S1023" s="943"/>
      <c r="T1023" s="943"/>
      <c r="U1023" s="943"/>
      <c r="V1023" s="943"/>
      <c r="W1023" s="943"/>
      <c r="X1023" s="943"/>
      <c r="Y1023" s="943"/>
      <c r="Z1023" s="943"/>
      <c r="AA1023" s="943"/>
      <c r="AB1023" s="943"/>
      <c r="AC1023" s="943"/>
      <c r="AD1023" s="943"/>
      <c r="AE1023" s="943"/>
    </row>
    <row r="1024" spans="1:31" ht="15.75" customHeight="1">
      <c r="A1024" s="943"/>
      <c r="B1024" s="943"/>
      <c r="C1024" s="943"/>
      <c r="D1024" s="943"/>
      <c r="E1024" s="943"/>
      <c r="F1024" s="943"/>
      <c r="G1024" s="943"/>
      <c r="H1024" s="943"/>
      <c r="I1024" s="943"/>
      <c r="J1024" s="943"/>
      <c r="K1024" s="943"/>
      <c r="L1024" s="943"/>
      <c r="M1024" s="943"/>
      <c r="N1024" s="943"/>
      <c r="O1024" s="943"/>
      <c r="P1024" s="943"/>
      <c r="Q1024" s="943"/>
      <c r="R1024" s="943"/>
      <c r="S1024" s="943"/>
      <c r="T1024" s="943"/>
      <c r="U1024" s="943"/>
      <c r="V1024" s="943"/>
      <c r="W1024" s="943"/>
      <c r="X1024" s="943"/>
      <c r="Y1024" s="943"/>
      <c r="Z1024" s="943"/>
      <c r="AA1024" s="943"/>
      <c r="AB1024" s="943"/>
      <c r="AC1024" s="943"/>
      <c r="AD1024" s="943"/>
      <c r="AE1024" s="943"/>
    </row>
    <row r="1025" spans="1:31" ht="15.75" customHeight="1">
      <c r="A1025" s="943"/>
      <c r="B1025" s="943"/>
      <c r="C1025" s="943"/>
      <c r="D1025" s="943"/>
      <c r="E1025" s="943"/>
      <c r="F1025" s="943"/>
      <c r="G1025" s="943"/>
      <c r="H1025" s="943"/>
      <c r="I1025" s="943"/>
      <c r="J1025" s="943"/>
      <c r="K1025" s="943"/>
      <c r="L1025" s="943"/>
      <c r="M1025" s="943"/>
      <c r="N1025" s="943"/>
      <c r="O1025" s="943"/>
      <c r="P1025" s="943"/>
      <c r="Q1025" s="943"/>
      <c r="R1025" s="943"/>
      <c r="S1025" s="943"/>
      <c r="T1025" s="943"/>
      <c r="U1025" s="943"/>
      <c r="V1025" s="943"/>
      <c r="W1025" s="943"/>
      <c r="X1025" s="943"/>
      <c r="Y1025" s="943"/>
      <c r="Z1025" s="943"/>
      <c r="AA1025" s="943"/>
      <c r="AB1025" s="943"/>
      <c r="AC1025" s="943"/>
      <c r="AD1025" s="943"/>
      <c r="AE1025" s="943"/>
    </row>
    <row r="1026" spans="1:31" ht="15.75" customHeight="1">
      <c r="A1026" s="943"/>
      <c r="B1026" s="943"/>
      <c r="C1026" s="943"/>
      <c r="D1026" s="943"/>
      <c r="E1026" s="943"/>
      <c r="F1026" s="943"/>
      <c r="G1026" s="943"/>
      <c r="H1026" s="943"/>
      <c r="I1026" s="943"/>
      <c r="J1026" s="943"/>
      <c r="K1026" s="943"/>
      <c r="L1026" s="943"/>
      <c r="M1026" s="943"/>
      <c r="N1026" s="943"/>
      <c r="O1026" s="943"/>
      <c r="P1026" s="943"/>
      <c r="Q1026" s="943"/>
      <c r="R1026" s="943"/>
      <c r="S1026" s="943"/>
      <c r="T1026" s="943"/>
      <c r="U1026" s="943"/>
      <c r="V1026" s="943"/>
      <c r="W1026" s="943"/>
      <c r="X1026" s="943"/>
      <c r="Y1026" s="943"/>
      <c r="Z1026" s="943"/>
      <c r="AA1026" s="943"/>
      <c r="AB1026" s="943"/>
      <c r="AC1026" s="943"/>
      <c r="AD1026" s="943"/>
      <c r="AE1026" s="943"/>
    </row>
    <row r="1027" spans="1:31" ht="15.75" customHeight="1">
      <c r="A1027" s="943"/>
      <c r="B1027" s="943"/>
      <c r="C1027" s="943"/>
      <c r="D1027" s="943"/>
      <c r="E1027" s="943"/>
      <c r="F1027" s="943"/>
      <c r="G1027" s="943"/>
      <c r="H1027" s="943"/>
      <c r="I1027" s="943"/>
      <c r="J1027" s="943"/>
      <c r="K1027" s="943"/>
      <c r="L1027" s="943"/>
      <c r="M1027" s="943"/>
      <c r="N1027" s="943"/>
      <c r="O1027" s="943"/>
      <c r="P1027" s="943"/>
      <c r="Q1027" s="943"/>
      <c r="R1027" s="943"/>
      <c r="S1027" s="943"/>
      <c r="T1027" s="943"/>
      <c r="U1027" s="943"/>
      <c r="V1027" s="943"/>
      <c r="W1027" s="943"/>
      <c r="X1027" s="943"/>
      <c r="Y1027" s="943"/>
      <c r="Z1027" s="943"/>
      <c r="AA1027" s="943"/>
      <c r="AB1027" s="943"/>
      <c r="AC1027" s="943"/>
      <c r="AD1027" s="943"/>
      <c r="AE1027" s="943"/>
    </row>
    <row r="1028" spans="1:31" ht="15.75" customHeight="1">
      <c r="A1028" s="943"/>
      <c r="B1028" s="943"/>
      <c r="C1028" s="943"/>
      <c r="D1028" s="943"/>
      <c r="E1028" s="943"/>
      <c r="F1028" s="943"/>
      <c r="G1028" s="943"/>
      <c r="H1028" s="943"/>
      <c r="I1028" s="943"/>
      <c r="J1028" s="943"/>
      <c r="K1028" s="943"/>
      <c r="L1028" s="943"/>
      <c r="M1028" s="943"/>
      <c r="N1028" s="943"/>
      <c r="O1028" s="943"/>
      <c r="P1028" s="943"/>
      <c r="Q1028" s="943"/>
      <c r="R1028" s="943"/>
      <c r="S1028" s="943"/>
      <c r="T1028" s="943"/>
      <c r="U1028" s="943"/>
      <c r="V1028" s="943"/>
      <c r="W1028" s="943"/>
      <c r="X1028" s="943"/>
      <c r="Y1028" s="943"/>
      <c r="Z1028" s="943"/>
      <c r="AA1028" s="943"/>
      <c r="AB1028" s="943"/>
      <c r="AC1028" s="943"/>
      <c r="AD1028" s="943"/>
      <c r="AE1028" s="943"/>
    </row>
    <row r="1029" spans="1:31" ht="15.75" customHeight="1">
      <c r="A1029" s="943"/>
      <c r="B1029" s="943"/>
      <c r="C1029" s="943"/>
      <c r="D1029" s="943"/>
      <c r="E1029" s="943"/>
      <c r="F1029" s="943"/>
      <c r="G1029" s="943"/>
      <c r="H1029" s="943"/>
      <c r="I1029" s="943"/>
      <c r="J1029" s="943"/>
      <c r="K1029" s="943"/>
      <c r="L1029" s="943"/>
      <c r="M1029" s="943"/>
      <c r="N1029" s="943"/>
      <c r="O1029" s="943"/>
      <c r="P1029" s="943"/>
      <c r="Q1029" s="943"/>
      <c r="R1029" s="943"/>
      <c r="S1029" s="943"/>
      <c r="T1029" s="943"/>
      <c r="U1029" s="943"/>
      <c r="V1029" s="943"/>
      <c r="W1029" s="943"/>
      <c r="X1029" s="943"/>
      <c r="Y1029" s="943"/>
      <c r="Z1029" s="943"/>
      <c r="AA1029" s="943"/>
      <c r="AB1029" s="943"/>
      <c r="AC1029" s="943"/>
      <c r="AD1029" s="943"/>
      <c r="AE1029" s="943"/>
    </row>
    <row r="1030" spans="1:31" ht="15.75" customHeight="1">
      <c r="A1030" s="943"/>
      <c r="B1030" s="943"/>
      <c r="C1030" s="943"/>
      <c r="D1030" s="943"/>
      <c r="E1030" s="943"/>
      <c r="F1030" s="943"/>
      <c r="G1030" s="943"/>
      <c r="H1030" s="943"/>
      <c r="I1030" s="943"/>
      <c r="J1030" s="943"/>
      <c r="K1030" s="943"/>
      <c r="L1030" s="943"/>
      <c r="M1030" s="943"/>
      <c r="N1030" s="943"/>
      <c r="O1030" s="943"/>
      <c r="P1030" s="943"/>
      <c r="Q1030" s="943"/>
      <c r="R1030" s="943"/>
      <c r="S1030" s="943"/>
      <c r="T1030" s="943"/>
      <c r="U1030" s="943"/>
      <c r="V1030" s="943"/>
      <c r="W1030" s="943"/>
      <c r="X1030" s="943"/>
      <c r="Y1030" s="943"/>
      <c r="Z1030" s="943"/>
      <c r="AA1030" s="943"/>
      <c r="AB1030" s="943"/>
      <c r="AC1030" s="943"/>
      <c r="AD1030" s="943"/>
      <c r="AE1030" s="943"/>
    </row>
    <row r="1031" spans="1:31" ht="15.75" customHeight="1">
      <c r="A1031" s="943"/>
      <c r="B1031" s="943"/>
      <c r="C1031" s="943"/>
      <c r="D1031" s="943"/>
      <c r="E1031" s="943"/>
      <c r="F1031" s="943"/>
      <c r="G1031" s="943"/>
      <c r="H1031" s="943"/>
      <c r="I1031" s="943"/>
      <c r="J1031" s="943"/>
      <c r="K1031" s="943"/>
      <c r="L1031" s="943"/>
      <c r="M1031" s="943"/>
      <c r="N1031" s="943"/>
      <c r="O1031" s="943"/>
      <c r="P1031" s="943"/>
      <c r="Q1031" s="943"/>
      <c r="R1031" s="943"/>
      <c r="S1031" s="943"/>
      <c r="T1031" s="943"/>
      <c r="U1031" s="943"/>
      <c r="V1031" s="943"/>
      <c r="W1031" s="943"/>
      <c r="X1031" s="943"/>
      <c r="Y1031" s="943"/>
      <c r="Z1031" s="943"/>
      <c r="AA1031" s="943"/>
      <c r="AB1031" s="943"/>
      <c r="AC1031" s="943"/>
      <c r="AD1031" s="943"/>
      <c r="AE1031" s="943"/>
    </row>
    <row r="1032" spans="1:31" ht="15.75" customHeight="1">
      <c r="A1032" s="943"/>
      <c r="B1032" s="943"/>
      <c r="C1032" s="943"/>
      <c r="D1032" s="943"/>
      <c r="E1032" s="943"/>
      <c r="F1032" s="943"/>
      <c r="G1032" s="943"/>
      <c r="H1032" s="943"/>
      <c r="I1032" s="943"/>
      <c r="J1032" s="943"/>
      <c r="K1032" s="943"/>
      <c r="L1032" s="943"/>
      <c r="M1032" s="943"/>
      <c r="N1032" s="943"/>
      <c r="O1032" s="943"/>
      <c r="P1032" s="943"/>
      <c r="Q1032" s="943"/>
      <c r="R1032" s="943"/>
      <c r="S1032" s="943"/>
      <c r="T1032" s="943"/>
      <c r="U1032" s="943"/>
      <c r="V1032" s="943"/>
      <c r="W1032" s="943"/>
      <c r="X1032" s="943"/>
      <c r="Y1032" s="943"/>
      <c r="Z1032" s="943"/>
      <c r="AA1032" s="943"/>
      <c r="AB1032" s="943"/>
      <c r="AC1032" s="943"/>
      <c r="AD1032" s="943"/>
      <c r="AE1032" s="943"/>
    </row>
    <row r="1033" spans="1:31" ht="15.75" customHeight="1">
      <c r="A1033" s="943"/>
      <c r="B1033" s="943"/>
      <c r="C1033" s="943"/>
      <c r="D1033" s="943"/>
      <c r="E1033" s="943"/>
      <c r="F1033" s="943"/>
      <c r="G1033" s="943"/>
      <c r="H1033" s="943"/>
      <c r="I1033" s="943"/>
      <c r="J1033" s="943"/>
      <c r="K1033" s="943"/>
      <c r="L1033" s="943"/>
      <c r="M1033" s="943"/>
      <c r="N1033" s="943"/>
      <c r="O1033" s="943"/>
      <c r="P1033" s="943"/>
      <c r="Q1033" s="943"/>
      <c r="R1033" s="943"/>
      <c r="S1033" s="943"/>
      <c r="T1033" s="943"/>
      <c r="U1033" s="943"/>
      <c r="V1033" s="943"/>
      <c r="W1033" s="943"/>
      <c r="X1033" s="943"/>
      <c r="Y1033" s="943"/>
      <c r="Z1033" s="943"/>
      <c r="AA1033" s="943"/>
      <c r="AB1033" s="943"/>
      <c r="AC1033" s="943"/>
      <c r="AD1033" s="943"/>
      <c r="AE1033" s="943"/>
    </row>
    <row r="1034" spans="1:31" ht="15.75" customHeight="1">
      <c r="A1034" s="943"/>
      <c r="B1034" s="943"/>
      <c r="C1034" s="943"/>
      <c r="D1034" s="943"/>
      <c r="E1034" s="943"/>
      <c r="F1034" s="943"/>
      <c r="G1034" s="943"/>
      <c r="H1034" s="943"/>
      <c r="I1034" s="943"/>
      <c r="J1034" s="943"/>
      <c r="K1034" s="943"/>
      <c r="L1034" s="943"/>
      <c r="M1034" s="943"/>
      <c r="N1034" s="943"/>
      <c r="O1034" s="943"/>
      <c r="P1034" s="943"/>
      <c r="Q1034" s="943"/>
      <c r="R1034" s="943"/>
      <c r="S1034" s="943"/>
      <c r="T1034" s="943"/>
      <c r="U1034" s="943"/>
      <c r="V1034" s="943"/>
      <c r="W1034" s="943"/>
      <c r="X1034" s="943"/>
      <c r="Y1034" s="943"/>
      <c r="Z1034" s="943"/>
      <c r="AA1034" s="943"/>
      <c r="AB1034" s="943"/>
      <c r="AC1034" s="943"/>
      <c r="AD1034" s="943"/>
      <c r="AE1034" s="943"/>
    </row>
    <row r="1035" spans="1:31" ht="15.75" customHeight="1">
      <c r="A1035" s="943"/>
      <c r="B1035" s="943"/>
      <c r="C1035" s="943"/>
      <c r="D1035" s="943"/>
      <c r="E1035" s="943"/>
      <c r="F1035" s="943"/>
      <c r="G1035" s="943"/>
      <c r="H1035" s="943"/>
      <c r="I1035" s="943"/>
      <c r="J1035" s="943"/>
      <c r="K1035" s="943"/>
      <c r="L1035" s="943"/>
      <c r="M1035" s="943"/>
      <c r="N1035" s="943"/>
      <c r="O1035" s="943"/>
      <c r="P1035" s="943"/>
      <c r="Q1035" s="943"/>
      <c r="R1035" s="943"/>
      <c r="S1035" s="943"/>
      <c r="T1035" s="943"/>
      <c r="U1035" s="943"/>
      <c r="V1035" s="943"/>
      <c r="W1035" s="943"/>
      <c r="X1035" s="943"/>
      <c r="Y1035" s="943"/>
      <c r="Z1035" s="943"/>
      <c r="AA1035" s="943"/>
      <c r="AB1035" s="943"/>
      <c r="AC1035" s="943"/>
      <c r="AD1035" s="943"/>
      <c r="AE1035" s="943"/>
    </row>
    <row r="1036" spans="1:31" ht="15.75" customHeight="1">
      <c r="A1036" s="943"/>
      <c r="B1036" s="943"/>
      <c r="C1036" s="943"/>
      <c r="D1036" s="943"/>
      <c r="E1036" s="943"/>
      <c r="F1036" s="943"/>
      <c r="G1036" s="943"/>
      <c r="H1036" s="943"/>
      <c r="I1036" s="943"/>
      <c r="J1036" s="943"/>
      <c r="K1036" s="943"/>
      <c r="L1036" s="943"/>
      <c r="M1036" s="943"/>
      <c r="N1036" s="943"/>
      <c r="O1036" s="943"/>
      <c r="P1036" s="943"/>
      <c r="Q1036" s="943"/>
      <c r="R1036" s="943"/>
      <c r="S1036" s="943"/>
      <c r="T1036" s="943"/>
      <c r="U1036" s="943"/>
      <c r="V1036" s="943"/>
      <c r="W1036" s="943"/>
      <c r="X1036" s="943"/>
      <c r="Y1036" s="943"/>
      <c r="Z1036" s="943"/>
      <c r="AA1036" s="943"/>
      <c r="AB1036" s="943"/>
      <c r="AC1036" s="943"/>
      <c r="AD1036" s="943"/>
      <c r="AE1036" s="943"/>
    </row>
    <row r="1037" spans="1:31" ht="15.75" customHeight="1">
      <c r="A1037" s="943"/>
      <c r="B1037" s="943"/>
      <c r="C1037" s="943"/>
      <c r="D1037" s="943"/>
      <c r="E1037" s="943"/>
      <c r="F1037" s="943"/>
      <c r="G1037" s="943"/>
      <c r="H1037" s="943"/>
      <c r="I1037" s="943"/>
      <c r="J1037" s="943"/>
      <c r="K1037" s="943"/>
      <c r="L1037" s="943"/>
      <c r="M1037" s="943"/>
      <c r="N1037" s="943"/>
      <c r="O1037" s="943"/>
      <c r="P1037" s="943"/>
      <c r="Q1037" s="943"/>
      <c r="R1037" s="943"/>
      <c r="S1037" s="943"/>
      <c r="T1037" s="943"/>
      <c r="U1037" s="943"/>
      <c r="V1037" s="943"/>
      <c r="W1037" s="943"/>
      <c r="X1037" s="943"/>
      <c r="Y1037" s="943"/>
      <c r="Z1037" s="943"/>
      <c r="AA1037" s="943"/>
      <c r="AB1037" s="943"/>
      <c r="AC1037" s="943"/>
      <c r="AD1037" s="943"/>
      <c r="AE1037" s="943"/>
    </row>
    <row r="1038" spans="1:31" ht="15.75" customHeight="1">
      <c r="A1038" s="943"/>
      <c r="B1038" s="943"/>
      <c r="C1038" s="943"/>
      <c r="D1038" s="943"/>
      <c r="E1038" s="943"/>
      <c r="F1038" s="943"/>
      <c r="G1038" s="943"/>
      <c r="H1038" s="943"/>
      <c r="I1038" s="943"/>
      <c r="J1038" s="943"/>
      <c r="K1038" s="943"/>
      <c r="L1038" s="943"/>
      <c r="M1038" s="943"/>
      <c r="N1038" s="943"/>
      <c r="O1038" s="943"/>
      <c r="P1038" s="943"/>
      <c r="Q1038" s="943"/>
      <c r="R1038" s="943"/>
      <c r="S1038" s="943"/>
      <c r="T1038" s="943"/>
      <c r="U1038" s="943"/>
      <c r="V1038" s="943"/>
      <c r="W1038" s="943"/>
      <c r="X1038" s="943"/>
      <c r="Y1038" s="943"/>
      <c r="Z1038" s="943"/>
      <c r="AA1038" s="943"/>
      <c r="AB1038" s="943"/>
      <c r="AC1038" s="943"/>
      <c r="AD1038" s="943"/>
      <c r="AE1038" s="943"/>
    </row>
    <row r="1039" spans="1:31" ht="15.75" customHeight="1">
      <c r="A1039" s="943"/>
      <c r="B1039" s="943"/>
      <c r="C1039" s="943"/>
      <c r="D1039" s="943"/>
      <c r="E1039" s="943"/>
      <c r="F1039" s="943"/>
      <c r="G1039" s="943"/>
      <c r="H1039" s="943"/>
      <c r="I1039" s="943"/>
      <c r="J1039" s="943"/>
      <c r="K1039" s="943"/>
      <c r="L1039" s="943"/>
      <c r="M1039" s="943"/>
      <c r="N1039" s="943"/>
      <c r="O1039" s="943"/>
      <c r="P1039" s="943"/>
      <c r="Q1039" s="943"/>
      <c r="R1039" s="943"/>
      <c r="S1039" s="943"/>
      <c r="T1039" s="943"/>
      <c r="U1039" s="943"/>
      <c r="V1039" s="943"/>
      <c r="W1039" s="943"/>
      <c r="X1039" s="943"/>
      <c r="Y1039" s="943"/>
      <c r="Z1039" s="943"/>
      <c r="AA1039" s="943"/>
      <c r="AB1039" s="943"/>
      <c r="AC1039" s="943"/>
      <c r="AD1039" s="943"/>
      <c r="AE1039" s="943"/>
    </row>
    <row r="1040" spans="1:31" ht="15.75" customHeight="1">
      <c r="A1040" s="943"/>
      <c r="B1040" s="943"/>
      <c r="C1040" s="943"/>
      <c r="D1040" s="943"/>
      <c r="E1040" s="943"/>
      <c r="F1040" s="943"/>
      <c r="G1040" s="943"/>
      <c r="H1040" s="943"/>
      <c r="I1040" s="943"/>
      <c r="J1040" s="943"/>
      <c r="K1040" s="943"/>
      <c r="L1040" s="943"/>
      <c r="M1040" s="943"/>
      <c r="N1040" s="943"/>
      <c r="O1040" s="943"/>
      <c r="P1040" s="943"/>
      <c r="Q1040" s="943"/>
      <c r="R1040" s="943"/>
      <c r="S1040" s="943"/>
      <c r="T1040" s="943"/>
      <c r="U1040" s="943"/>
      <c r="V1040" s="943"/>
      <c r="W1040" s="943"/>
      <c r="X1040" s="943"/>
      <c r="Y1040" s="943"/>
      <c r="Z1040" s="943"/>
      <c r="AA1040" s="943"/>
      <c r="AB1040" s="943"/>
      <c r="AC1040" s="943"/>
      <c r="AD1040" s="943"/>
      <c r="AE1040" s="943"/>
    </row>
    <row r="1041" spans="1:31" ht="15.75" customHeight="1">
      <c r="A1041" s="943"/>
      <c r="B1041" s="943"/>
      <c r="C1041" s="943"/>
      <c r="D1041" s="943"/>
      <c r="E1041" s="943"/>
      <c r="F1041" s="943"/>
      <c r="G1041" s="943"/>
      <c r="H1041" s="943"/>
      <c r="I1041" s="943"/>
      <c r="J1041" s="943"/>
      <c r="K1041" s="943"/>
      <c r="L1041" s="943"/>
      <c r="M1041" s="943"/>
      <c r="N1041" s="943"/>
      <c r="O1041" s="943"/>
      <c r="P1041" s="943"/>
      <c r="Q1041" s="943"/>
      <c r="R1041" s="943"/>
      <c r="S1041" s="943"/>
      <c r="T1041" s="943"/>
      <c r="U1041" s="943"/>
      <c r="V1041" s="943"/>
      <c r="W1041" s="943"/>
      <c r="X1041" s="943"/>
      <c r="Y1041" s="943"/>
      <c r="Z1041" s="943"/>
      <c r="AA1041" s="943"/>
      <c r="AB1041" s="943"/>
      <c r="AC1041" s="943"/>
      <c r="AD1041" s="943"/>
      <c r="AE1041" s="943"/>
    </row>
    <row r="1042" spans="1:31" ht="15.75" customHeight="1">
      <c r="A1042" s="943"/>
      <c r="B1042" s="943"/>
      <c r="C1042" s="943"/>
      <c r="D1042" s="943"/>
      <c r="E1042" s="943"/>
      <c r="F1042" s="943"/>
      <c r="G1042" s="943"/>
      <c r="H1042" s="943"/>
      <c r="I1042" s="943"/>
      <c r="J1042" s="943"/>
      <c r="K1042" s="943"/>
      <c r="L1042" s="943"/>
      <c r="M1042" s="943"/>
      <c r="N1042" s="943"/>
      <c r="O1042" s="943"/>
      <c r="P1042" s="943"/>
      <c r="Q1042" s="943"/>
      <c r="R1042" s="943"/>
      <c r="S1042" s="943"/>
      <c r="T1042" s="943"/>
      <c r="U1042" s="943"/>
      <c r="V1042" s="943"/>
      <c r="W1042" s="943"/>
      <c r="X1042" s="943"/>
      <c r="Y1042" s="943"/>
      <c r="Z1042" s="943"/>
      <c r="AA1042" s="943"/>
      <c r="AB1042" s="943"/>
      <c r="AC1042" s="943"/>
      <c r="AD1042" s="943"/>
      <c r="AE1042" s="943"/>
    </row>
    <row r="1043" spans="1:31" ht="15.75" customHeight="1">
      <c r="A1043" s="943"/>
      <c r="B1043" s="943"/>
      <c r="C1043" s="943"/>
      <c r="D1043" s="943"/>
      <c r="E1043" s="943"/>
      <c r="F1043" s="943"/>
      <c r="G1043" s="943"/>
      <c r="H1043" s="943"/>
      <c r="I1043" s="943"/>
      <c r="J1043" s="943"/>
      <c r="K1043" s="943"/>
      <c r="L1043" s="943"/>
      <c r="M1043" s="943"/>
      <c r="N1043" s="943"/>
      <c r="O1043" s="943"/>
      <c r="P1043" s="943"/>
      <c r="Q1043" s="943"/>
      <c r="R1043" s="943"/>
      <c r="S1043" s="943"/>
      <c r="T1043" s="943"/>
      <c r="U1043" s="943"/>
      <c r="V1043" s="943"/>
      <c r="W1043" s="943"/>
      <c r="X1043" s="943"/>
      <c r="Y1043" s="943"/>
      <c r="Z1043" s="943"/>
      <c r="AA1043" s="943"/>
      <c r="AB1043" s="943"/>
      <c r="AC1043" s="943"/>
      <c r="AD1043" s="943"/>
      <c r="AE1043" s="943"/>
    </row>
    <row r="1044" spans="1:31" ht="15.75" customHeight="1">
      <c r="A1044" s="943"/>
      <c r="B1044" s="943"/>
      <c r="C1044" s="943"/>
      <c r="D1044" s="943"/>
      <c r="E1044" s="943"/>
      <c r="F1044" s="943"/>
      <c r="G1044" s="943"/>
      <c r="H1044" s="943"/>
      <c r="I1044" s="943"/>
      <c r="J1044" s="943"/>
      <c r="K1044" s="943"/>
      <c r="L1044" s="943"/>
      <c r="M1044" s="943"/>
      <c r="N1044" s="943"/>
      <c r="O1044" s="943"/>
      <c r="P1044" s="943"/>
      <c r="Q1044" s="943"/>
      <c r="R1044" s="943"/>
      <c r="S1044" s="943"/>
      <c r="T1044" s="943"/>
      <c r="U1044" s="943"/>
      <c r="V1044" s="943"/>
      <c r="W1044" s="943"/>
      <c r="X1044" s="943"/>
      <c r="Y1044" s="943"/>
      <c r="Z1044" s="943"/>
      <c r="AA1044" s="943"/>
      <c r="AB1044" s="943"/>
      <c r="AC1044" s="943"/>
      <c r="AD1044" s="943"/>
      <c r="AE1044" s="943"/>
    </row>
    <row r="1045" spans="1:31" ht="15.75" customHeight="1">
      <c r="A1045" s="943"/>
      <c r="B1045" s="943"/>
      <c r="C1045" s="943"/>
      <c r="D1045" s="943"/>
      <c r="E1045" s="943"/>
      <c r="F1045" s="943"/>
      <c r="G1045" s="943"/>
      <c r="H1045" s="943"/>
      <c r="I1045" s="943"/>
      <c r="J1045" s="943"/>
      <c r="K1045" s="943"/>
      <c r="L1045" s="943"/>
      <c r="M1045" s="943"/>
      <c r="N1045" s="943"/>
      <c r="O1045" s="943"/>
      <c r="P1045" s="943"/>
      <c r="Q1045" s="943"/>
      <c r="R1045" s="943"/>
      <c r="S1045" s="943"/>
      <c r="T1045" s="943"/>
      <c r="U1045" s="943"/>
      <c r="V1045" s="943"/>
      <c r="W1045" s="943"/>
      <c r="X1045" s="943"/>
      <c r="Y1045" s="943"/>
      <c r="Z1045" s="943"/>
      <c r="AA1045" s="943"/>
      <c r="AB1045" s="943"/>
      <c r="AC1045" s="943"/>
      <c r="AD1045" s="943"/>
      <c r="AE1045" s="943"/>
    </row>
    <row r="1046" spans="1:31" ht="15.75" customHeight="1">
      <c r="A1046" s="943"/>
      <c r="B1046" s="943"/>
      <c r="C1046" s="943"/>
      <c r="D1046" s="943"/>
      <c r="E1046" s="943"/>
      <c r="F1046" s="943"/>
      <c r="G1046" s="943"/>
      <c r="H1046" s="943"/>
      <c r="I1046" s="943"/>
      <c r="J1046" s="943"/>
      <c r="K1046" s="943"/>
      <c r="L1046" s="943"/>
      <c r="M1046" s="943"/>
      <c r="N1046" s="943"/>
      <c r="O1046" s="943"/>
      <c r="P1046" s="943"/>
      <c r="Q1046" s="943"/>
      <c r="R1046" s="943"/>
      <c r="S1046" s="943"/>
      <c r="T1046" s="943"/>
      <c r="U1046" s="943"/>
      <c r="V1046" s="943"/>
      <c r="W1046" s="943"/>
      <c r="X1046" s="943"/>
      <c r="Y1046" s="943"/>
      <c r="Z1046" s="943"/>
      <c r="AA1046" s="943"/>
      <c r="AB1046" s="943"/>
      <c r="AC1046" s="943"/>
      <c r="AD1046" s="943"/>
      <c r="AE1046" s="943"/>
    </row>
    <row r="1047" spans="1:31" ht="15.75" customHeight="1">
      <c r="A1047" s="943"/>
      <c r="B1047" s="943"/>
      <c r="C1047" s="943"/>
      <c r="D1047" s="943"/>
      <c r="E1047" s="943"/>
      <c r="F1047" s="943"/>
      <c r="G1047" s="943"/>
      <c r="H1047" s="943"/>
      <c r="I1047" s="943"/>
      <c r="J1047" s="943"/>
      <c r="K1047" s="943"/>
      <c r="L1047" s="943"/>
      <c r="M1047" s="943"/>
      <c r="N1047" s="943"/>
      <c r="O1047" s="943"/>
      <c r="P1047" s="943"/>
      <c r="Q1047" s="943"/>
      <c r="R1047" s="943"/>
      <c r="S1047" s="943"/>
      <c r="T1047" s="943"/>
      <c r="U1047" s="943"/>
      <c r="V1047" s="943"/>
      <c r="W1047" s="943"/>
      <c r="X1047" s="943"/>
      <c r="Y1047" s="943"/>
      <c r="Z1047" s="943"/>
      <c r="AA1047" s="943"/>
      <c r="AB1047" s="943"/>
      <c r="AC1047" s="943"/>
      <c r="AD1047" s="943"/>
      <c r="AE1047" s="943"/>
    </row>
    <row r="1048" spans="1:31" ht="15.75" customHeight="1">
      <c r="A1048" s="943"/>
      <c r="B1048" s="943"/>
      <c r="C1048" s="943"/>
      <c r="D1048" s="943"/>
      <c r="E1048" s="943"/>
      <c r="F1048" s="943"/>
      <c r="G1048" s="943"/>
      <c r="H1048" s="943"/>
      <c r="I1048" s="943"/>
      <c r="J1048" s="943"/>
      <c r="K1048" s="943"/>
      <c r="L1048" s="943"/>
      <c r="M1048" s="943"/>
      <c r="N1048" s="943"/>
      <c r="O1048" s="943"/>
      <c r="P1048" s="943"/>
      <c r="Q1048" s="943"/>
      <c r="R1048" s="943"/>
      <c r="S1048" s="943"/>
      <c r="T1048" s="943"/>
      <c r="U1048" s="943"/>
      <c r="V1048" s="943"/>
      <c r="W1048" s="943"/>
      <c r="X1048" s="943"/>
      <c r="Y1048" s="943"/>
      <c r="Z1048" s="943"/>
      <c r="AA1048" s="943"/>
      <c r="AB1048" s="943"/>
      <c r="AC1048" s="943"/>
      <c r="AD1048" s="943"/>
      <c r="AE1048" s="943"/>
    </row>
    <row r="1049" spans="1:31" ht="15.75" customHeight="1">
      <c r="A1049" s="943"/>
      <c r="B1049" s="943"/>
      <c r="C1049" s="943"/>
      <c r="D1049" s="943"/>
      <c r="E1049" s="943"/>
      <c r="F1049" s="943"/>
      <c r="G1049" s="943"/>
      <c r="H1049" s="943"/>
      <c r="I1049" s="943"/>
      <c r="J1049" s="943"/>
      <c r="K1049" s="943"/>
      <c r="L1049" s="943"/>
      <c r="M1049" s="943"/>
      <c r="N1049" s="943"/>
      <c r="O1049" s="943"/>
      <c r="P1049" s="943"/>
      <c r="Q1049" s="943"/>
      <c r="R1049" s="943"/>
      <c r="S1049" s="943"/>
      <c r="T1049" s="943"/>
      <c r="U1049" s="943"/>
      <c r="V1049" s="943"/>
      <c r="W1049" s="943"/>
      <c r="X1049" s="943"/>
      <c r="Y1049" s="943"/>
      <c r="Z1049" s="943"/>
      <c r="AA1049" s="943"/>
      <c r="AB1049" s="943"/>
      <c r="AC1049" s="943"/>
      <c r="AD1049" s="943"/>
      <c r="AE1049" s="943"/>
    </row>
    <row r="1050" spans="1:31" ht="15.75" customHeight="1">
      <c r="A1050" s="943"/>
      <c r="B1050" s="943"/>
      <c r="C1050" s="943"/>
      <c r="D1050" s="943"/>
      <c r="E1050" s="943"/>
      <c r="F1050" s="943"/>
      <c r="G1050" s="943"/>
      <c r="H1050" s="943"/>
      <c r="I1050" s="943"/>
      <c r="J1050" s="943"/>
      <c r="K1050" s="943"/>
      <c r="L1050" s="943"/>
      <c r="M1050" s="943"/>
      <c r="N1050" s="943"/>
      <c r="O1050" s="943"/>
      <c r="P1050" s="943"/>
      <c r="Q1050" s="943"/>
      <c r="R1050" s="943"/>
      <c r="S1050" s="943"/>
      <c r="T1050" s="943"/>
      <c r="U1050" s="943"/>
      <c r="V1050" s="943"/>
      <c r="W1050" s="943"/>
      <c r="X1050" s="943"/>
      <c r="Y1050" s="943"/>
      <c r="Z1050" s="943"/>
      <c r="AA1050" s="943"/>
      <c r="AB1050" s="943"/>
      <c r="AC1050" s="943"/>
      <c r="AD1050" s="943"/>
      <c r="AE1050" s="943"/>
    </row>
    <row r="1051" spans="1:31" ht="15.75" customHeight="1">
      <c r="A1051" s="943"/>
      <c r="B1051" s="943"/>
      <c r="C1051" s="943"/>
      <c r="D1051" s="943"/>
      <c r="E1051" s="943"/>
      <c r="F1051" s="943"/>
      <c r="G1051" s="943"/>
      <c r="H1051" s="943"/>
      <c r="I1051" s="943"/>
      <c r="J1051" s="943"/>
      <c r="K1051" s="943"/>
      <c r="L1051" s="943"/>
      <c r="M1051" s="943"/>
      <c r="N1051" s="943"/>
      <c r="O1051" s="943"/>
      <c r="P1051" s="943"/>
      <c r="Q1051" s="943"/>
      <c r="R1051" s="943"/>
      <c r="S1051" s="943"/>
      <c r="T1051" s="943"/>
      <c r="U1051" s="943"/>
      <c r="V1051" s="943"/>
      <c r="W1051" s="943"/>
      <c r="X1051" s="943"/>
      <c r="Y1051" s="943"/>
      <c r="Z1051" s="943"/>
      <c r="AA1051" s="943"/>
      <c r="AB1051" s="943"/>
      <c r="AC1051" s="943"/>
      <c r="AD1051" s="943"/>
      <c r="AE1051" s="943"/>
    </row>
    <row r="1052" spans="1:31" ht="15.75" customHeight="1">
      <c r="A1052" s="943"/>
      <c r="B1052" s="943"/>
      <c r="C1052" s="943"/>
      <c r="D1052" s="943"/>
      <c r="E1052" s="943"/>
      <c r="F1052" s="943"/>
      <c r="G1052" s="943"/>
      <c r="H1052" s="943"/>
      <c r="I1052" s="943"/>
      <c r="J1052" s="943"/>
      <c r="K1052" s="943"/>
      <c r="L1052" s="943"/>
      <c r="M1052" s="943"/>
      <c r="N1052" s="943"/>
      <c r="O1052" s="943"/>
      <c r="P1052" s="943"/>
      <c r="Q1052" s="943"/>
      <c r="R1052" s="943"/>
      <c r="S1052" s="943"/>
      <c r="T1052" s="943"/>
      <c r="U1052" s="943"/>
      <c r="V1052" s="943"/>
      <c r="W1052" s="943"/>
      <c r="X1052" s="943"/>
      <c r="Y1052" s="943"/>
      <c r="Z1052" s="943"/>
      <c r="AA1052" s="943"/>
      <c r="AB1052" s="943"/>
      <c r="AC1052" s="943"/>
      <c r="AD1052" s="943"/>
      <c r="AE1052" s="943"/>
    </row>
    <row r="1053" spans="1:31" ht="15.75" customHeight="1">
      <c r="A1053" s="943"/>
      <c r="B1053" s="943"/>
      <c r="C1053" s="943"/>
      <c r="D1053" s="943"/>
      <c r="E1053" s="943"/>
      <c r="F1053" s="943"/>
      <c r="G1053" s="943"/>
      <c r="H1053" s="943"/>
      <c r="I1053" s="943"/>
      <c r="J1053" s="943"/>
      <c r="K1053" s="943"/>
      <c r="L1053" s="943"/>
      <c r="M1053" s="943"/>
      <c r="N1053" s="943"/>
      <c r="O1053" s="943"/>
      <c r="P1053" s="943"/>
      <c r="Q1053" s="943"/>
      <c r="R1053" s="943"/>
      <c r="S1053" s="943"/>
      <c r="T1053" s="943"/>
      <c r="U1053" s="943"/>
      <c r="V1053" s="943"/>
      <c r="W1053" s="943"/>
      <c r="X1053" s="943"/>
      <c r="Y1053" s="943"/>
      <c r="Z1053" s="943"/>
      <c r="AA1053" s="943"/>
      <c r="AB1053" s="943"/>
      <c r="AC1053" s="943"/>
      <c r="AD1053" s="943"/>
      <c r="AE1053" s="943"/>
    </row>
    <row r="1054" spans="1:31" ht="15.75" customHeight="1">
      <c r="A1054" s="943"/>
      <c r="B1054" s="943"/>
      <c r="C1054" s="943"/>
      <c r="D1054" s="943"/>
      <c r="E1054" s="943"/>
      <c r="F1054" s="943"/>
      <c r="G1054" s="943"/>
      <c r="H1054" s="943"/>
      <c r="I1054" s="943"/>
      <c r="J1054" s="943"/>
      <c r="K1054" s="943"/>
      <c r="L1054" s="943"/>
      <c r="M1054" s="943"/>
      <c r="N1054" s="943"/>
      <c r="O1054" s="943"/>
      <c r="P1054" s="943"/>
      <c r="Q1054" s="943"/>
      <c r="R1054" s="943"/>
      <c r="S1054" s="943"/>
      <c r="T1054" s="943"/>
      <c r="U1054" s="943"/>
      <c r="V1054" s="943"/>
      <c r="W1054" s="943"/>
      <c r="X1054" s="943"/>
      <c r="Y1054" s="943"/>
      <c r="Z1054" s="943"/>
      <c r="AA1054" s="943"/>
      <c r="AB1054" s="943"/>
      <c r="AC1054" s="943"/>
      <c r="AD1054" s="943"/>
      <c r="AE1054" s="943"/>
    </row>
    <row r="1055" spans="1:31" ht="15.75" customHeight="1">
      <c r="A1055" s="943"/>
      <c r="B1055" s="943"/>
      <c r="C1055" s="943"/>
      <c r="D1055" s="943"/>
      <c r="E1055" s="943"/>
      <c r="F1055" s="943"/>
      <c r="G1055" s="943"/>
      <c r="H1055" s="943"/>
      <c r="I1055" s="943"/>
      <c r="J1055" s="943"/>
      <c r="K1055" s="943"/>
      <c r="L1055" s="943"/>
      <c r="M1055" s="943"/>
      <c r="N1055" s="943"/>
      <c r="O1055" s="943"/>
      <c r="P1055" s="943"/>
      <c r="Q1055" s="943"/>
      <c r="R1055" s="943"/>
      <c r="S1055" s="943"/>
      <c r="T1055" s="943"/>
      <c r="U1055" s="943"/>
      <c r="V1055" s="943"/>
      <c r="W1055" s="943"/>
      <c r="X1055" s="943"/>
      <c r="Y1055" s="943"/>
      <c r="Z1055" s="943"/>
      <c r="AA1055" s="943"/>
      <c r="AB1055" s="943"/>
      <c r="AC1055" s="943"/>
      <c r="AD1055" s="943"/>
      <c r="AE1055" s="943"/>
    </row>
    <row r="1056" spans="1:31" ht="15.75" customHeight="1">
      <c r="A1056" s="943"/>
      <c r="B1056" s="943"/>
      <c r="C1056" s="943"/>
      <c r="D1056" s="943"/>
      <c r="E1056" s="943"/>
      <c r="F1056" s="943"/>
      <c r="G1056" s="943"/>
      <c r="H1056" s="943"/>
      <c r="I1056" s="943"/>
      <c r="J1056" s="943"/>
      <c r="K1056" s="943"/>
      <c r="L1056" s="943"/>
      <c r="M1056" s="943"/>
      <c r="N1056" s="943"/>
      <c r="O1056" s="943"/>
      <c r="P1056" s="943"/>
      <c r="Q1056" s="943"/>
      <c r="R1056" s="943"/>
      <c r="S1056" s="943"/>
      <c r="T1056" s="943"/>
      <c r="U1056" s="943"/>
      <c r="V1056" s="943"/>
      <c r="W1056" s="943"/>
      <c r="X1056" s="943"/>
      <c r="Y1056" s="943"/>
      <c r="Z1056" s="943"/>
      <c r="AA1056" s="943"/>
      <c r="AB1056" s="943"/>
      <c r="AC1056" s="943"/>
      <c r="AD1056" s="943"/>
      <c r="AE1056" s="943"/>
    </row>
    <row r="1057" spans="1:31" ht="15.75" customHeight="1">
      <c r="A1057" s="943"/>
      <c r="B1057" s="943"/>
      <c r="C1057" s="943"/>
      <c r="D1057" s="943"/>
      <c r="E1057" s="943"/>
      <c r="F1057" s="943"/>
      <c r="G1057" s="943"/>
      <c r="H1057" s="943"/>
      <c r="I1057" s="943"/>
      <c r="J1057" s="943"/>
      <c r="K1057" s="943"/>
      <c r="L1057" s="943"/>
      <c r="M1057" s="943"/>
      <c r="N1057" s="943"/>
      <c r="O1057" s="943"/>
      <c r="P1057" s="943"/>
      <c r="Q1057" s="943"/>
      <c r="R1057" s="943"/>
      <c r="S1057" s="943"/>
      <c r="T1057" s="943"/>
      <c r="U1057" s="943"/>
      <c r="V1057" s="943"/>
      <c r="W1057" s="943"/>
      <c r="X1057" s="943"/>
      <c r="Y1057" s="943"/>
      <c r="Z1057" s="943"/>
      <c r="AA1057" s="943"/>
      <c r="AB1057" s="943"/>
      <c r="AC1057" s="943"/>
      <c r="AD1057" s="943"/>
      <c r="AE1057" s="943"/>
    </row>
    <row r="1058" spans="1:31" ht="15.75" customHeight="1">
      <c r="A1058" s="943"/>
      <c r="B1058" s="943"/>
      <c r="C1058" s="943"/>
      <c r="D1058" s="943"/>
      <c r="E1058" s="943"/>
      <c r="F1058" s="943"/>
      <c r="G1058" s="943"/>
      <c r="H1058" s="943"/>
      <c r="I1058" s="943"/>
      <c r="J1058" s="943"/>
      <c r="K1058" s="943"/>
      <c r="L1058" s="943"/>
      <c r="M1058" s="943"/>
      <c r="N1058" s="943"/>
      <c r="O1058" s="943"/>
      <c r="P1058" s="943"/>
      <c r="Q1058" s="943"/>
      <c r="R1058" s="943"/>
      <c r="S1058" s="943"/>
      <c r="T1058" s="943"/>
      <c r="U1058" s="943"/>
      <c r="V1058" s="943"/>
      <c r="W1058" s="943"/>
      <c r="X1058" s="943"/>
      <c r="Y1058" s="943"/>
      <c r="Z1058" s="943"/>
      <c r="AA1058" s="943"/>
      <c r="AB1058" s="943"/>
      <c r="AC1058" s="943"/>
      <c r="AD1058" s="943"/>
      <c r="AE1058" s="943"/>
    </row>
    <row r="1059" spans="1:31" ht="15.75" customHeight="1">
      <c r="A1059" s="943"/>
      <c r="B1059" s="943"/>
      <c r="C1059" s="943"/>
      <c r="D1059" s="943"/>
      <c r="E1059" s="943"/>
      <c r="F1059" s="943"/>
      <c r="G1059" s="943"/>
      <c r="H1059" s="943"/>
      <c r="I1059" s="943"/>
      <c r="J1059" s="943"/>
      <c r="K1059" s="943"/>
      <c r="L1059" s="943"/>
      <c r="M1059" s="943"/>
      <c r="N1059" s="943"/>
      <c r="O1059" s="943"/>
      <c r="P1059" s="943"/>
      <c r="Q1059" s="943"/>
      <c r="R1059" s="943"/>
      <c r="S1059" s="943"/>
      <c r="T1059" s="943"/>
      <c r="U1059" s="943"/>
      <c r="V1059" s="943"/>
      <c r="W1059" s="943"/>
      <c r="X1059" s="943"/>
      <c r="Y1059" s="943"/>
      <c r="Z1059" s="943"/>
      <c r="AA1059" s="943"/>
      <c r="AB1059" s="943"/>
      <c r="AC1059" s="943"/>
      <c r="AD1059" s="943"/>
      <c r="AE1059" s="943"/>
    </row>
    <row r="1060" spans="1:31" ht="15.75" customHeight="1">
      <c r="A1060" s="943"/>
      <c r="B1060" s="943"/>
      <c r="C1060" s="943"/>
      <c r="D1060" s="943"/>
      <c r="E1060" s="943"/>
      <c r="F1060" s="943"/>
      <c r="G1060" s="943"/>
      <c r="H1060" s="943"/>
      <c r="I1060" s="943"/>
      <c r="J1060" s="943"/>
      <c r="K1060" s="943"/>
      <c r="L1060" s="943"/>
      <c r="M1060" s="943"/>
      <c r="N1060" s="943"/>
      <c r="O1060" s="943"/>
      <c r="P1060" s="943"/>
      <c r="Q1060" s="943"/>
      <c r="R1060" s="943"/>
      <c r="S1060" s="943"/>
      <c r="T1060" s="943"/>
      <c r="U1060" s="943"/>
      <c r="V1060" s="943"/>
      <c r="W1060" s="943"/>
      <c r="X1060" s="943"/>
      <c r="Y1060" s="943"/>
      <c r="Z1060" s="943"/>
      <c r="AA1060" s="943"/>
      <c r="AB1060" s="943"/>
      <c r="AC1060" s="943"/>
      <c r="AD1060" s="943"/>
      <c r="AE1060" s="943"/>
    </row>
    <row r="1061" spans="1:31" ht="15.75" customHeight="1">
      <c r="A1061" s="943"/>
      <c r="B1061" s="943"/>
      <c r="C1061" s="943"/>
      <c r="D1061" s="943"/>
      <c r="E1061" s="943"/>
      <c r="F1061" s="943"/>
      <c r="G1061" s="943"/>
      <c r="H1061" s="943"/>
      <c r="I1061" s="943"/>
      <c r="J1061" s="943"/>
      <c r="K1061" s="943"/>
      <c r="L1061" s="943"/>
      <c r="M1061" s="943"/>
      <c r="N1061" s="943"/>
      <c r="O1061" s="943"/>
      <c r="P1061" s="943"/>
      <c r="Q1061" s="943"/>
      <c r="R1061" s="943"/>
      <c r="S1061" s="943"/>
      <c r="T1061" s="943"/>
      <c r="U1061" s="943"/>
      <c r="V1061" s="943"/>
      <c r="W1061" s="943"/>
      <c r="X1061" s="943"/>
      <c r="Y1061" s="943"/>
      <c r="Z1061" s="943"/>
      <c r="AA1061" s="943"/>
      <c r="AB1061" s="943"/>
      <c r="AC1061" s="943"/>
      <c r="AD1061" s="943"/>
      <c r="AE1061" s="943"/>
    </row>
    <row r="1062" spans="1:31" ht="15.75" customHeight="1">
      <c r="A1062" s="943"/>
      <c r="B1062" s="943"/>
      <c r="C1062" s="943"/>
      <c r="D1062" s="943"/>
      <c r="E1062" s="943"/>
      <c r="F1062" s="943"/>
      <c r="G1062" s="943"/>
      <c r="H1062" s="943"/>
      <c r="I1062" s="943"/>
      <c r="J1062" s="943"/>
      <c r="K1062" s="943"/>
      <c r="L1062" s="943"/>
      <c r="M1062" s="943"/>
      <c r="N1062" s="943"/>
      <c r="O1062" s="943"/>
      <c r="P1062" s="943"/>
      <c r="Q1062" s="943"/>
      <c r="R1062" s="943"/>
      <c r="S1062" s="943"/>
      <c r="T1062" s="943"/>
      <c r="U1062" s="943"/>
      <c r="V1062" s="943"/>
      <c r="W1062" s="943"/>
      <c r="X1062" s="943"/>
      <c r="Y1062" s="943"/>
      <c r="Z1062" s="943"/>
      <c r="AA1062" s="943"/>
      <c r="AB1062" s="943"/>
      <c r="AC1062" s="943"/>
      <c r="AD1062" s="943"/>
      <c r="AE1062" s="943"/>
    </row>
    <row r="1063" spans="1:31" ht="15.75" customHeight="1">
      <c r="A1063" s="943"/>
      <c r="B1063" s="943"/>
      <c r="C1063" s="943"/>
      <c r="D1063" s="943"/>
      <c r="E1063" s="943"/>
      <c r="F1063" s="943"/>
      <c r="G1063" s="943"/>
      <c r="H1063" s="943"/>
      <c r="I1063" s="943"/>
      <c r="J1063" s="943"/>
      <c r="K1063" s="943"/>
      <c r="L1063" s="943"/>
      <c r="M1063" s="943"/>
      <c r="N1063" s="943"/>
      <c r="O1063" s="943"/>
      <c r="P1063" s="943"/>
      <c r="Q1063" s="943"/>
      <c r="R1063" s="943"/>
      <c r="S1063" s="943"/>
      <c r="T1063" s="943"/>
      <c r="U1063" s="943"/>
      <c r="V1063" s="943"/>
      <c r="W1063" s="943"/>
      <c r="X1063" s="943"/>
      <c r="Y1063" s="943"/>
      <c r="Z1063" s="943"/>
      <c r="AA1063" s="943"/>
      <c r="AB1063" s="943"/>
      <c r="AC1063" s="943"/>
      <c r="AD1063" s="943"/>
      <c r="AE1063" s="943"/>
    </row>
    <row r="1064" spans="1:31" ht="15.75" customHeight="1">
      <c r="A1064" s="943"/>
      <c r="B1064" s="943"/>
      <c r="C1064" s="943"/>
      <c r="D1064" s="943"/>
      <c r="E1064" s="943"/>
      <c r="F1064" s="943"/>
      <c r="G1064" s="943"/>
      <c r="H1064" s="943"/>
      <c r="I1064" s="943"/>
      <c r="J1064" s="943"/>
      <c r="K1064" s="943"/>
      <c r="L1064" s="943"/>
      <c r="M1064" s="943"/>
      <c r="N1064" s="943"/>
      <c r="O1064" s="943"/>
      <c r="P1064" s="943"/>
      <c r="Q1064" s="943"/>
      <c r="R1064" s="943"/>
      <c r="S1064" s="943"/>
      <c r="T1064" s="943"/>
      <c r="U1064" s="943"/>
      <c r="V1064" s="943"/>
      <c r="W1064" s="943"/>
      <c r="X1064" s="943"/>
      <c r="Y1064" s="943"/>
      <c r="Z1064" s="943"/>
      <c r="AA1064" s="943"/>
      <c r="AB1064" s="943"/>
      <c r="AC1064" s="943"/>
      <c r="AD1064" s="943"/>
      <c r="AE1064" s="943"/>
    </row>
    <row r="1065" spans="1:31" ht="15.75" customHeight="1">
      <c r="A1065" s="943"/>
      <c r="B1065" s="943"/>
      <c r="C1065" s="943"/>
      <c r="D1065" s="943"/>
      <c r="E1065" s="943"/>
      <c r="F1065" s="943"/>
      <c r="G1065" s="943"/>
      <c r="H1065" s="943"/>
      <c r="I1065" s="943"/>
      <c r="J1065" s="943"/>
      <c r="K1065" s="943"/>
      <c r="L1065" s="943"/>
      <c r="M1065" s="943"/>
      <c r="N1065" s="943"/>
      <c r="O1065" s="943"/>
      <c r="P1065" s="943"/>
      <c r="Q1065" s="943"/>
      <c r="R1065" s="943"/>
      <c r="S1065" s="943"/>
      <c r="T1065" s="943"/>
      <c r="U1065" s="943"/>
      <c r="V1065" s="943"/>
      <c r="W1065" s="943"/>
      <c r="X1065" s="943"/>
      <c r="Y1065" s="943"/>
      <c r="Z1065" s="943"/>
      <c r="AA1065" s="943"/>
      <c r="AB1065" s="943"/>
      <c r="AC1065" s="943"/>
      <c r="AD1065" s="943"/>
      <c r="AE1065" s="943"/>
    </row>
    <row r="1066" spans="1:31" ht="15.75" customHeight="1">
      <c r="A1066" s="943"/>
      <c r="B1066" s="943"/>
      <c r="C1066" s="943"/>
      <c r="D1066" s="943"/>
      <c r="E1066" s="943"/>
      <c r="F1066" s="943"/>
      <c r="G1066" s="943"/>
      <c r="H1066" s="943"/>
      <c r="I1066" s="943"/>
      <c r="J1066" s="943"/>
      <c r="K1066" s="943"/>
      <c r="L1066" s="943"/>
      <c r="M1066" s="943"/>
      <c r="N1066" s="943"/>
      <c r="O1066" s="943"/>
      <c r="P1066" s="943"/>
      <c r="Q1066" s="943"/>
      <c r="R1066" s="943"/>
      <c r="S1066" s="943"/>
      <c r="T1066" s="943"/>
      <c r="U1066" s="943"/>
      <c r="V1066" s="943"/>
      <c r="W1066" s="943"/>
      <c r="X1066" s="943"/>
      <c r="Y1066" s="943"/>
      <c r="Z1066" s="943"/>
      <c r="AA1066" s="943"/>
      <c r="AB1066" s="943"/>
      <c r="AC1066" s="943"/>
      <c r="AD1066" s="943"/>
      <c r="AE1066" s="943"/>
    </row>
    <row r="1067" spans="1:31" ht="15.75" customHeight="1">
      <c r="A1067" s="943"/>
      <c r="B1067" s="943"/>
      <c r="C1067" s="943"/>
      <c r="D1067" s="943"/>
      <c r="E1067" s="943"/>
      <c r="F1067" s="943"/>
      <c r="G1067" s="943"/>
      <c r="H1067" s="943"/>
      <c r="I1067" s="943"/>
      <c r="J1067" s="943"/>
      <c r="K1067" s="943"/>
      <c r="L1067" s="943"/>
      <c r="M1067" s="943"/>
      <c r="N1067" s="943"/>
      <c r="O1067" s="943"/>
      <c r="P1067" s="943"/>
      <c r="Q1067" s="943"/>
      <c r="R1067" s="943"/>
      <c r="S1067" s="943"/>
      <c r="T1067" s="943"/>
      <c r="U1067" s="943"/>
      <c r="V1067" s="943"/>
      <c r="W1067" s="943"/>
      <c r="X1067" s="943"/>
      <c r="Y1067" s="943"/>
      <c r="Z1067" s="943"/>
      <c r="AA1067" s="943"/>
      <c r="AB1067" s="943"/>
      <c r="AC1067" s="943"/>
      <c r="AD1067" s="943"/>
      <c r="AE1067" s="943"/>
    </row>
    <row r="1068" spans="1:31" ht="15.75" customHeight="1">
      <c r="A1068" s="943"/>
      <c r="B1068" s="943"/>
      <c r="C1068" s="943"/>
      <c r="D1068" s="943"/>
      <c r="E1068" s="943"/>
      <c r="F1068" s="943"/>
      <c r="G1068" s="943"/>
      <c r="H1068" s="943"/>
      <c r="I1068" s="943"/>
      <c r="J1068" s="943"/>
      <c r="K1068" s="943"/>
      <c r="L1068" s="943"/>
      <c r="M1068" s="943"/>
      <c r="N1068" s="943"/>
      <c r="O1068" s="943"/>
      <c r="P1068" s="943"/>
      <c r="Q1068" s="943"/>
      <c r="R1068" s="943"/>
      <c r="S1068" s="943"/>
      <c r="T1068" s="943"/>
      <c r="U1068" s="943"/>
      <c r="V1068" s="943"/>
      <c r="W1068" s="943"/>
      <c r="X1068" s="943"/>
      <c r="Y1068" s="943"/>
      <c r="Z1068" s="943"/>
      <c r="AA1068" s="943"/>
      <c r="AB1068" s="943"/>
      <c r="AC1068" s="943"/>
      <c r="AD1068" s="943"/>
      <c r="AE1068" s="943"/>
    </row>
    <row r="1069" spans="1:31" ht="15.75" customHeight="1">
      <c r="A1069" s="943"/>
      <c r="B1069" s="943"/>
      <c r="C1069" s="943"/>
      <c r="D1069" s="943"/>
      <c r="E1069" s="943"/>
      <c r="F1069" s="943"/>
      <c r="G1069" s="943"/>
      <c r="H1069" s="943"/>
      <c r="I1069" s="943"/>
      <c r="J1069" s="943"/>
      <c r="K1069" s="943"/>
      <c r="L1069" s="943"/>
      <c r="M1069" s="943"/>
      <c r="N1069" s="943"/>
      <c r="O1069" s="943"/>
      <c r="P1069" s="943"/>
      <c r="Q1069" s="943"/>
      <c r="R1069" s="943"/>
      <c r="S1069" s="943"/>
      <c r="T1069" s="943"/>
      <c r="U1069" s="943"/>
      <c r="V1069" s="943"/>
      <c r="W1069" s="943"/>
      <c r="X1069" s="943"/>
      <c r="Y1069" s="943"/>
      <c r="Z1069" s="943"/>
      <c r="AA1069" s="943"/>
      <c r="AB1069" s="943"/>
      <c r="AC1069" s="943"/>
      <c r="AD1069" s="943"/>
      <c r="AE1069" s="943"/>
    </row>
    <row r="1070" spans="1:31" ht="15.75" customHeight="1">
      <c r="A1070" s="943"/>
      <c r="B1070" s="943"/>
      <c r="C1070" s="943"/>
      <c r="D1070" s="943"/>
      <c r="E1070" s="943"/>
      <c r="F1070" s="943"/>
      <c r="G1070" s="943"/>
      <c r="H1070" s="943"/>
      <c r="I1070" s="943"/>
      <c r="J1070" s="943"/>
      <c r="K1070" s="943"/>
      <c r="L1070" s="943"/>
      <c r="M1070" s="943"/>
      <c r="N1070" s="943"/>
      <c r="O1070" s="943"/>
      <c r="P1070" s="943"/>
      <c r="Q1070" s="943"/>
      <c r="R1070" s="943"/>
      <c r="S1070" s="943"/>
      <c r="T1070" s="943"/>
      <c r="U1070" s="943"/>
      <c r="V1070" s="943"/>
      <c r="W1070" s="943"/>
      <c r="X1070" s="943"/>
      <c r="Y1070" s="943"/>
      <c r="Z1070" s="943"/>
      <c r="AA1070" s="943"/>
      <c r="AB1070" s="943"/>
      <c r="AC1070" s="943"/>
      <c r="AD1070" s="943"/>
      <c r="AE1070" s="943"/>
    </row>
    <row r="1071" spans="1:31" ht="15.75" customHeight="1">
      <c r="A1071" s="943"/>
      <c r="B1071" s="943"/>
      <c r="C1071" s="943"/>
      <c r="D1071" s="943"/>
      <c r="E1071" s="943"/>
      <c r="F1071" s="943"/>
      <c r="G1071" s="943"/>
      <c r="H1071" s="943"/>
      <c r="I1071" s="943"/>
      <c r="J1071" s="943"/>
      <c r="K1071" s="943"/>
      <c r="L1071" s="943"/>
      <c r="M1071" s="943"/>
      <c r="N1071" s="943"/>
      <c r="O1071" s="943"/>
      <c r="P1071" s="943"/>
      <c r="Q1071" s="943"/>
      <c r="R1071" s="943"/>
      <c r="S1071" s="943"/>
      <c r="T1071" s="943"/>
      <c r="U1071" s="943"/>
      <c r="V1071" s="943"/>
      <c r="W1071" s="943"/>
      <c r="X1071" s="943"/>
      <c r="Y1071" s="943"/>
      <c r="Z1071" s="943"/>
      <c r="AA1071" s="943"/>
      <c r="AB1071" s="943"/>
      <c r="AC1071" s="943"/>
      <c r="AD1071" s="943"/>
      <c r="AE1071" s="943"/>
    </row>
    <row r="1072" spans="1:31" ht="15.75" customHeight="1">
      <c r="A1072" s="943"/>
      <c r="B1072" s="943"/>
      <c r="C1072" s="943"/>
      <c r="D1072" s="943"/>
      <c r="E1072" s="943"/>
      <c r="F1072" s="943"/>
      <c r="G1072" s="943"/>
      <c r="H1072" s="943"/>
      <c r="I1072" s="943"/>
      <c r="J1072" s="943"/>
      <c r="K1072" s="943"/>
      <c r="L1072" s="943"/>
      <c r="M1072" s="943"/>
      <c r="N1072" s="943"/>
      <c r="O1072" s="943"/>
      <c r="P1072" s="943"/>
      <c r="Q1072" s="943"/>
      <c r="R1072" s="943"/>
      <c r="S1072" s="943"/>
      <c r="T1072" s="943"/>
      <c r="U1072" s="943"/>
      <c r="V1072" s="943"/>
      <c r="W1072" s="943"/>
      <c r="X1072" s="943"/>
      <c r="Y1072" s="943"/>
      <c r="Z1072" s="943"/>
      <c r="AA1072" s="943"/>
      <c r="AB1072" s="943"/>
      <c r="AC1072" s="943"/>
      <c r="AD1072" s="943"/>
      <c r="AE1072" s="943"/>
    </row>
    <row r="1073" spans="1:31" ht="15.75" customHeight="1">
      <c r="A1073" s="943"/>
      <c r="B1073" s="943"/>
      <c r="C1073" s="943"/>
      <c r="D1073" s="943"/>
      <c r="E1073" s="943"/>
      <c r="F1073" s="943"/>
      <c r="G1073" s="943"/>
      <c r="H1073" s="943"/>
      <c r="I1073" s="943"/>
      <c r="J1073" s="943"/>
      <c r="K1073" s="943"/>
      <c r="L1073" s="943"/>
      <c r="M1073" s="943"/>
      <c r="N1073" s="943"/>
      <c r="O1073" s="943"/>
      <c r="P1073" s="943"/>
      <c r="Q1073" s="943"/>
      <c r="R1073" s="943"/>
      <c r="S1073" s="943"/>
      <c r="T1073" s="943"/>
      <c r="U1073" s="943"/>
      <c r="V1073" s="943"/>
      <c r="W1073" s="943"/>
      <c r="X1073" s="943"/>
      <c r="Y1073" s="943"/>
      <c r="Z1073" s="943"/>
      <c r="AA1073" s="943"/>
      <c r="AB1073" s="943"/>
      <c r="AC1073" s="943"/>
      <c r="AD1073" s="943"/>
      <c r="AE1073" s="943"/>
    </row>
    <row r="1074" spans="1:31" ht="15.75" customHeight="1">
      <c r="A1074" s="943"/>
      <c r="B1074" s="943"/>
      <c r="C1074" s="943"/>
      <c r="D1074" s="943"/>
      <c r="E1074" s="943"/>
      <c r="F1074" s="943"/>
      <c r="G1074" s="943"/>
      <c r="H1074" s="943"/>
      <c r="I1074" s="943"/>
      <c r="J1074" s="943"/>
      <c r="K1074" s="943"/>
      <c r="L1074" s="943"/>
      <c r="M1074" s="943"/>
      <c r="N1074" s="943"/>
      <c r="O1074" s="943"/>
      <c r="P1074" s="943"/>
      <c r="Q1074" s="943"/>
      <c r="R1074" s="943"/>
      <c r="S1074" s="943"/>
      <c r="T1074" s="943"/>
      <c r="U1074" s="943"/>
      <c r="V1074" s="943"/>
      <c r="W1074" s="943"/>
      <c r="X1074" s="943"/>
      <c r="Y1074" s="943"/>
      <c r="Z1074" s="943"/>
      <c r="AA1074" s="943"/>
      <c r="AB1074" s="943"/>
      <c r="AC1074" s="943"/>
      <c r="AD1074" s="943"/>
      <c r="AE1074" s="943"/>
    </row>
    <row r="1075" spans="1:31" ht="15.75" customHeight="1">
      <c r="A1075" s="943"/>
      <c r="B1075" s="943"/>
      <c r="C1075" s="943"/>
      <c r="D1075" s="943"/>
      <c r="E1075" s="943"/>
      <c r="F1075" s="943"/>
      <c r="G1075" s="943"/>
      <c r="H1075" s="943"/>
      <c r="I1075" s="943"/>
      <c r="J1075" s="943"/>
      <c r="K1075" s="943"/>
      <c r="L1075" s="943"/>
      <c r="M1075" s="943"/>
      <c r="N1075" s="943"/>
      <c r="O1075" s="943"/>
      <c r="P1075" s="943"/>
      <c r="Q1075" s="943"/>
      <c r="R1075" s="943"/>
      <c r="S1075" s="943"/>
      <c r="T1075" s="943"/>
      <c r="U1075" s="943"/>
      <c r="V1075" s="943"/>
      <c r="W1075" s="943"/>
      <c r="X1075" s="943"/>
      <c r="Y1075" s="943"/>
      <c r="Z1075" s="943"/>
      <c r="AA1075" s="943"/>
      <c r="AB1075" s="943"/>
      <c r="AC1075" s="943"/>
      <c r="AD1075" s="943"/>
      <c r="AE1075" s="943"/>
    </row>
    <row r="1076" spans="1:31" ht="15.75" customHeight="1">
      <c r="A1076" s="943"/>
      <c r="B1076" s="943"/>
      <c r="C1076" s="943"/>
      <c r="D1076" s="943"/>
      <c r="E1076" s="943"/>
      <c r="F1076" s="943"/>
      <c r="G1076" s="943"/>
      <c r="H1076" s="943"/>
      <c r="I1076" s="943"/>
      <c r="J1076" s="943"/>
      <c r="K1076" s="943"/>
      <c r="L1076" s="943"/>
      <c r="M1076" s="943"/>
      <c r="N1076" s="943"/>
      <c r="O1076" s="943"/>
      <c r="P1076" s="943"/>
      <c r="Q1076" s="943"/>
      <c r="R1076" s="943"/>
      <c r="S1076" s="943"/>
      <c r="T1076" s="943"/>
      <c r="U1076" s="943"/>
      <c r="V1076" s="943"/>
      <c r="W1076" s="943"/>
      <c r="X1076" s="943"/>
      <c r="Y1076" s="943"/>
      <c r="Z1076" s="943"/>
      <c r="AA1076" s="943"/>
      <c r="AB1076" s="943"/>
      <c r="AC1076" s="943"/>
      <c r="AD1076" s="943"/>
      <c r="AE1076" s="943"/>
    </row>
    <row r="1077" spans="1:31" ht="15.75" customHeight="1">
      <c r="A1077" s="943"/>
      <c r="B1077" s="943"/>
      <c r="C1077" s="943"/>
      <c r="D1077" s="943"/>
      <c r="E1077" s="943"/>
      <c r="F1077" s="943"/>
      <c r="G1077" s="943"/>
      <c r="H1077" s="943"/>
      <c r="I1077" s="943"/>
      <c r="J1077" s="943"/>
      <c r="K1077" s="943"/>
      <c r="L1077" s="943"/>
      <c r="M1077" s="943"/>
      <c r="N1077" s="943"/>
      <c r="O1077" s="943"/>
      <c r="P1077" s="943"/>
      <c r="Q1077" s="943"/>
      <c r="R1077" s="943"/>
      <c r="S1077" s="943"/>
      <c r="T1077" s="943"/>
      <c r="U1077" s="943"/>
      <c r="V1077" s="943"/>
      <c r="W1077" s="943"/>
      <c r="X1077" s="943"/>
      <c r="Y1077" s="943"/>
      <c r="Z1077" s="943"/>
      <c r="AA1077" s="943"/>
      <c r="AB1077" s="943"/>
      <c r="AC1077" s="943"/>
      <c r="AD1077" s="943"/>
      <c r="AE1077" s="943"/>
    </row>
    <row r="1078" spans="1:31" ht="15.75" customHeight="1">
      <c r="A1078" s="943"/>
      <c r="B1078" s="943"/>
      <c r="C1078" s="943"/>
      <c r="D1078" s="943"/>
      <c r="E1078" s="943"/>
      <c r="F1078" s="943"/>
      <c r="G1078" s="943"/>
      <c r="H1078" s="943"/>
      <c r="I1078" s="943"/>
      <c r="J1078" s="943"/>
      <c r="K1078" s="943"/>
      <c r="L1078" s="943"/>
      <c r="M1078" s="943"/>
      <c r="N1078" s="943"/>
      <c r="O1078" s="943"/>
      <c r="P1078" s="943"/>
      <c r="Q1078" s="943"/>
      <c r="R1078" s="943"/>
      <c r="S1078" s="943"/>
      <c r="T1078" s="943"/>
      <c r="U1078" s="943"/>
      <c r="V1078" s="943"/>
      <c r="W1078" s="943"/>
      <c r="X1078" s="943"/>
      <c r="Y1078" s="943"/>
      <c r="Z1078" s="943"/>
      <c r="AA1078" s="943"/>
      <c r="AB1078" s="943"/>
      <c r="AC1078" s="943"/>
      <c r="AD1078" s="943"/>
      <c r="AE1078" s="943"/>
    </row>
    <row r="1079" spans="1:31" ht="15.75" customHeight="1">
      <c r="A1079" s="943"/>
      <c r="B1079" s="943"/>
      <c r="C1079" s="943"/>
      <c r="D1079" s="943"/>
      <c r="E1079" s="943"/>
      <c r="F1079" s="943"/>
      <c r="G1079" s="943"/>
      <c r="H1079" s="943"/>
      <c r="I1079" s="943"/>
      <c r="J1079" s="943"/>
      <c r="K1079" s="943"/>
      <c r="L1079" s="943"/>
      <c r="M1079" s="943"/>
      <c r="N1079" s="943"/>
      <c r="O1079" s="943"/>
      <c r="P1079" s="943"/>
      <c r="Q1079" s="943"/>
      <c r="R1079" s="943"/>
      <c r="S1079" s="943"/>
      <c r="T1079" s="943"/>
      <c r="U1079" s="943"/>
      <c r="V1079" s="943"/>
      <c r="W1079" s="943"/>
      <c r="X1079" s="943"/>
      <c r="Y1079" s="943"/>
      <c r="Z1079" s="943"/>
      <c r="AA1079" s="943"/>
      <c r="AB1079" s="943"/>
      <c r="AC1079" s="943"/>
      <c r="AD1079" s="943"/>
      <c r="AE1079" s="943"/>
    </row>
    <row r="1080" spans="1:31" ht="15.75" customHeight="1">
      <c r="A1080" s="943"/>
      <c r="B1080" s="943"/>
      <c r="C1080" s="943"/>
      <c r="D1080" s="943"/>
      <c r="E1080" s="943"/>
      <c r="F1080" s="943"/>
      <c r="G1080" s="943"/>
      <c r="H1080" s="943"/>
      <c r="I1080" s="943"/>
      <c r="J1080" s="943"/>
      <c r="K1080" s="943"/>
      <c r="L1080" s="943"/>
      <c r="M1080" s="943"/>
      <c r="N1080" s="943"/>
      <c r="O1080" s="943"/>
      <c r="P1080" s="943"/>
      <c r="Q1080" s="943"/>
      <c r="R1080" s="943"/>
      <c r="S1080" s="943"/>
      <c r="T1080" s="943"/>
      <c r="U1080" s="943"/>
      <c r="V1080" s="943"/>
      <c r="W1080" s="943"/>
      <c r="X1080" s="943"/>
      <c r="Y1080" s="943"/>
      <c r="Z1080" s="943"/>
      <c r="AA1080" s="943"/>
      <c r="AB1080" s="943"/>
      <c r="AC1080" s="943"/>
      <c r="AD1080" s="943"/>
      <c r="AE1080" s="943"/>
    </row>
    <row r="1081" spans="1:31" ht="15.75" customHeight="1">
      <c r="A1081" s="943"/>
      <c r="B1081" s="943"/>
      <c r="C1081" s="943"/>
      <c r="D1081" s="943"/>
      <c r="E1081" s="943"/>
      <c r="F1081" s="943"/>
      <c r="G1081" s="943"/>
      <c r="H1081" s="943"/>
      <c r="I1081" s="943"/>
      <c r="J1081" s="943"/>
      <c r="K1081" s="943"/>
      <c r="L1081" s="943"/>
      <c r="M1081" s="943"/>
      <c r="N1081" s="943"/>
      <c r="O1081" s="943"/>
      <c r="P1081" s="943"/>
      <c r="Q1081" s="943"/>
      <c r="R1081" s="943"/>
      <c r="S1081" s="943"/>
      <c r="T1081" s="943"/>
      <c r="U1081" s="943"/>
      <c r="V1081" s="943"/>
      <c r="W1081" s="943"/>
      <c r="X1081" s="943"/>
      <c r="Y1081" s="943"/>
      <c r="Z1081" s="943"/>
      <c r="AA1081" s="943"/>
      <c r="AB1081" s="943"/>
      <c r="AC1081" s="943"/>
      <c r="AD1081" s="943"/>
      <c r="AE1081" s="943"/>
    </row>
    <row r="1082" spans="1:31" ht="15.75" customHeight="1">
      <c r="A1082" s="943"/>
      <c r="B1082" s="943"/>
      <c r="C1082" s="943"/>
      <c r="D1082" s="943"/>
      <c r="E1082" s="943"/>
      <c r="F1082" s="943"/>
      <c r="G1082" s="943"/>
      <c r="H1082" s="943"/>
      <c r="I1082" s="943"/>
      <c r="J1082" s="943"/>
      <c r="K1082" s="943"/>
      <c r="L1082" s="943"/>
      <c r="M1082" s="943"/>
      <c r="N1082" s="943"/>
      <c r="O1082" s="943"/>
      <c r="P1082" s="943"/>
      <c r="Q1082" s="943"/>
      <c r="R1082" s="943"/>
      <c r="S1082" s="943"/>
      <c r="T1082" s="943"/>
      <c r="U1082" s="943"/>
      <c r="V1082" s="943"/>
      <c r="W1082" s="943"/>
      <c r="X1082" s="943"/>
      <c r="Y1082" s="943"/>
      <c r="Z1082" s="943"/>
      <c r="AA1082" s="943"/>
      <c r="AB1082" s="943"/>
      <c r="AC1082" s="943"/>
      <c r="AD1082" s="943"/>
      <c r="AE1082" s="943"/>
    </row>
    <row r="1083" spans="1:31" ht="15.75" customHeight="1">
      <c r="A1083" s="943"/>
      <c r="B1083" s="943"/>
      <c r="C1083" s="943"/>
      <c r="D1083" s="943"/>
      <c r="E1083" s="943"/>
      <c r="F1083" s="943"/>
      <c r="G1083" s="943"/>
      <c r="H1083" s="943"/>
      <c r="I1083" s="943"/>
      <c r="J1083" s="943"/>
      <c r="K1083" s="943"/>
      <c r="L1083" s="943"/>
      <c r="M1083" s="943"/>
      <c r="N1083" s="943"/>
      <c r="O1083" s="943"/>
      <c r="P1083" s="943"/>
      <c r="Q1083" s="943"/>
      <c r="R1083" s="943"/>
      <c r="S1083" s="943"/>
      <c r="T1083" s="943"/>
      <c r="U1083" s="943"/>
      <c r="V1083" s="943"/>
      <c r="W1083" s="943"/>
      <c r="X1083" s="943"/>
      <c r="Y1083" s="943"/>
      <c r="Z1083" s="943"/>
      <c r="AA1083" s="943"/>
      <c r="AB1083" s="943"/>
      <c r="AC1083" s="943"/>
      <c r="AD1083" s="943"/>
      <c r="AE1083" s="943"/>
    </row>
    <row r="1084" spans="1:31" ht="15.75" customHeight="1">
      <c r="A1084" s="943"/>
      <c r="B1084" s="943"/>
      <c r="C1084" s="943"/>
      <c r="D1084" s="943"/>
      <c r="E1084" s="943"/>
      <c r="F1084" s="943"/>
      <c r="G1084" s="943"/>
      <c r="H1084" s="943"/>
      <c r="I1084" s="943"/>
      <c r="J1084" s="943"/>
      <c r="K1084" s="943"/>
      <c r="L1084" s="943"/>
      <c r="M1084" s="943"/>
      <c r="N1084" s="943"/>
      <c r="O1084" s="943"/>
      <c r="P1084" s="943"/>
      <c r="Q1084" s="943"/>
      <c r="R1084" s="943"/>
      <c r="S1084" s="943"/>
      <c r="T1084" s="943"/>
      <c r="U1084" s="943"/>
      <c r="V1084" s="943"/>
      <c r="W1084" s="943"/>
      <c r="X1084" s="943"/>
      <c r="Y1084" s="943"/>
      <c r="Z1084" s="943"/>
      <c r="AA1084" s="943"/>
      <c r="AB1084" s="943"/>
      <c r="AC1084" s="943"/>
      <c r="AD1084" s="943"/>
      <c r="AE1084" s="943"/>
    </row>
    <row r="1085" spans="1:31" ht="15.75" customHeight="1">
      <c r="A1085" s="943"/>
      <c r="B1085" s="943"/>
      <c r="C1085" s="943"/>
      <c r="D1085" s="943"/>
      <c r="E1085" s="943"/>
      <c r="F1085" s="943"/>
      <c r="G1085" s="943"/>
      <c r="H1085" s="943"/>
      <c r="I1085" s="943"/>
      <c r="J1085" s="943"/>
      <c r="K1085" s="943"/>
      <c r="L1085" s="943"/>
      <c r="M1085" s="943"/>
      <c r="N1085" s="943"/>
      <c r="O1085" s="943"/>
      <c r="P1085" s="943"/>
      <c r="Q1085" s="943"/>
      <c r="R1085" s="943"/>
      <c r="S1085" s="943"/>
      <c r="T1085" s="943"/>
      <c r="U1085" s="943"/>
      <c r="V1085" s="943"/>
      <c r="W1085" s="943"/>
      <c r="X1085" s="943"/>
      <c r="Y1085" s="943"/>
      <c r="Z1085" s="943"/>
      <c r="AA1085" s="943"/>
      <c r="AB1085" s="943"/>
      <c r="AC1085" s="943"/>
      <c r="AD1085" s="943"/>
      <c r="AE1085" s="943"/>
    </row>
    <row r="1086" spans="1:31" ht="15.75" customHeight="1">
      <c r="A1086" s="943"/>
      <c r="B1086" s="943"/>
      <c r="C1086" s="943"/>
      <c r="D1086" s="943"/>
      <c r="E1086" s="943"/>
      <c r="F1086" s="943"/>
      <c r="G1086" s="943"/>
      <c r="H1086" s="943"/>
      <c r="I1086" s="943"/>
      <c r="J1086" s="943"/>
      <c r="K1086" s="943"/>
      <c r="L1086" s="943"/>
      <c r="M1086" s="943"/>
      <c r="N1086" s="943"/>
      <c r="O1086" s="943"/>
      <c r="P1086" s="943"/>
      <c r="Q1086" s="943"/>
      <c r="R1086" s="943"/>
      <c r="S1086" s="943"/>
      <c r="T1086" s="943"/>
      <c r="U1086" s="943"/>
      <c r="V1086" s="943"/>
      <c r="W1086" s="943"/>
      <c r="X1086" s="943"/>
      <c r="Y1086" s="943"/>
      <c r="Z1086" s="943"/>
      <c r="AA1086" s="943"/>
      <c r="AB1086" s="943"/>
      <c r="AC1086" s="943"/>
      <c r="AD1086" s="943"/>
      <c r="AE1086" s="943"/>
    </row>
    <row r="1087" spans="1:31" ht="15.75" customHeight="1">
      <c r="A1087" s="943"/>
      <c r="B1087" s="943"/>
      <c r="C1087" s="943"/>
      <c r="D1087" s="943"/>
      <c r="E1087" s="943"/>
      <c r="F1087" s="943"/>
      <c r="G1087" s="943"/>
      <c r="H1087" s="943"/>
      <c r="I1087" s="943"/>
      <c r="J1087" s="943"/>
      <c r="K1087" s="943"/>
      <c r="L1087" s="943"/>
      <c r="M1087" s="943"/>
      <c r="N1087" s="943"/>
      <c r="O1087" s="943"/>
      <c r="P1087" s="943"/>
      <c r="Q1087" s="943"/>
      <c r="R1087" s="943"/>
      <c r="S1087" s="943"/>
      <c r="T1087" s="943"/>
      <c r="U1087" s="943"/>
      <c r="V1087" s="943"/>
      <c r="W1087" s="943"/>
      <c r="X1087" s="943"/>
      <c r="Y1087" s="943"/>
      <c r="Z1087" s="943"/>
      <c r="AA1087" s="943"/>
      <c r="AB1087" s="943"/>
      <c r="AC1087" s="943"/>
      <c r="AD1087" s="943"/>
      <c r="AE1087" s="943"/>
    </row>
    <row r="1088" spans="1:31" ht="15.75" customHeight="1">
      <c r="A1088" s="943"/>
      <c r="B1088" s="943"/>
      <c r="C1088" s="943"/>
      <c r="D1088" s="943"/>
      <c r="E1088" s="943"/>
      <c r="F1088" s="943"/>
      <c r="G1088" s="943"/>
      <c r="H1088" s="943"/>
      <c r="I1088" s="943"/>
      <c r="J1088" s="943"/>
      <c r="K1088" s="943"/>
      <c r="L1088" s="943"/>
      <c r="M1088" s="943"/>
      <c r="N1088" s="943"/>
      <c r="O1088" s="943"/>
      <c r="P1088" s="943"/>
      <c r="Q1088" s="943"/>
      <c r="R1088" s="943"/>
      <c r="S1088" s="943"/>
      <c r="T1088" s="943"/>
      <c r="U1088" s="943"/>
      <c r="V1088" s="943"/>
      <c r="W1088" s="943"/>
      <c r="X1088" s="943"/>
      <c r="Y1088" s="943"/>
      <c r="Z1088" s="943"/>
      <c r="AA1088" s="943"/>
      <c r="AB1088" s="943"/>
      <c r="AC1088" s="943"/>
      <c r="AD1088" s="943"/>
      <c r="AE1088" s="943"/>
    </row>
    <row r="1089" spans="1:31" ht="15.75" customHeight="1">
      <c r="A1089" s="943"/>
      <c r="B1089" s="943"/>
      <c r="C1089" s="943"/>
      <c r="D1089" s="943"/>
      <c r="E1089" s="943"/>
      <c r="F1089" s="943"/>
      <c r="G1089" s="943"/>
      <c r="H1089" s="943"/>
      <c r="I1089" s="943"/>
      <c r="J1089" s="943"/>
      <c r="K1089" s="943"/>
      <c r="L1089" s="943"/>
      <c r="M1089" s="943"/>
      <c r="N1089" s="943"/>
      <c r="O1089" s="943"/>
      <c r="P1089" s="943"/>
      <c r="Q1089" s="943"/>
      <c r="R1089" s="943"/>
      <c r="S1089" s="943"/>
      <c r="T1089" s="943"/>
      <c r="U1089" s="943"/>
      <c r="V1089" s="943"/>
      <c r="W1089" s="943"/>
      <c r="X1089" s="943"/>
      <c r="Y1089" s="943"/>
      <c r="Z1089" s="943"/>
      <c r="AA1089" s="943"/>
      <c r="AB1089" s="943"/>
      <c r="AC1089" s="943"/>
      <c r="AD1089" s="943"/>
      <c r="AE1089" s="943"/>
    </row>
    <row r="1090" spans="1:31" ht="15.75" customHeight="1">
      <c r="A1090" s="943"/>
      <c r="B1090" s="943"/>
      <c r="C1090" s="943"/>
      <c r="D1090" s="943"/>
      <c r="E1090" s="943"/>
      <c r="F1090" s="943"/>
      <c r="G1090" s="943"/>
      <c r="H1090" s="943"/>
      <c r="I1090" s="943"/>
      <c r="J1090" s="943"/>
      <c r="K1090" s="943"/>
      <c r="L1090" s="943"/>
      <c r="M1090" s="943"/>
      <c r="N1090" s="943"/>
      <c r="O1090" s="943"/>
      <c r="P1090" s="943"/>
      <c r="Q1090" s="943"/>
      <c r="R1090" s="943"/>
      <c r="S1090" s="943"/>
      <c r="T1090" s="943"/>
      <c r="U1090" s="943"/>
      <c r="V1090" s="943"/>
      <c r="W1090" s="943"/>
      <c r="X1090" s="943"/>
      <c r="Y1090" s="943"/>
      <c r="Z1090" s="943"/>
      <c r="AA1090" s="943"/>
      <c r="AB1090" s="943"/>
      <c r="AC1090" s="943"/>
      <c r="AD1090" s="943"/>
      <c r="AE1090" s="943"/>
    </row>
    <row r="1091" spans="1:31" ht="15.75" customHeight="1">
      <c r="A1091" s="943"/>
      <c r="B1091" s="943"/>
      <c r="C1091" s="943"/>
      <c r="D1091" s="943"/>
      <c r="E1091" s="943"/>
      <c r="F1091" s="943"/>
      <c r="G1091" s="943"/>
      <c r="H1091" s="943"/>
      <c r="I1091" s="943"/>
      <c r="J1091" s="943"/>
      <c r="K1091" s="943"/>
      <c r="L1091" s="943"/>
      <c r="M1091" s="943"/>
      <c r="N1091" s="943"/>
      <c r="O1091" s="943"/>
      <c r="P1091" s="943"/>
      <c r="Q1091" s="943"/>
      <c r="R1091" s="943"/>
      <c r="S1091" s="943"/>
      <c r="T1091" s="943"/>
      <c r="U1091" s="943"/>
      <c r="V1091" s="943"/>
      <c r="W1091" s="943"/>
      <c r="X1091" s="943"/>
      <c r="Y1091" s="943"/>
      <c r="Z1091" s="943"/>
      <c r="AA1091" s="943"/>
      <c r="AB1091" s="943"/>
      <c r="AC1091" s="943"/>
      <c r="AD1091" s="943"/>
      <c r="AE1091" s="943"/>
    </row>
    <row r="1092" spans="1:31" ht="15.75" customHeight="1">
      <c r="A1092" s="943"/>
      <c r="B1092" s="943"/>
      <c r="C1092" s="943"/>
      <c r="D1092" s="943"/>
      <c r="E1092" s="943"/>
      <c r="F1092" s="943"/>
      <c r="G1092" s="943"/>
      <c r="H1092" s="943"/>
      <c r="I1092" s="943"/>
      <c r="J1092" s="943"/>
      <c r="K1092" s="943"/>
      <c r="L1092" s="943"/>
      <c r="M1092" s="943"/>
      <c r="N1092" s="943"/>
      <c r="O1092" s="943"/>
      <c r="P1092" s="943"/>
      <c r="Q1092" s="943"/>
      <c r="R1092" s="943"/>
      <c r="S1092" s="943"/>
      <c r="T1092" s="943"/>
      <c r="U1092" s="943"/>
      <c r="V1092" s="943"/>
      <c r="W1092" s="943"/>
      <c r="X1092" s="943"/>
      <c r="Y1092" s="943"/>
      <c r="Z1092" s="943"/>
      <c r="AA1092" s="943"/>
      <c r="AB1092" s="943"/>
      <c r="AC1092" s="943"/>
      <c r="AD1092" s="943"/>
      <c r="AE1092" s="943"/>
    </row>
    <row r="1093" spans="1:31" ht="15.75" customHeight="1">
      <c r="A1093" s="943"/>
      <c r="B1093" s="943"/>
      <c r="C1093" s="943"/>
      <c r="D1093" s="943"/>
      <c r="E1093" s="943"/>
      <c r="F1093" s="943"/>
      <c r="G1093" s="943"/>
      <c r="H1093" s="943"/>
      <c r="I1093" s="943"/>
      <c r="J1093" s="943"/>
      <c r="K1093" s="943"/>
      <c r="L1093" s="943"/>
      <c r="M1093" s="943"/>
      <c r="N1093" s="943"/>
      <c r="O1093" s="943"/>
      <c r="P1093" s="943"/>
      <c r="Q1093" s="943"/>
      <c r="R1093" s="943"/>
      <c r="S1093" s="943"/>
      <c r="T1093" s="943"/>
      <c r="U1093" s="943"/>
      <c r="V1093" s="943"/>
      <c r="W1093" s="943"/>
      <c r="X1093" s="943"/>
      <c r="Y1093" s="943"/>
      <c r="Z1093" s="943"/>
      <c r="AA1093" s="943"/>
      <c r="AB1093" s="943"/>
      <c r="AC1093" s="943"/>
      <c r="AD1093" s="943"/>
      <c r="AE1093" s="943"/>
    </row>
    <row r="1094" spans="1:31" ht="15.75" customHeight="1">
      <c r="A1094" s="943"/>
      <c r="B1094" s="943"/>
      <c r="C1094" s="943"/>
      <c r="D1094" s="943"/>
      <c r="E1094" s="943"/>
      <c r="F1094" s="943"/>
      <c r="G1094" s="943"/>
      <c r="H1094" s="943"/>
      <c r="I1094" s="943"/>
      <c r="J1094" s="943"/>
      <c r="K1094" s="943"/>
      <c r="L1094" s="943"/>
      <c r="M1094" s="943"/>
      <c r="N1094" s="943"/>
      <c r="O1094" s="943"/>
      <c r="P1094" s="943"/>
      <c r="Q1094" s="943"/>
      <c r="R1094" s="943"/>
      <c r="S1094" s="943"/>
      <c r="T1094" s="943"/>
      <c r="U1094" s="943"/>
      <c r="V1094" s="943"/>
      <c r="W1094" s="943"/>
      <c r="X1094" s="943"/>
      <c r="Y1094" s="943"/>
      <c r="Z1094" s="943"/>
      <c r="AA1094" s="943"/>
      <c r="AB1094" s="943"/>
      <c r="AC1094" s="943"/>
      <c r="AD1094" s="943"/>
      <c r="AE1094" s="943"/>
    </row>
    <row r="1095" spans="1:31" ht="15.75" customHeight="1">
      <c r="A1095" s="943"/>
      <c r="B1095" s="943"/>
      <c r="C1095" s="943"/>
      <c r="D1095" s="943"/>
      <c r="E1095" s="943"/>
      <c r="F1095" s="943"/>
      <c r="G1095" s="943"/>
      <c r="H1095" s="943"/>
      <c r="I1095" s="943"/>
      <c r="J1095" s="943"/>
      <c r="K1095" s="943"/>
      <c r="L1095" s="943"/>
      <c r="M1095" s="943"/>
      <c r="N1095" s="943"/>
      <c r="O1095" s="943"/>
      <c r="P1095" s="943"/>
      <c r="Q1095" s="943"/>
      <c r="R1095" s="943"/>
      <c r="S1095" s="943"/>
      <c r="T1095" s="943"/>
      <c r="U1095" s="943"/>
      <c r="V1095" s="943"/>
      <c r="W1095" s="943"/>
      <c r="X1095" s="943"/>
      <c r="Y1095" s="943"/>
      <c r="Z1095" s="943"/>
      <c r="AA1095" s="943"/>
      <c r="AB1095" s="943"/>
      <c r="AC1095" s="943"/>
      <c r="AD1095" s="943"/>
      <c r="AE1095" s="943"/>
    </row>
    <row r="1096" spans="1:31" ht="15.75" customHeight="1">
      <c r="A1096" s="943"/>
      <c r="B1096" s="943"/>
      <c r="C1096" s="943"/>
      <c r="D1096" s="943"/>
      <c r="E1096" s="943"/>
      <c r="F1096" s="943"/>
      <c r="G1096" s="943"/>
      <c r="H1096" s="943"/>
      <c r="I1096" s="943"/>
      <c r="J1096" s="943"/>
      <c r="K1096" s="943"/>
      <c r="L1096" s="943"/>
      <c r="M1096" s="943"/>
      <c r="N1096" s="943"/>
      <c r="O1096" s="943"/>
      <c r="P1096" s="943"/>
      <c r="Q1096" s="943"/>
      <c r="R1096" s="943"/>
      <c r="S1096" s="943"/>
      <c r="T1096" s="943"/>
      <c r="U1096" s="943"/>
      <c r="V1096" s="943"/>
      <c r="W1096" s="943"/>
      <c r="X1096" s="943"/>
      <c r="Y1096" s="943"/>
      <c r="Z1096" s="943"/>
      <c r="AA1096" s="943"/>
      <c r="AB1096" s="943"/>
      <c r="AC1096" s="943"/>
      <c r="AD1096" s="943"/>
      <c r="AE1096" s="943"/>
    </row>
    <row r="1097" spans="1:31" ht="15.75" customHeight="1">
      <c r="A1097" s="943"/>
      <c r="B1097" s="943"/>
      <c r="C1097" s="943"/>
      <c r="D1097" s="943"/>
      <c r="E1097" s="943"/>
      <c r="F1097" s="943"/>
      <c r="G1097" s="943"/>
      <c r="H1097" s="943"/>
      <c r="I1097" s="943"/>
      <c r="J1097" s="943"/>
      <c r="K1097" s="943"/>
      <c r="L1097" s="943"/>
      <c r="M1097" s="943"/>
      <c r="N1097" s="943"/>
      <c r="O1097" s="943"/>
      <c r="P1097" s="943"/>
      <c r="Q1097" s="943"/>
      <c r="R1097" s="943"/>
      <c r="S1097" s="943"/>
      <c r="T1097" s="943"/>
      <c r="U1097" s="943"/>
      <c r="V1097" s="943"/>
      <c r="W1097" s="943"/>
      <c r="X1097" s="943"/>
      <c r="Y1097" s="943"/>
      <c r="Z1097" s="943"/>
      <c r="AA1097" s="943"/>
      <c r="AB1097" s="943"/>
      <c r="AC1097" s="943"/>
      <c r="AD1097" s="943"/>
      <c r="AE1097" s="943"/>
    </row>
    <row r="1098" spans="1:31" ht="15.75" customHeight="1">
      <c r="A1098" s="943"/>
      <c r="B1098" s="943"/>
      <c r="C1098" s="943"/>
      <c r="D1098" s="943"/>
      <c r="E1098" s="943"/>
      <c r="F1098" s="943"/>
      <c r="G1098" s="943"/>
      <c r="H1098" s="943"/>
      <c r="I1098" s="943"/>
      <c r="J1098" s="943"/>
      <c r="K1098" s="943"/>
      <c r="L1098" s="943"/>
      <c r="M1098" s="943"/>
      <c r="N1098" s="943"/>
      <c r="O1098" s="943"/>
      <c r="P1098" s="943"/>
      <c r="Q1098" s="943"/>
      <c r="R1098" s="943"/>
      <c r="S1098" s="943"/>
      <c r="T1098" s="943"/>
      <c r="U1098" s="943"/>
      <c r="V1098" s="943"/>
      <c r="W1098" s="943"/>
      <c r="X1098" s="943"/>
      <c r="Y1098" s="943"/>
      <c r="Z1098" s="943"/>
      <c r="AA1098" s="943"/>
      <c r="AB1098" s="943"/>
      <c r="AC1098" s="943"/>
      <c r="AD1098" s="943"/>
      <c r="AE1098" s="943"/>
    </row>
    <row r="1099" spans="1:31" ht="15.75" customHeight="1">
      <c r="A1099" s="943"/>
      <c r="B1099" s="943"/>
      <c r="C1099" s="943"/>
      <c r="D1099" s="943"/>
      <c r="E1099" s="943"/>
      <c r="F1099" s="943"/>
      <c r="G1099" s="943"/>
      <c r="H1099" s="943"/>
      <c r="I1099" s="943"/>
      <c r="J1099" s="943"/>
      <c r="K1099" s="943"/>
      <c r="L1099" s="943"/>
      <c r="M1099" s="943"/>
      <c r="N1099" s="943"/>
      <c r="O1099" s="943"/>
      <c r="P1099" s="943"/>
      <c r="Q1099" s="943"/>
      <c r="R1099" s="943"/>
      <c r="S1099" s="943"/>
      <c r="T1099" s="943"/>
      <c r="U1099" s="943"/>
      <c r="V1099" s="943"/>
      <c r="W1099" s="943"/>
      <c r="X1099" s="943"/>
      <c r="Y1099" s="943"/>
      <c r="Z1099" s="943"/>
      <c r="AA1099" s="943"/>
      <c r="AB1099" s="943"/>
      <c r="AC1099" s="943"/>
      <c r="AD1099" s="943"/>
      <c r="AE1099" s="943"/>
    </row>
    <row r="1100" spans="1:31" ht="15.75" customHeight="1">
      <c r="A1100" s="943"/>
      <c r="B1100" s="943"/>
      <c r="C1100" s="943"/>
      <c r="D1100" s="943"/>
      <c r="E1100" s="943"/>
      <c r="F1100" s="943"/>
      <c r="G1100" s="943"/>
      <c r="H1100" s="943"/>
      <c r="I1100" s="943"/>
      <c r="J1100" s="943"/>
      <c r="K1100" s="943"/>
      <c r="L1100" s="943"/>
      <c r="M1100" s="943"/>
      <c r="N1100" s="943"/>
      <c r="O1100" s="943"/>
      <c r="P1100" s="943"/>
      <c r="Q1100" s="943"/>
      <c r="R1100" s="943"/>
      <c r="S1100" s="943"/>
      <c r="T1100" s="943"/>
      <c r="U1100" s="943"/>
      <c r="V1100" s="943"/>
      <c r="W1100" s="943"/>
      <c r="X1100" s="943"/>
      <c r="Y1100" s="943"/>
      <c r="Z1100" s="943"/>
      <c r="AA1100" s="943"/>
      <c r="AB1100" s="943"/>
      <c r="AC1100" s="943"/>
      <c r="AD1100" s="943"/>
      <c r="AE1100" s="943"/>
    </row>
    <row r="1101" spans="1:31" ht="15.75" customHeight="1">
      <c r="A1101" s="943"/>
      <c r="B1101" s="943"/>
      <c r="C1101" s="943"/>
      <c r="D1101" s="943"/>
      <c r="E1101" s="943"/>
      <c r="F1101" s="943"/>
      <c r="G1101" s="943"/>
      <c r="H1101" s="943"/>
      <c r="I1101" s="943"/>
      <c r="J1101" s="943"/>
      <c r="K1101" s="943"/>
      <c r="L1101" s="943"/>
      <c r="M1101" s="943"/>
      <c r="N1101" s="943"/>
      <c r="O1101" s="943"/>
      <c r="P1101" s="943"/>
      <c r="Q1101" s="943"/>
      <c r="R1101" s="943"/>
      <c r="S1101" s="943"/>
      <c r="T1101" s="943"/>
      <c r="U1101" s="943"/>
      <c r="V1101" s="943"/>
      <c r="W1101" s="943"/>
      <c r="X1101" s="943"/>
      <c r="Y1101" s="943"/>
      <c r="Z1101" s="943"/>
      <c r="AA1101" s="943"/>
      <c r="AB1101" s="943"/>
      <c r="AC1101" s="943"/>
      <c r="AD1101" s="943"/>
      <c r="AE1101" s="943"/>
    </row>
    <row r="1102" spans="1:31" ht="15.75" customHeight="1">
      <c r="A1102" s="943"/>
      <c r="B1102" s="943"/>
      <c r="C1102" s="943"/>
      <c r="D1102" s="943"/>
      <c r="E1102" s="943"/>
      <c r="F1102" s="943"/>
      <c r="G1102" s="943"/>
      <c r="H1102" s="943"/>
      <c r="I1102" s="943"/>
      <c r="J1102" s="943"/>
      <c r="K1102" s="943"/>
      <c r="L1102" s="943"/>
      <c r="M1102" s="943"/>
      <c r="N1102" s="943"/>
      <c r="O1102" s="943"/>
      <c r="P1102" s="943"/>
      <c r="Q1102" s="943"/>
      <c r="R1102" s="943"/>
      <c r="S1102" s="943"/>
      <c r="T1102" s="943"/>
      <c r="U1102" s="943"/>
      <c r="V1102" s="943"/>
      <c r="W1102" s="943"/>
      <c r="X1102" s="943"/>
      <c r="Y1102" s="943"/>
      <c r="Z1102" s="943"/>
      <c r="AA1102" s="943"/>
      <c r="AB1102" s="943"/>
      <c r="AC1102" s="943"/>
      <c r="AD1102" s="943"/>
      <c r="AE1102" s="943"/>
    </row>
    <row r="1103" spans="1:31" ht="15.75" customHeight="1">
      <c r="A1103" s="943"/>
      <c r="B1103" s="943"/>
      <c r="C1103" s="943"/>
      <c r="D1103" s="943"/>
      <c r="E1103" s="943"/>
      <c r="F1103" s="943"/>
      <c r="G1103" s="943"/>
      <c r="H1103" s="943"/>
      <c r="I1103" s="943"/>
      <c r="J1103" s="943"/>
      <c r="K1103" s="943"/>
      <c r="L1103" s="943"/>
      <c r="M1103" s="943"/>
      <c r="N1103" s="943"/>
      <c r="O1103" s="943"/>
      <c r="P1103" s="943"/>
      <c r="Q1103" s="943"/>
      <c r="R1103" s="943"/>
      <c r="S1103" s="943"/>
      <c r="T1103" s="943"/>
      <c r="U1103" s="943"/>
      <c r="V1103" s="943"/>
      <c r="W1103" s="943"/>
      <c r="X1103" s="943"/>
      <c r="Y1103" s="943"/>
      <c r="Z1103" s="943"/>
      <c r="AA1103" s="943"/>
      <c r="AB1103" s="943"/>
      <c r="AC1103" s="943"/>
      <c r="AD1103" s="943"/>
      <c r="AE1103" s="943"/>
    </row>
    <row r="1104" spans="1:31" ht="15.75" customHeight="1">
      <c r="A1104" s="943"/>
      <c r="B1104" s="943"/>
      <c r="C1104" s="943"/>
      <c r="D1104" s="943"/>
      <c r="E1104" s="943"/>
      <c r="F1104" s="943"/>
      <c r="G1104" s="943"/>
      <c r="H1104" s="943"/>
      <c r="I1104" s="943"/>
      <c r="J1104" s="943"/>
      <c r="K1104" s="943"/>
      <c r="L1104" s="943"/>
      <c r="M1104" s="943"/>
      <c r="N1104" s="943"/>
      <c r="O1104" s="943"/>
      <c r="P1104" s="943"/>
      <c r="Q1104" s="943"/>
      <c r="R1104" s="943"/>
      <c r="S1104" s="943"/>
      <c r="T1104" s="943"/>
      <c r="U1104" s="943"/>
      <c r="V1104" s="943"/>
      <c r="W1104" s="943"/>
      <c r="X1104" s="943"/>
      <c r="Y1104" s="943"/>
      <c r="Z1104" s="943"/>
      <c r="AA1104" s="943"/>
      <c r="AB1104" s="943"/>
      <c r="AC1104" s="943"/>
      <c r="AD1104" s="943"/>
      <c r="AE1104" s="943"/>
    </row>
    <row r="1105" spans="1:31" ht="15.75" customHeight="1">
      <c r="A1105" s="943"/>
      <c r="B1105" s="943"/>
      <c r="C1105" s="943"/>
      <c r="D1105" s="943"/>
      <c r="E1105" s="943"/>
      <c r="F1105" s="943"/>
      <c r="G1105" s="943"/>
      <c r="H1105" s="943"/>
      <c r="I1105" s="943"/>
      <c r="J1105" s="943"/>
      <c r="K1105" s="943"/>
      <c r="L1105" s="943"/>
      <c r="M1105" s="943"/>
      <c r="N1105" s="943"/>
      <c r="O1105" s="943"/>
      <c r="P1105" s="943"/>
      <c r="Q1105" s="943"/>
      <c r="R1105" s="943"/>
      <c r="S1105" s="943"/>
      <c r="T1105" s="943"/>
      <c r="U1105" s="943"/>
      <c r="V1105" s="943"/>
      <c r="W1105" s="943"/>
      <c r="X1105" s="943"/>
      <c r="Y1105" s="943"/>
      <c r="Z1105" s="943"/>
      <c r="AA1105" s="943"/>
      <c r="AB1105" s="943"/>
      <c r="AC1105" s="943"/>
      <c r="AD1105" s="943"/>
      <c r="AE1105" s="943"/>
    </row>
    <row r="1106" spans="1:31" ht="15.75" customHeight="1">
      <c r="A1106" s="943"/>
      <c r="B1106" s="943"/>
      <c r="C1106" s="943"/>
      <c r="D1106" s="943"/>
      <c r="E1106" s="943"/>
      <c r="F1106" s="943"/>
      <c r="G1106" s="943"/>
      <c r="H1106" s="943"/>
      <c r="I1106" s="943"/>
      <c r="J1106" s="943"/>
      <c r="K1106" s="943"/>
      <c r="L1106" s="943"/>
      <c r="M1106" s="943"/>
      <c r="N1106" s="943"/>
      <c r="O1106" s="943"/>
      <c r="P1106" s="943"/>
      <c r="Q1106" s="943"/>
      <c r="R1106" s="943"/>
      <c r="S1106" s="943"/>
      <c r="T1106" s="943"/>
      <c r="U1106" s="943"/>
      <c r="V1106" s="943"/>
      <c r="W1106" s="943"/>
      <c r="X1106" s="943"/>
      <c r="Y1106" s="943"/>
      <c r="Z1106" s="943"/>
      <c r="AA1106" s="943"/>
      <c r="AB1106" s="943"/>
      <c r="AC1106" s="943"/>
      <c r="AD1106" s="943"/>
      <c r="AE1106" s="943"/>
    </row>
    <row r="1107" spans="1:31" ht="15.75" customHeight="1">
      <c r="A1107" s="943"/>
      <c r="B1107" s="943"/>
      <c r="C1107" s="943"/>
      <c r="D1107" s="943"/>
      <c r="E1107" s="943"/>
      <c r="F1107" s="943"/>
      <c r="G1107" s="943"/>
      <c r="H1107" s="943"/>
      <c r="I1107" s="943"/>
      <c r="J1107" s="943"/>
      <c r="K1107" s="943"/>
      <c r="L1107" s="943"/>
      <c r="M1107" s="943"/>
      <c r="N1107" s="943"/>
      <c r="O1107" s="943"/>
      <c r="P1107" s="943"/>
      <c r="Q1107" s="943"/>
      <c r="R1107" s="943"/>
      <c r="S1107" s="943"/>
      <c r="T1107" s="943"/>
      <c r="U1107" s="943"/>
      <c r="V1107" s="943"/>
      <c r="W1107" s="943"/>
      <c r="X1107" s="943"/>
      <c r="Y1107" s="943"/>
      <c r="Z1107" s="943"/>
      <c r="AA1107" s="943"/>
      <c r="AB1107" s="943"/>
      <c r="AC1107" s="943"/>
      <c r="AD1107" s="943"/>
      <c r="AE1107" s="943"/>
    </row>
    <row r="1108" spans="1:31" ht="15.75" customHeight="1">
      <c r="A1108" s="943"/>
      <c r="B1108" s="943"/>
      <c r="C1108" s="943"/>
      <c r="D1108" s="943"/>
      <c r="E1108" s="943"/>
      <c r="F1108" s="943"/>
      <c r="G1108" s="943"/>
      <c r="H1108" s="943"/>
      <c r="I1108" s="943"/>
      <c r="J1108" s="943"/>
      <c r="K1108" s="943"/>
      <c r="L1108" s="943"/>
      <c r="M1108" s="943"/>
      <c r="N1108" s="943"/>
      <c r="O1108" s="943"/>
      <c r="P1108" s="943"/>
      <c r="Q1108" s="943"/>
      <c r="R1108" s="943"/>
      <c r="S1108" s="943"/>
      <c r="T1108" s="943"/>
      <c r="U1108" s="943"/>
      <c r="V1108" s="943"/>
      <c r="W1108" s="943"/>
      <c r="X1108" s="943"/>
      <c r="Y1108" s="943"/>
      <c r="Z1108" s="943"/>
      <c r="AA1108" s="943"/>
      <c r="AB1108" s="943"/>
      <c r="AC1108" s="943"/>
      <c r="AD1108" s="943"/>
      <c r="AE1108" s="943"/>
    </row>
    <row r="1109" spans="1:31" ht="15.75" customHeight="1">
      <c r="A1109" s="943"/>
      <c r="B1109" s="943"/>
      <c r="C1109" s="943"/>
      <c r="D1109" s="943"/>
      <c r="E1109" s="943"/>
      <c r="F1109" s="943"/>
      <c r="G1109" s="943"/>
      <c r="H1109" s="943"/>
      <c r="I1109" s="943"/>
      <c r="J1109" s="943"/>
      <c r="K1109" s="943"/>
      <c r="L1109" s="943"/>
      <c r="M1109" s="943"/>
      <c r="N1109" s="943"/>
      <c r="O1109" s="943"/>
      <c r="P1109" s="943"/>
      <c r="Q1109" s="943"/>
      <c r="R1109" s="943"/>
      <c r="S1109" s="943"/>
      <c r="T1109" s="943"/>
      <c r="U1109" s="943"/>
      <c r="V1109" s="943"/>
      <c r="W1109" s="943"/>
      <c r="X1109" s="943"/>
      <c r="Y1109" s="943"/>
      <c r="Z1109" s="943"/>
      <c r="AA1109" s="943"/>
      <c r="AB1109" s="943"/>
      <c r="AC1109" s="943"/>
      <c r="AD1109" s="943"/>
      <c r="AE1109" s="943"/>
    </row>
    <row r="1110" spans="1:31" ht="15.75" customHeight="1">
      <c r="A1110" s="943"/>
      <c r="B1110" s="943"/>
      <c r="C1110" s="943"/>
      <c r="D1110" s="943"/>
      <c r="E1110" s="943"/>
      <c r="F1110" s="943"/>
      <c r="G1110" s="943"/>
      <c r="H1110" s="943"/>
      <c r="I1110" s="943"/>
      <c r="J1110" s="943"/>
      <c r="K1110" s="943"/>
      <c r="L1110" s="943"/>
      <c r="M1110" s="943"/>
      <c r="N1110" s="943"/>
      <c r="O1110" s="943"/>
      <c r="P1110" s="943"/>
      <c r="Q1110" s="943"/>
      <c r="R1110" s="943"/>
      <c r="S1110" s="943"/>
      <c r="T1110" s="943"/>
      <c r="U1110" s="943"/>
      <c r="V1110" s="943"/>
      <c r="W1110" s="943"/>
      <c r="X1110" s="943"/>
      <c r="Y1110" s="943"/>
      <c r="Z1110" s="943"/>
      <c r="AA1110" s="943"/>
      <c r="AB1110" s="943"/>
      <c r="AC1110" s="943"/>
      <c r="AD1110" s="943"/>
      <c r="AE1110" s="943"/>
    </row>
    <row r="1111" spans="1:31" ht="15.75" customHeight="1">
      <c r="A1111" s="943"/>
      <c r="B1111" s="943"/>
      <c r="C1111" s="943"/>
      <c r="D1111" s="943"/>
      <c r="E1111" s="943"/>
      <c r="F1111" s="943"/>
      <c r="G1111" s="943"/>
      <c r="H1111" s="943"/>
      <c r="I1111" s="943"/>
      <c r="J1111" s="943"/>
      <c r="K1111" s="943"/>
      <c r="L1111" s="943"/>
      <c r="M1111" s="943"/>
      <c r="N1111" s="943"/>
      <c r="O1111" s="943"/>
      <c r="P1111" s="943"/>
      <c r="Q1111" s="943"/>
      <c r="R1111" s="943"/>
      <c r="S1111" s="943"/>
      <c r="T1111" s="943"/>
      <c r="U1111" s="943"/>
      <c r="V1111" s="943"/>
      <c r="W1111" s="943"/>
      <c r="X1111" s="943"/>
      <c r="Y1111" s="943"/>
      <c r="Z1111" s="943"/>
      <c r="AA1111" s="943"/>
      <c r="AB1111" s="943"/>
      <c r="AC1111" s="943"/>
      <c r="AD1111" s="943"/>
      <c r="AE1111" s="943"/>
    </row>
    <row r="1112" spans="1:31" ht="15.75" customHeight="1">
      <c r="A1112" s="943"/>
      <c r="B1112" s="943"/>
      <c r="C1112" s="943"/>
      <c r="D1112" s="943"/>
      <c r="E1112" s="943"/>
      <c r="F1112" s="943"/>
      <c r="G1112" s="943"/>
      <c r="H1112" s="943"/>
      <c r="I1112" s="943"/>
      <c r="J1112" s="943"/>
      <c r="K1112" s="943"/>
      <c r="L1112" s="943"/>
      <c r="M1112" s="943"/>
      <c r="N1112" s="943"/>
      <c r="O1112" s="943"/>
      <c r="P1112" s="943"/>
      <c r="Q1112" s="943"/>
      <c r="R1112" s="943"/>
      <c r="S1112" s="943"/>
      <c r="T1112" s="943"/>
      <c r="U1112" s="943"/>
      <c r="V1112" s="943"/>
      <c r="W1112" s="943"/>
      <c r="X1112" s="943"/>
      <c r="Y1112" s="943"/>
      <c r="Z1112" s="943"/>
      <c r="AA1112" s="943"/>
      <c r="AB1112" s="943"/>
      <c r="AC1112" s="943"/>
      <c r="AD1112" s="943"/>
      <c r="AE1112" s="943"/>
    </row>
    <row r="1113" spans="1:31" ht="15.75" customHeight="1">
      <c r="A1113" s="943"/>
      <c r="B1113" s="943"/>
      <c r="C1113" s="943"/>
      <c r="D1113" s="943"/>
      <c r="E1113" s="943"/>
      <c r="F1113" s="943"/>
      <c r="G1113" s="943"/>
      <c r="H1113" s="943"/>
      <c r="I1113" s="943"/>
      <c r="J1113" s="943"/>
      <c r="K1113" s="943"/>
      <c r="L1113" s="943"/>
      <c r="M1113" s="943"/>
      <c r="N1113" s="943"/>
      <c r="O1113" s="943"/>
      <c r="P1113" s="943"/>
      <c r="Q1113" s="943"/>
      <c r="R1113" s="943"/>
      <c r="S1113" s="943"/>
      <c r="T1113" s="943"/>
      <c r="U1113" s="943"/>
      <c r="V1113" s="943"/>
      <c r="W1113" s="943"/>
      <c r="X1113" s="943"/>
      <c r="Y1113" s="943"/>
      <c r="Z1113" s="943"/>
      <c r="AA1113" s="943"/>
      <c r="AB1113" s="943"/>
      <c r="AC1113" s="943"/>
      <c r="AD1113" s="943"/>
      <c r="AE1113" s="943"/>
    </row>
    <row r="1114" spans="1:31" ht="15.75" customHeight="1">
      <c r="A1114" s="943"/>
      <c r="B1114" s="943"/>
      <c r="C1114" s="943"/>
      <c r="D1114" s="943"/>
      <c r="E1114" s="943"/>
      <c r="F1114" s="943"/>
      <c r="G1114" s="943"/>
      <c r="H1114" s="943"/>
      <c r="I1114" s="943"/>
      <c r="J1114" s="943"/>
      <c r="K1114" s="943"/>
      <c r="L1114" s="943"/>
      <c r="M1114" s="943"/>
      <c r="N1114" s="943"/>
      <c r="O1114" s="943"/>
      <c r="P1114" s="943"/>
      <c r="Q1114" s="943"/>
      <c r="R1114" s="943"/>
      <c r="S1114" s="943"/>
      <c r="T1114" s="943"/>
      <c r="U1114" s="943"/>
      <c r="V1114" s="943"/>
      <c r="W1114" s="943"/>
      <c r="X1114" s="943"/>
      <c r="Y1114" s="943"/>
      <c r="Z1114" s="943"/>
      <c r="AA1114" s="943"/>
      <c r="AB1114" s="943"/>
      <c r="AC1114" s="943"/>
      <c r="AD1114" s="943"/>
      <c r="AE1114" s="943"/>
    </row>
    <row r="1115" spans="1:31" ht="15.75" customHeight="1">
      <c r="A1115" s="943"/>
      <c r="B1115" s="943"/>
      <c r="C1115" s="943"/>
      <c r="D1115" s="943"/>
      <c r="E1115" s="943"/>
      <c r="F1115" s="943"/>
      <c r="G1115" s="943"/>
      <c r="H1115" s="943"/>
      <c r="I1115" s="943"/>
      <c r="J1115" s="943"/>
      <c r="K1115" s="943"/>
      <c r="L1115" s="943"/>
      <c r="M1115" s="943"/>
      <c r="N1115" s="943"/>
      <c r="O1115" s="943"/>
      <c r="P1115" s="943"/>
      <c r="Q1115" s="943"/>
      <c r="R1115" s="943"/>
      <c r="S1115" s="943"/>
      <c r="T1115" s="943"/>
      <c r="U1115" s="943"/>
      <c r="V1115" s="943"/>
      <c r="W1115" s="943"/>
      <c r="X1115" s="943"/>
      <c r="Y1115" s="943"/>
      <c r="Z1115" s="943"/>
      <c r="AA1115" s="943"/>
      <c r="AB1115" s="943"/>
      <c r="AC1115" s="943"/>
      <c r="AD1115" s="943"/>
      <c r="AE1115" s="943"/>
    </row>
    <row r="1116" spans="1:31" ht="15.75" customHeight="1">
      <c r="A1116" s="943"/>
      <c r="B1116" s="943"/>
      <c r="C1116" s="943"/>
      <c r="D1116" s="943"/>
      <c r="E1116" s="943"/>
      <c r="F1116" s="943"/>
      <c r="G1116" s="943"/>
      <c r="H1116" s="943"/>
      <c r="I1116" s="943"/>
      <c r="J1116" s="943"/>
      <c r="K1116" s="943"/>
      <c r="L1116" s="943"/>
      <c r="M1116" s="943"/>
      <c r="N1116" s="943"/>
      <c r="O1116" s="943"/>
      <c r="P1116" s="943"/>
      <c r="Q1116" s="943"/>
      <c r="R1116" s="943"/>
      <c r="S1116" s="943"/>
      <c r="T1116" s="943"/>
      <c r="U1116" s="943"/>
      <c r="V1116" s="943"/>
      <c r="W1116" s="943"/>
      <c r="X1116" s="943"/>
      <c r="Y1116" s="943"/>
      <c r="Z1116" s="943"/>
      <c r="AA1116" s="943"/>
      <c r="AB1116" s="943"/>
      <c r="AC1116" s="943"/>
      <c r="AD1116" s="943"/>
      <c r="AE1116" s="943"/>
    </row>
    <row r="1117" spans="1:31" ht="15.75" customHeight="1">
      <c r="A1117" s="943"/>
      <c r="B1117" s="943"/>
      <c r="C1117" s="943"/>
      <c r="D1117" s="943"/>
      <c r="E1117" s="943"/>
      <c r="F1117" s="943"/>
      <c r="G1117" s="943"/>
      <c r="H1117" s="943"/>
      <c r="I1117" s="943"/>
      <c r="J1117" s="943"/>
      <c r="K1117" s="943"/>
      <c r="L1117" s="943"/>
      <c r="M1117" s="943"/>
      <c r="N1117" s="943"/>
      <c r="O1117" s="943"/>
      <c r="P1117" s="943"/>
      <c r="Q1117" s="943"/>
      <c r="R1117" s="943"/>
      <c r="S1117" s="943"/>
      <c r="T1117" s="943"/>
      <c r="U1117" s="943"/>
      <c r="V1117" s="943"/>
      <c r="W1117" s="943"/>
      <c r="X1117" s="943"/>
      <c r="Y1117" s="943"/>
      <c r="Z1117" s="943"/>
      <c r="AA1117" s="943"/>
      <c r="AB1117" s="943"/>
      <c r="AC1117" s="943"/>
      <c r="AD1117" s="943"/>
      <c r="AE1117" s="943"/>
    </row>
    <row r="1118" spans="1:31" ht="15.75" customHeight="1">
      <c r="A1118" s="943"/>
      <c r="B1118" s="943"/>
      <c r="C1118" s="943"/>
      <c r="D1118" s="943"/>
      <c r="E1118" s="943"/>
      <c r="F1118" s="943"/>
      <c r="G1118" s="943"/>
      <c r="H1118" s="943"/>
      <c r="I1118" s="943"/>
      <c r="J1118" s="943"/>
      <c r="K1118" s="943"/>
      <c r="L1118" s="943"/>
      <c r="M1118" s="943"/>
      <c r="N1118" s="943"/>
      <c r="O1118" s="943"/>
      <c r="P1118" s="943"/>
      <c r="Q1118" s="943"/>
      <c r="R1118" s="943"/>
      <c r="S1118" s="943"/>
      <c r="T1118" s="943"/>
      <c r="U1118" s="943"/>
      <c r="V1118" s="943"/>
      <c r="W1118" s="943"/>
      <c r="X1118" s="943"/>
      <c r="Y1118" s="943"/>
      <c r="Z1118" s="943"/>
      <c r="AA1118" s="943"/>
      <c r="AB1118" s="943"/>
      <c r="AC1118" s="943"/>
      <c r="AD1118" s="943"/>
      <c r="AE1118" s="943"/>
    </row>
    <row r="1119" spans="1:31" ht="15.75" customHeight="1">
      <c r="A1119" s="943"/>
      <c r="B1119" s="943"/>
      <c r="C1119" s="943"/>
      <c r="D1119" s="943"/>
      <c r="E1119" s="943"/>
      <c r="F1119" s="943"/>
      <c r="G1119" s="943"/>
      <c r="H1119" s="943"/>
      <c r="I1119" s="943"/>
      <c r="J1119" s="943"/>
      <c r="K1119" s="943"/>
      <c r="L1119" s="943"/>
      <c r="M1119" s="943"/>
      <c r="N1119" s="943"/>
      <c r="O1119" s="943"/>
      <c r="P1119" s="943"/>
      <c r="Q1119" s="943"/>
      <c r="R1119" s="943"/>
      <c r="S1119" s="943"/>
      <c r="T1119" s="943"/>
      <c r="U1119" s="943"/>
      <c r="V1119" s="943"/>
      <c r="W1119" s="943"/>
      <c r="X1119" s="943"/>
      <c r="Y1119" s="943"/>
      <c r="Z1119" s="943"/>
      <c r="AA1119" s="943"/>
      <c r="AB1119" s="943"/>
      <c r="AC1119" s="943"/>
      <c r="AD1119" s="943"/>
      <c r="AE1119" s="943"/>
    </row>
    <row r="1120" spans="1:31" ht="15.75" customHeight="1">
      <c r="A1120" s="943"/>
      <c r="B1120" s="943"/>
      <c r="C1120" s="943"/>
      <c r="D1120" s="943"/>
      <c r="E1120" s="943"/>
      <c r="F1120" s="943"/>
      <c r="G1120" s="943"/>
      <c r="H1120" s="943"/>
      <c r="I1120" s="943"/>
      <c r="J1120" s="943"/>
      <c r="K1120" s="943"/>
      <c r="L1120" s="943"/>
      <c r="M1120" s="943"/>
      <c r="N1120" s="943"/>
      <c r="O1120" s="943"/>
      <c r="P1120" s="943"/>
      <c r="Q1120" s="943"/>
      <c r="R1120" s="943"/>
      <c r="S1120" s="943"/>
      <c r="T1120" s="943"/>
      <c r="U1120" s="943"/>
      <c r="V1120" s="943"/>
      <c r="W1120" s="943"/>
      <c r="X1120" s="943"/>
      <c r="Y1120" s="943"/>
      <c r="Z1120" s="943"/>
      <c r="AA1120" s="943"/>
      <c r="AB1120" s="943"/>
      <c r="AC1120" s="943"/>
      <c r="AD1120" s="943"/>
      <c r="AE1120" s="943"/>
    </row>
    <row r="1121" spans="1:31" ht="15.75" customHeight="1">
      <c r="A1121" s="943"/>
      <c r="B1121" s="943"/>
      <c r="C1121" s="943"/>
      <c r="D1121" s="943"/>
      <c r="E1121" s="943"/>
      <c r="F1121" s="943"/>
      <c r="G1121" s="943"/>
      <c r="H1121" s="943"/>
      <c r="I1121" s="943"/>
      <c r="J1121" s="943"/>
      <c r="K1121" s="943"/>
      <c r="L1121" s="943"/>
      <c r="M1121" s="943"/>
      <c r="N1121" s="943"/>
      <c r="O1121" s="943"/>
      <c r="P1121" s="943"/>
      <c r="Q1121" s="943"/>
      <c r="R1121" s="943"/>
      <c r="S1121" s="943"/>
      <c r="T1121" s="943"/>
      <c r="U1121" s="943"/>
      <c r="V1121" s="943"/>
      <c r="W1121" s="943"/>
      <c r="X1121" s="943"/>
      <c r="Y1121" s="943"/>
      <c r="Z1121" s="943"/>
      <c r="AA1121" s="943"/>
      <c r="AB1121" s="943"/>
      <c r="AC1121" s="943"/>
      <c r="AD1121" s="943"/>
      <c r="AE1121" s="943"/>
    </row>
    <row r="1122" spans="1:31" ht="15.75" customHeight="1">
      <c r="A1122" s="943"/>
      <c r="B1122" s="943"/>
      <c r="C1122" s="943"/>
      <c r="D1122" s="943"/>
      <c r="E1122" s="943"/>
      <c r="F1122" s="943"/>
      <c r="G1122" s="943"/>
      <c r="H1122" s="943"/>
      <c r="I1122" s="943"/>
      <c r="J1122" s="943"/>
      <c r="K1122" s="943"/>
      <c r="L1122" s="943"/>
      <c r="M1122" s="943"/>
      <c r="N1122" s="943"/>
      <c r="O1122" s="943"/>
      <c r="P1122" s="943"/>
      <c r="Q1122" s="943"/>
      <c r="R1122" s="943"/>
      <c r="S1122" s="943"/>
      <c r="T1122" s="943"/>
      <c r="U1122" s="943"/>
      <c r="V1122" s="943"/>
      <c r="W1122" s="943"/>
      <c r="X1122" s="943"/>
      <c r="Y1122" s="943"/>
      <c r="Z1122" s="943"/>
      <c r="AA1122" s="943"/>
      <c r="AB1122" s="943"/>
      <c r="AC1122" s="943"/>
      <c r="AD1122" s="943"/>
      <c r="AE1122" s="943"/>
    </row>
    <row r="1123" spans="1:31" ht="15.75" customHeight="1">
      <c r="A1123" s="943"/>
      <c r="B1123" s="943"/>
      <c r="C1123" s="943"/>
      <c r="D1123" s="943"/>
      <c r="E1123" s="943"/>
      <c r="F1123" s="943"/>
      <c r="G1123" s="943"/>
      <c r="H1123" s="943"/>
      <c r="I1123" s="943"/>
      <c r="J1123" s="943"/>
      <c r="K1123" s="943"/>
      <c r="L1123" s="943"/>
      <c r="M1123" s="943"/>
      <c r="N1123" s="943"/>
      <c r="O1123" s="943"/>
      <c r="P1123" s="943"/>
      <c r="Q1123" s="943"/>
      <c r="R1123" s="943"/>
      <c r="S1123" s="943"/>
      <c r="T1123" s="943"/>
      <c r="U1123" s="943"/>
      <c r="V1123" s="943"/>
      <c r="W1123" s="943"/>
      <c r="X1123" s="943"/>
      <c r="Y1123" s="943"/>
      <c r="Z1123" s="943"/>
      <c r="AA1123" s="943"/>
      <c r="AB1123" s="943"/>
      <c r="AC1123" s="943"/>
      <c r="AD1123" s="943"/>
      <c r="AE1123" s="943"/>
    </row>
    <row r="1124" spans="1:31" ht="15.75" customHeight="1">
      <c r="A1124" s="943"/>
      <c r="B1124" s="943"/>
      <c r="C1124" s="943"/>
      <c r="D1124" s="943"/>
      <c r="E1124" s="943"/>
      <c r="F1124" s="943"/>
      <c r="G1124" s="943"/>
      <c r="H1124" s="943"/>
      <c r="I1124" s="943"/>
      <c r="J1124" s="943"/>
      <c r="K1124" s="943"/>
      <c r="L1124" s="943"/>
      <c r="M1124" s="943"/>
      <c r="N1124" s="943"/>
      <c r="O1124" s="943"/>
      <c r="P1124" s="943"/>
      <c r="Q1124" s="943"/>
      <c r="R1124" s="943"/>
      <c r="S1124" s="943"/>
      <c r="T1124" s="943"/>
      <c r="U1124" s="943"/>
      <c r="V1124" s="943"/>
      <c r="W1124" s="943"/>
      <c r="X1124" s="943"/>
      <c r="Y1124" s="943"/>
      <c r="Z1124" s="943"/>
      <c r="AA1124" s="943"/>
      <c r="AB1124" s="943"/>
      <c r="AC1124" s="943"/>
      <c r="AD1124" s="943"/>
      <c r="AE1124" s="943"/>
    </row>
    <row r="1125" spans="1:31" ht="15.75" customHeight="1">
      <c r="A1125" s="943"/>
      <c r="B1125" s="943"/>
      <c r="C1125" s="943"/>
      <c r="D1125" s="943"/>
      <c r="E1125" s="943"/>
      <c r="F1125" s="943"/>
      <c r="G1125" s="943"/>
      <c r="H1125" s="943"/>
      <c r="I1125" s="943"/>
      <c r="J1125" s="943"/>
      <c r="K1125" s="943"/>
      <c r="L1125" s="943"/>
      <c r="M1125" s="943"/>
      <c r="N1125" s="943"/>
      <c r="O1125" s="943"/>
      <c r="P1125" s="943"/>
      <c r="Q1125" s="943"/>
      <c r="R1125" s="943"/>
      <c r="S1125" s="943"/>
      <c r="T1125" s="943"/>
      <c r="U1125" s="943"/>
      <c r="V1125" s="943"/>
      <c r="W1125" s="943"/>
      <c r="X1125" s="943"/>
      <c r="Y1125" s="943"/>
      <c r="Z1125" s="943"/>
      <c r="AA1125" s="943"/>
      <c r="AB1125" s="943"/>
      <c r="AC1125" s="943"/>
      <c r="AD1125" s="943"/>
      <c r="AE1125" s="943"/>
    </row>
    <row r="1126" spans="1:31" ht="15.75" customHeight="1">
      <c r="A1126" s="943"/>
      <c r="B1126" s="943"/>
      <c r="C1126" s="943"/>
      <c r="D1126" s="943"/>
      <c r="E1126" s="943"/>
      <c r="F1126" s="943"/>
      <c r="G1126" s="943"/>
      <c r="H1126" s="943"/>
      <c r="I1126" s="943"/>
      <c r="J1126" s="943"/>
      <c r="K1126" s="943"/>
      <c r="L1126" s="943"/>
      <c r="M1126" s="943"/>
      <c r="N1126" s="943"/>
      <c r="O1126" s="943"/>
      <c r="P1126" s="943"/>
      <c r="Q1126" s="943"/>
      <c r="R1126" s="943"/>
      <c r="S1126" s="943"/>
      <c r="T1126" s="943"/>
      <c r="U1126" s="943"/>
      <c r="V1126" s="943"/>
      <c r="W1126" s="943"/>
      <c r="X1126" s="943"/>
      <c r="Y1126" s="943"/>
      <c r="Z1126" s="943"/>
      <c r="AA1126" s="943"/>
      <c r="AB1126" s="943"/>
      <c r="AC1126" s="943"/>
      <c r="AD1126" s="943"/>
      <c r="AE1126" s="943"/>
    </row>
    <row r="1127" spans="1:31" ht="15.75" customHeight="1">
      <c r="A1127" s="943"/>
      <c r="B1127" s="943"/>
      <c r="C1127" s="943"/>
      <c r="D1127" s="943"/>
      <c r="E1127" s="943"/>
      <c r="F1127" s="943"/>
      <c r="G1127" s="943"/>
      <c r="H1127" s="943"/>
      <c r="I1127" s="943"/>
      <c r="J1127" s="943"/>
      <c r="K1127" s="943"/>
      <c r="L1127" s="943"/>
      <c r="M1127" s="943"/>
      <c r="N1127" s="943"/>
      <c r="O1127" s="943"/>
      <c r="P1127" s="943"/>
      <c r="Q1127" s="943"/>
      <c r="R1127" s="943"/>
      <c r="S1127" s="943"/>
      <c r="T1127" s="943"/>
      <c r="U1127" s="943"/>
      <c r="V1127" s="943"/>
      <c r="W1127" s="943"/>
      <c r="X1127" s="943"/>
      <c r="Y1127" s="943"/>
      <c r="Z1127" s="943"/>
      <c r="AA1127" s="943"/>
      <c r="AB1127" s="943"/>
      <c r="AC1127" s="943"/>
      <c r="AD1127" s="943"/>
      <c r="AE1127" s="943"/>
    </row>
    <row r="1128" spans="1:31" ht="15.75" customHeight="1">
      <c r="A1128" s="943"/>
      <c r="B1128" s="943"/>
      <c r="C1128" s="943"/>
      <c r="D1128" s="943"/>
      <c r="E1128" s="943"/>
      <c r="F1128" s="943"/>
      <c r="G1128" s="943"/>
      <c r="H1128" s="943"/>
      <c r="I1128" s="943"/>
      <c r="J1128" s="943"/>
      <c r="K1128" s="943"/>
      <c r="L1128" s="943"/>
      <c r="M1128" s="943"/>
      <c r="N1128" s="943"/>
      <c r="O1128" s="943"/>
      <c r="P1128" s="943"/>
      <c r="Q1128" s="943"/>
      <c r="R1128" s="943"/>
      <c r="S1128" s="943"/>
      <c r="T1128" s="943"/>
      <c r="U1128" s="943"/>
      <c r="V1128" s="943"/>
      <c r="W1128" s="943"/>
      <c r="X1128" s="943"/>
      <c r="Y1128" s="943"/>
      <c r="Z1128" s="943"/>
      <c r="AA1128" s="943"/>
      <c r="AB1128" s="943"/>
      <c r="AC1128" s="943"/>
      <c r="AD1128" s="943"/>
      <c r="AE1128" s="943"/>
    </row>
    <row r="1129" spans="1:31" ht="15.75" customHeight="1">
      <c r="A1129" s="943"/>
      <c r="B1129" s="943"/>
      <c r="C1129" s="943"/>
      <c r="D1129" s="943"/>
      <c r="E1129" s="943"/>
      <c r="F1129" s="943"/>
      <c r="G1129" s="943"/>
      <c r="H1129" s="943"/>
      <c r="I1129" s="943"/>
      <c r="J1129" s="943"/>
      <c r="K1129" s="943"/>
      <c r="L1129" s="943"/>
      <c r="M1129" s="943"/>
      <c r="N1129" s="943"/>
      <c r="O1129" s="943"/>
      <c r="P1129" s="943"/>
      <c r="Q1129" s="943"/>
      <c r="R1129" s="943"/>
      <c r="S1129" s="943"/>
      <c r="T1129" s="943"/>
      <c r="U1129" s="943"/>
      <c r="V1129" s="943"/>
      <c r="W1129" s="943"/>
      <c r="X1129" s="943"/>
      <c r="Y1129" s="943"/>
      <c r="Z1129" s="943"/>
      <c r="AA1129" s="943"/>
      <c r="AB1129" s="943"/>
      <c r="AC1129" s="943"/>
      <c r="AD1129" s="943"/>
      <c r="AE1129" s="943"/>
    </row>
    <row r="1130" spans="1:31" ht="15.75" customHeight="1">
      <c r="A1130" s="943"/>
      <c r="B1130" s="943"/>
      <c r="C1130" s="943"/>
      <c r="D1130" s="943"/>
      <c r="E1130" s="943"/>
      <c r="F1130" s="943"/>
      <c r="G1130" s="943"/>
      <c r="H1130" s="943"/>
      <c r="I1130" s="943"/>
      <c r="J1130" s="943"/>
      <c r="K1130" s="943"/>
      <c r="L1130" s="943"/>
      <c r="M1130" s="943"/>
      <c r="N1130" s="943"/>
      <c r="O1130" s="943"/>
      <c r="P1130" s="943"/>
      <c r="Q1130" s="943"/>
      <c r="R1130" s="943"/>
      <c r="S1130" s="943"/>
      <c r="T1130" s="943"/>
      <c r="U1130" s="943"/>
      <c r="V1130" s="943"/>
      <c r="W1130" s="943"/>
      <c r="X1130" s="943"/>
      <c r="Y1130" s="943"/>
      <c r="Z1130" s="943"/>
      <c r="AA1130" s="943"/>
      <c r="AB1130" s="943"/>
      <c r="AC1130" s="943"/>
      <c r="AD1130" s="943"/>
      <c r="AE1130" s="943"/>
    </row>
    <row r="1131" spans="1:31" ht="15.75" customHeight="1">
      <c r="A1131" s="943"/>
      <c r="B1131" s="943"/>
      <c r="C1131" s="943"/>
      <c r="D1131" s="943"/>
      <c r="E1131" s="943"/>
      <c r="F1131" s="943"/>
      <c r="G1131" s="943"/>
      <c r="H1131" s="943"/>
      <c r="I1131" s="943"/>
      <c r="J1131" s="943"/>
      <c r="K1131" s="943"/>
      <c r="L1131" s="943"/>
      <c r="M1131" s="943"/>
      <c r="N1131" s="943"/>
      <c r="O1131" s="943"/>
      <c r="P1131" s="943"/>
      <c r="Q1131" s="943"/>
      <c r="R1131" s="943"/>
      <c r="S1131" s="943"/>
      <c r="T1131" s="943"/>
      <c r="U1131" s="943"/>
      <c r="V1131" s="943"/>
      <c r="W1131" s="943"/>
      <c r="X1131" s="943"/>
      <c r="Y1131" s="943"/>
      <c r="Z1131" s="943"/>
      <c r="AA1131" s="943"/>
      <c r="AB1131" s="943"/>
      <c r="AC1131" s="943"/>
      <c r="AD1131" s="943"/>
      <c r="AE1131" s="943"/>
    </row>
    <row r="1132" spans="1:31" ht="15.75" customHeight="1">
      <c r="A1132" s="943"/>
      <c r="B1132" s="943"/>
      <c r="C1132" s="943"/>
      <c r="D1132" s="943"/>
      <c r="E1132" s="943"/>
      <c r="F1132" s="943"/>
      <c r="G1132" s="943"/>
      <c r="H1132" s="943"/>
      <c r="I1132" s="943"/>
      <c r="J1132" s="943"/>
      <c r="K1132" s="943"/>
      <c r="L1132" s="943"/>
      <c r="M1132" s="943"/>
      <c r="N1132" s="943"/>
      <c r="O1132" s="943"/>
      <c r="P1132" s="943"/>
      <c r="Q1132" s="943"/>
      <c r="R1132" s="943"/>
      <c r="S1132" s="943"/>
      <c r="T1132" s="943"/>
      <c r="U1132" s="943"/>
      <c r="V1132" s="943"/>
      <c r="W1132" s="943"/>
      <c r="X1132" s="943"/>
      <c r="Y1132" s="943"/>
      <c r="Z1132" s="943"/>
      <c r="AA1132" s="943"/>
      <c r="AB1132" s="943"/>
      <c r="AC1132" s="943"/>
      <c r="AD1132" s="943"/>
      <c r="AE1132" s="943"/>
    </row>
    <row r="1133" spans="1:31" ht="15.75" customHeight="1">
      <c r="A1133" s="943"/>
      <c r="B1133" s="943"/>
      <c r="C1133" s="943"/>
      <c r="D1133" s="943"/>
      <c r="E1133" s="943"/>
      <c r="F1133" s="943"/>
      <c r="G1133" s="943"/>
      <c r="H1133" s="943"/>
      <c r="I1133" s="943"/>
      <c r="J1133" s="943"/>
      <c r="K1133" s="943"/>
      <c r="L1133" s="943"/>
      <c r="M1133" s="943"/>
      <c r="N1133" s="943"/>
      <c r="O1133" s="943"/>
      <c r="P1133" s="943"/>
      <c r="Q1133" s="943"/>
      <c r="R1133" s="943"/>
      <c r="S1133" s="943"/>
      <c r="T1133" s="943"/>
      <c r="U1133" s="943"/>
      <c r="V1133" s="943"/>
      <c r="W1133" s="943"/>
      <c r="X1133" s="943"/>
      <c r="Y1133" s="943"/>
      <c r="Z1133" s="943"/>
      <c r="AA1133" s="943"/>
      <c r="AB1133" s="943"/>
      <c r="AC1133" s="943"/>
      <c r="AD1133" s="943"/>
      <c r="AE1133" s="943"/>
    </row>
    <row r="1134" spans="1:31" ht="15.75" customHeight="1">
      <c r="A1134" s="943"/>
      <c r="B1134" s="943"/>
      <c r="C1134" s="943"/>
      <c r="D1134" s="943"/>
      <c r="E1134" s="943"/>
      <c r="F1134" s="943"/>
      <c r="G1134" s="943"/>
      <c r="H1134" s="943"/>
      <c r="I1134" s="943"/>
      <c r="J1134" s="943"/>
      <c r="K1134" s="943"/>
      <c r="L1134" s="943"/>
      <c r="M1134" s="943"/>
      <c r="N1134" s="943"/>
      <c r="O1134" s="943"/>
      <c r="P1134" s="943"/>
      <c r="Q1134" s="943"/>
      <c r="R1134" s="943"/>
      <c r="S1134" s="943"/>
      <c r="T1134" s="943"/>
      <c r="U1134" s="943"/>
      <c r="V1134" s="943"/>
      <c r="W1134" s="943"/>
      <c r="X1134" s="943"/>
      <c r="Y1134" s="943"/>
      <c r="Z1134" s="943"/>
      <c r="AA1134" s="943"/>
      <c r="AB1134" s="943"/>
      <c r="AC1134" s="943"/>
      <c r="AD1134" s="943"/>
      <c r="AE1134" s="943"/>
    </row>
    <row r="1135" spans="1:31" ht="15.75" customHeight="1">
      <c r="A1135" s="943"/>
      <c r="B1135" s="943"/>
      <c r="C1135" s="943"/>
      <c r="D1135" s="943"/>
      <c r="E1135" s="943"/>
      <c r="F1135" s="943"/>
      <c r="G1135" s="943"/>
      <c r="H1135" s="943"/>
      <c r="I1135" s="943"/>
      <c r="J1135" s="943"/>
      <c r="K1135" s="943"/>
      <c r="L1135" s="943"/>
      <c r="M1135" s="943"/>
      <c r="N1135" s="943"/>
      <c r="O1135" s="943"/>
      <c r="P1135" s="943"/>
      <c r="Q1135" s="943"/>
      <c r="R1135" s="943"/>
      <c r="S1135" s="943"/>
      <c r="T1135" s="943"/>
      <c r="U1135" s="943"/>
      <c r="V1135" s="943"/>
      <c r="W1135" s="943"/>
      <c r="X1135" s="943"/>
      <c r="Y1135" s="943"/>
      <c r="Z1135" s="943"/>
      <c r="AA1135" s="943"/>
      <c r="AB1135" s="943"/>
      <c r="AC1135" s="943"/>
      <c r="AD1135" s="943"/>
      <c r="AE1135" s="943"/>
    </row>
    <row r="1136" spans="1:31" ht="15.75" customHeight="1">
      <c r="A1136" s="943"/>
      <c r="B1136" s="943"/>
      <c r="C1136" s="943"/>
      <c r="D1136" s="943"/>
      <c r="E1136" s="943"/>
      <c r="F1136" s="943"/>
      <c r="G1136" s="943"/>
      <c r="H1136" s="943"/>
      <c r="I1136" s="943"/>
      <c r="J1136" s="943"/>
      <c r="K1136" s="943"/>
      <c r="L1136" s="943"/>
      <c r="M1136" s="943"/>
      <c r="N1136" s="943"/>
      <c r="O1136" s="943"/>
      <c r="P1136" s="943"/>
      <c r="Q1136" s="943"/>
      <c r="R1136" s="943"/>
      <c r="S1136" s="943"/>
      <c r="T1136" s="943"/>
      <c r="U1136" s="943"/>
      <c r="V1136" s="943"/>
      <c r="W1136" s="943"/>
      <c r="X1136" s="943"/>
      <c r="Y1136" s="943"/>
      <c r="Z1136" s="943"/>
      <c r="AA1136" s="943"/>
      <c r="AB1136" s="943"/>
      <c r="AC1136" s="943"/>
      <c r="AD1136" s="943"/>
      <c r="AE1136" s="943"/>
    </row>
    <row r="1137" spans="1:31" ht="15.75" customHeight="1">
      <c r="A1137" s="943"/>
      <c r="B1137" s="943"/>
      <c r="C1137" s="943"/>
      <c r="D1137" s="943"/>
      <c r="E1137" s="943"/>
      <c r="F1137" s="943"/>
      <c r="G1137" s="943"/>
      <c r="H1137" s="943"/>
      <c r="I1137" s="943"/>
      <c r="J1137" s="943"/>
      <c r="K1137" s="943"/>
      <c r="L1137" s="943"/>
      <c r="M1137" s="943"/>
      <c r="N1137" s="943"/>
      <c r="O1137" s="943"/>
      <c r="P1137" s="943"/>
      <c r="Q1137" s="943"/>
      <c r="R1137" s="943"/>
      <c r="S1137" s="943"/>
      <c r="T1137" s="943"/>
      <c r="U1137" s="943"/>
      <c r="V1137" s="943"/>
      <c r="W1137" s="943"/>
      <c r="X1137" s="943"/>
      <c r="Y1137" s="943"/>
      <c r="Z1137" s="943"/>
      <c r="AA1137" s="943"/>
      <c r="AB1137" s="943"/>
      <c r="AC1137" s="943"/>
      <c r="AD1137" s="943"/>
      <c r="AE1137" s="943"/>
    </row>
    <row r="1138" spans="1:31" ht="15.75" customHeight="1">
      <c r="A1138" s="943"/>
      <c r="B1138" s="943"/>
      <c r="C1138" s="943"/>
      <c r="D1138" s="943"/>
      <c r="E1138" s="943"/>
      <c r="F1138" s="943"/>
      <c r="G1138" s="943"/>
      <c r="H1138" s="943"/>
      <c r="I1138" s="943"/>
      <c r="J1138" s="943"/>
      <c r="K1138" s="943"/>
      <c r="L1138" s="943"/>
      <c r="M1138" s="943"/>
      <c r="N1138" s="943"/>
      <c r="O1138" s="943"/>
      <c r="P1138" s="943"/>
      <c r="Q1138" s="943"/>
      <c r="R1138" s="943"/>
      <c r="S1138" s="943"/>
      <c r="T1138" s="943"/>
      <c r="U1138" s="943"/>
      <c r="V1138" s="943"/>
      <c r="W1138" s="943"/>
      <c r="X1138" s="943"/>
      <c r="Y1138" s="943"/>
      <c r="Z1138" s="943"/>
      <c r="AA1138" s="943"/>
      <c r="AB1138" s="943"/>
      <c r="AC1138" s="943"/>
      <c r="AD1138" s="943"/>
      <c r="AE1138" s="943"/>
    </row>
    <row r="1139" spans="1:31" ht="15.75" customHeight="1">
      <c r="A1139" s="943"/>
      <c r="B1139" s="943"/>
      <c r="C1139" s="943"/>
      <c r="D1139" s="943"/>
      <c r="E1139" s="943"/>
      <c r="F1139" s="943"/>
      <c r="G1139" s="943"/>
      <c r="H1139" s="943"/>
      <c r="I1139" s="943"/>
      <c r="J1139" s="943"/>
      <c r="K1139" s="943"/>
      <c r="L1139" s="943"/>
      <c r="M1139" s="943"/>
      <c r="N1139" s="943"/>
      <c r="O1139" s="943"/>
      <c r="P1139" s="943"/>
      <c r="Q1139" s="943"/>
      <c r="R1139" s="943"/>
      <c r="S1139" s="943"/>
      <c r="T1139" s="943"/>
      <c r="U1139" s="943"/>
      <c r="V1139" s="943"/>
      <c r="W1139" s="943"/>
      <c r="X1139" s="943"/>
      <c r="Y1139" s="943"/>
      <c r="Z1139" s="943"/>
      <c r="AA1139" s="943"/>
      <c r="AB1139" s="943"/>
      <c r="AC1139" s="943"/>
      <c r="AD1139" s="943"/>
      <c r="AE1139" s="943"/>
    </row>
    <row r="1140" spans="1:31" ht="15.75" customHeight="1">
      <c r="A1140" s="943"/>
      <c r="B1140" s="943"/>
      <c r="C1140" s="943"/>
      <c r="D1140" s="943"/>
      <c r="E1140" s="943"/>
      <c r="F1140" s="943"/>
      <c r="G1140" s="943"/>
      <c r="H1140" s="943"/>
      <c r="I1140" s="943"/>
      <c r="J1140" s="943"/>
      <c r="K1140" s="943"/>
      <c r="L1140" s="943"/>
      <c r="M1140" s="943"/>
      <c r="N1140" s="943"/>
      <c r="O1140" s="943"/>
      <c r="P1140" s="943"/>
      <c r="Q1140" s="943"/>
      <c r="R1140" s="943"/>
      <c r="S1140" s="943"/>
      <c r="T1140" s="943"/>
      <c r="U1140" s="943"/>
      <c r="V1140" s="943"/>
      <c r="W1140" s="943"/>
      <c r="X1140" s="943"/>
      <c r="Y1140" s="943"/>
      <c r="Z1140" s="943"/>
      <c r="AA1140" s="943"/>
      <c r="AB1140" s="943"/>
      <c r="AC1140" s="943"/>
      <c r="AD1140" s="943"/>
      <c r="AE1140" s="943"/>
    </row>
    <row r="1141" spans="1:31" ht="15.75" customHeight="1">
      <c r="A1141" s="943"/>
      <c r="B1141" s="943"/>
      <c r="C1141" s="943"/>
      <c r="D1141" s="943"/>
      <c r="E1141" s="943"/>
      <c r="F1141" s="943"/>
      <c r="G1141" s="943"/>
      <c r="H1141" s="943"/>
      <c r="I1141" s="943"/>
      <c r="J1141" s="943"/>
      <c r="K1141" s="943"/>
      <c r="L1141" s="943"/>
      <c r="M1141" s="943"/>
      <c r="N1141" s="943"/>
      <c r="O1141" s="943"/>
      <c r="P1141" s="943"/>
      <c r="Q1141" s="943"/>
      <c r="R1141" s="943"/>
      <c r="S1141" s="943"/>
      <c r="T1141" s="943"/>
      <c r="U1141" s="943"/>
      <c r="V1141" s="943"/>
      <c r="W1141" s="943"/>
      <c r="X1141" s="943"/>
      <c r="Y1141" s="943"/>
      <c r="Z1141" s="943"/>
      <c r="AA1141" s="943"/>
      <c r="AB1141" s="943"/>
      <c r="AC1141" s="943"/>
      <c r="AD1141" s="943"/>
      <c r="AE1141" s="943"/>
    </row>
    <row r="1142" spans="1:31" ht="15.75" customHeight="1">
      <c r="A1142" s="943"/>
      <c r="B1142" s="943"/>
      <c r="C1142" s="943"/>
      <c r="D1142" s="943"/>
      <c r="E1142" s="943"/>
      <c r="F1142" s="943"/>
      <c r="G1142" s="943"/>
      <c r="H1142" s="943"/>
      <c r="I1142" s="943"/>
      <c r="J1142" s="943"/>
      <c r="K1142" s="943"/>
      <c r="L1142" s="943"/>
      <c r="M1142" s="943"/>
      <c r="N1142" s="943"/>
      <c r="O1142" s="943"/>
      <c r="P1142" s="943"/>
      <c r="Q1142" s="943"/>
      <c r="R1142" s="943"/>
      <c r="S1142" s="943"/>
      <c r="T1142" s="943"/>
      <c r="U1142" s="943"/>
      <c r="V1142" s="943"/>
      <c r="W1142" s="943"/>
      <c r="X1142" s="943"/>
      <c r="Y1142" s="943"/>
      <c r="Z1142" s="943"/>
      <c r="AA1142" s="943"/>
      <c r="AB1142" s="943"/>
      <c r="AC1142" s="943"/>
      <c r="AD1142" s="943"/>
      <c r="AE1142" s="943"/>
    </row>
    <row r="1143" spans="1:31" ht="15.75" customHeight="1">
      <c r="A1143" s="943"/>
      <c r="B1143" s="943"/>
      <c r="C1143" s="943"/>
      <c r="D1143" s="943"/>
      <c r="E1143" s="943"/>
      <c r="F1143" s="943"/>
      <c r="G1143" s="943"/>
      <c r="H1143" s="943"/>
      <c r="I1143" s="943"/>
      <c r="J1143" s="943"/>
      <c r="K1143" s="943"/>
      <c r="L1143" s="943"/>
      <c r="M1143" s="943"/>
      <c r="N1143" s="943"/>
      <c r="O1143" s="943"/>
      <c r="P1143" s="943"/>
      <c r="Q1143" s="943"/>
      <c r="R1143" s="943"/>
      <c r="S1143" s="943"/>
      <c r="T1143" s="943"/>
      <c r="U1143" s="943"/>
      <c r="V1143" s="943"/>
      <c r="W1143" s="943"/>
      <c r="X1143" s="943"/>
      <c r="Y1143" s="943"/>
      <c r="Z1143" s="943"/>
      <c r="AA1143" s="943"/>
      <c r="AB1143" s="943"/>
      <c r="AC1143" s="943"/>
      <c r="AD1143" s="943"/>
      <c r="AE1143" s="943"/>
    </row>
    <row r="1144" spans="1:31" ht="15.75" customHeight="1">
      <c r="A1144" s="943"/>
      <c r="B1144" s="943"/>
      <c r="C1144" s="943"/>
      <c r="D1144" s="943"/>
      <c r="E1144" s="943"/>
      <c r="F1144" s="943"/>
      <c r="G1144" s="943"/>
      <c r="H1144" s="943"/>
      <c r="I1144" s="943"/>
      <c r="J1144" s="943"/>
      <c r="K1144" s="943"/>
      <c r="L1144" s="943"/>
      <c r="M1144" s="943"/>
      <c r="N1144" s="943"/>
      <c r="O1144" s="943"/>
      <c r="P1144" s="943"/>
      <c r="Q1144" s="943"/>
      <c r="R1144" s="943"/>
      <c r="S1144" s="943"/>
      <c r="T1144" s="943"/>
      <c r="U1144" s="943"/>
      <c r="V1144" s="943"/>
      <c r="W1144" s="943"/>
      <c r="X1144" s="943"/>
      <c r="Y1144" s="943"/>
      <c r="Z1144" s="943"/>
      <c r="AA1144" s="943"/>
      <c r="AB1144" s="943"/>
      <c r="AC1144" s="943"/>
      <c r="AD1144" s="943"/>
      <c r="AE1144" s="943"/>
    </row>
    <row r="1145" spans="1:31" ht="15.75" customHeight="1">
      <c r="A1145" s="943"/>
      <c r="B1145" s="943"/>
      <c r="C1145" s="943"/>
      <c r="D1145" s="943"/>
      <c r="E1145" s="943"/>
      <c r="F1145" s="943"/>
      <c r="G1145" s="943"/>
      <c r="H1145" s="943"/>
      <c r="I1145" s="943"/>
      <c r="J1145" s="943"/>
      <c r="K1145" s="943"/>
      <c r="L1145" s="943"/>
      <c r="M1145" s="943"/>
      <c r="N1145" s="943"/>
      <c r="O1145" s="943"/>
      <c r="P1145" s="943"/>
      <c r="Q1145" s="943"/>
      <c r="R1145" s="943"/>
      <c r="S1145" s="943"/>
      <c r="T1145" s="943"/>
      <c r="U1145" s="943"/>
      <c r="V1145" s="943"/>
      <c r="W1145" s="943"/>
      <c r="X1145" s="943"/>
      <c r="Y1145" s="943"/>
      <c r="Z1145" s="943"/>
      <c r="AA1145" s="943"/>
      <c r="AB1145" s="943"/>
      <c r="AC1145" s="943"/>
      <c r="AD1145" s="943"/>
      <c r="AE1145" s="943"/>
    </row>
    <row r="1146" spans="1:31" ht="15.75" customHeight="1"/>
    <row r="1147" spans="1:31" ht="15.75" customHeight="1"/>
    <row r="1148" spans="1:31" ht="15.75" customHeight="1"/>
    <row r="1149" spans="1:31" ht="15.75" customHeight="1"/>
  </sheetData>
  <sheetProtection formatCells="0" formatColumns="0" formatRows="0" insertColumns="0" insertRows="0" insertHyperlinks="0" sort="0" autoFilter="0" pivotTables="0"/>
  <autoFilter ref="B86:M137" xr:uid="{00000000-0009-0000-0000-000004000000}"/>
  <mergeCells count="7">
    <mergeCell ref="L101:M101"/>
    <mergeCell ref="E179:F179"/>
    <mergeCell ref="E184:F184"/>
    <mergeCell ref="B67:C67"/>
    <mergeCell ref="F101:G101"/>
    <mergeCell ref="H101:I101"/>
    <mergeCell ref="J101:K101"/>
  </mergeCells>
  <phoneticPr fontId="42" type="noConversion"/>
  <hyperlinks>
    <hyperlink ref="C192" r:id="rId1" xr:uid="{B99DAE89-9147-4A05-9133-EA5680A22560}"/>
  </hyperlinks>
  <pageMargins left="0.7" right="0.7" top="0.75" bottom="0.75" header="0" footer="0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IrMenu">
                <anchor moveWithCells="1" sizeWithCells="1">
                  <from>
                    <xdr:col>10</xdr:col>
                    <xdr:colOff>1000125</xdr:colOff>
                    <xdr:row>3</xdr:row>
                    <xdr:rowOff>104775</xdr:rowOff>
                  </from>
                  <to>
                    <xdr:col>12</xdr:col>
                    <xdr:colOff>342900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IrMenu">
                <anchor moveWithCells="1" sizeWithCells="1">
                  <from>
                    <xdr:col>10</xdr:col>
                    <xdr:colOff>1000125</xdr:colOff>
                    <xdr:row>3</xdr:row>
                    <xdr:rowOff>104775</xdr:rowOff>
                  </from>
                  <to>
                    <xdr:col>12</xdr:col>
                    <xdr:colOff>342900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5">
    <tablePart r:id="rId7"/>
    <tablePart r:id="rId8"/>
    <tablePart r:id="rId9"/>
    <tablePart r:id="rId10"/>
    <tablePart r:id="rId1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31440-2BEE-4DFE-89EA-DF7E1DB00BB4}">
  <sheetPr codeName="Hoja19"/>
  <dimension ref="A1:AB142"/>
  <sheetViews>
    <sheetView topLeftCell="A91" zoomScale="85" zoomScaleNormal="85" workbookViewId="0">
      <selection activeCell="J131" sqref="J131"/>
    </sheetView>
  </sheetViews>
  <sheetFormatPr baseColWidth="10" defaultColWidth="9" defaultRowHeight="15" outlineLevelRow="1"/>
  <cols>
    <col min="1" max="1" width="2.5" style="333" bestFit="1" customWidth="1"/>
    <col min="2" max="2" width="32" style="332" bestFit="1" customWidth="1"/>
    <col min="3" max="3" width="18.125" style="333" bestFit="1" customWidth="1"/>
    <col min="4" max="4" width="16.5" style="333" bestFit="1" customWidth="1"/>
    <col min="5" max="5" width="16" style="333" bestFit="1" customWidth="1"/>
    <col min="6" max="6" width="17.5" style="333" bestFit="1" customWidth="1"/>
    <col min="7" max="7" width="15.875" style="333" bestFit="1" customWidth="1"/>
    <col min="8" max="8" width="18" style="333" bestFit="1" customWidth="1"/>
    <col min="9" max="9" width="15.875" style="333" bestFit="1" customWidth="1"/>
    <col min="10" max="10" width="16.5" style="333" bestFit="1" customWidth="1"/>
    <col min="11" max="11" width="15.875" style="333" bestFit="1" customWidth="1"/>
    <col min="12" max="13" width="15.5" style="333" bestFit="1" customWidth="1"/>
    <col min="14" max="14" width="16.375" style="333" bestFit="1" customWidth="1"/>
    <col min="15" max="15" width="15" style="333" bestFit="1" customWidth="1"/>
    <col min="16" max="28" width="16.25" style="333" bestFit="1" customWidth="1"/>
    <col min="29" max="16384" width="9" style="333"/>
  </cols>
  <sheetData>
    <row r="1" spans="2:4" ht="15.75" thickBot="1"/>
    <row r="2" spans="2:4">
      <c r="B2" s="334" t="s">
        <v>1667</v>
      </c>
      <c r="C2" s="335" t="s">
        <v>1668</v>
      </c>
      <c r="D2" s="336">
        <f>+'Calculos (On Grid)'!C24</f>
        <v>8.19</v>
      </c>
    </row>
    <row r="3" spans="2:4">
      <c r="B3" s="337" t="s">
        <v>1669</v>
      </c>
      <c r="C3" s="338" t="s">
        <v>1668</v>
      </c>
      <c r="D3" s="339">
        <f>+'Calculos (On Grid)'!B30/1000</f>
        <v>8</v>
      </c>
    </row>
    <row r="4" spans="2:4">
      <c r="B4" s="337" t="s">
        <v>1670</v>
      </c>
      <c r="C4" s="338" t="s">
        <v>1671</v>
      </c>
      <c r="D4" s="340">
        <f>+'Calculos (On Grid)'!B5</f>
        <v>4.4184833333333327</v>
      </c>
    </row>
    <row r="5" spans="2:4">
      <c r="B5" s="341" t="s">
        <v>211</v>
      </c>
      <c r="C5" s="342" t="s">
        <v>212</v>
      </c>
      <c r="D5" s="343">
        <f>+'Datos de Salida (On grid)'!D7</f>
        <v>10190.777236093543</v>
      </c>
    </row>
    <row r="6" spans="2:4" ht="15.75" thickBot="1">
      <c r="B6" s="344" t="s">
        <v>213</v>
      </c>
      <c r="C6" s="345" t="s">
        <v>214</v>
      </c>
      <c r="D6" s="346">
        <v>5.4999999999999997E-3</v>
      </c>
    </row>
    <row r="7" spans="2:4">
      <c r="C7" s="347"/>
      <c r="D7" s="348"/>
    </row>
    <row r="8" spans="2:4" ht="15.75" thickBot="1">
      <c r="C8" s="347"/>
    </row>
    <row r="9" spans="2:4">
      <c r="B9" s="334" t="s">
        <v>215</v>
      </c>
      <c r="C9" s="335" t="s">
        <v>216</v>
      </c>
      <c r="D9" s="349" t="e">
        <f>+D10/D2</f>
        <v>#N/A</v>
      </c>
    </row>
    <row r="10" spans="2:4">
      <c r="B10" s="341" t="s">
        <v>217</v>
      </c>
      <c r="C10" s="342" t="s">
        <v>218</v>
      </c>
      <c r="D10" s="350" t="e">
        <f>+'Datos de Salida (On grid)'!I14</f>
        <v>#N/A</v>
      </c>
    </row>
    <row r="11" spans="2:4">
      <c r="B11" s="341" t="s">
        <v>219</v>
      </c>
      <c r="C11" s="342" t="s">
        <v>220</v>
      </c>
      <c r="D11" s="351" t="e">
        <f>+D10*D13</f>
        <v>#N/A</v>
      </c>
    </row>
    <row r="12" spans="2:4">
      <c r="B12" s="352" t="s">
        <v>766</v>
      </c>
      <c r="C12" s="353" t="s">
        <v>218</v>
      </c>
      <c r="D12" s="354" t="e">
        <f>+D10*0.8</f>
        <v>#N/A</v>
      </c>
    </row>
    <row r="13" spans="2:4" ht="15.75" thickBot="1">
      <c r="B13" s="344" t="s">
        <v>1672</v>
      </c>
      <c r="C13" s="345" t="s">
        <v>220</v>
      </c>
      <c r="D13" s="355">
        <v>1.4999999999999999E-2</v>
      </c>
    </row>
    <row r="14" spans="2:4">
      <c r="C14" s="347"/>
      <c r="D14" s="356"/>
    </row>
    <row r="15" spans="2:4">
      <c r="C15" s="347"/>
      <c r="D15" s="356"/>
    </row>
    <row r="16" spans="2:4" ht="15.75" thickBot="1">
      <c r="C16" s="347"/>
    </row>
    <row r="17" spans="2:28">
      <c r="B17" s="334" t="s">
        <v>222</v>
      </c>
      <c r="C17" s="335" t="s">
        <v>223</v>
      </c>
      <c r="D17" s="357">
        <f>+'Datos de Salida (On grid)'!D12</f>
        <v>1132.4880000000001</v>
      </c>
    </row>
    <row r="18" spans="2:28" ht="15.75" thickBot="1">
      <c r="B18" s="344" t="s">
        <v>756</v>
      </c>
      <c r="C18" s="345" t="s">
        <v>214</v>
      </c>
      <c r="D18" s="358">
        <f>+'Datos de Entrada (On Grid)'!D16</f>
        <v>0.6</v>
      </c>
    </row>
    <row r="19" spans="2:28" ht="15.75" thickBot="1">
      <c r="C19" s="347"/>
    </row>
    <row r="20" spans="2:28">
      <c r="B20" s="334" t="s">
        <v>224</v>
      </c>
      <c r="C20" s="335" t="s">
        <v>214</v>
      </c>
      <c r="D20" s="359">
        <f>+'Var. Financieras'!B9</f>
        <v>3.6999999999999998E-2</v>
      </c>
    </row>
    <row r="21" spans="2:28">
      <c r="B21" s="360" t="s">
        <v>767</v>
      </c>
      <c r="C21" s="361" t="s">
        <v>214</v>
      </c>
      <c r="D21" s="362">
        <f>+'Var. Financieras'!B10</f>
        <v>7.0000000000000007E-2</v>
      </c>
    </row>
    <row r="22" spans="2:28" ht="15.75" thickBot="1">
      <c r="B22" s="344" t="s">
        <v>225</v>
      </c>
      <c r="C22" s="345" t="s">
        <v>214</v>
      </c>
      <c r="D22" s="358">
        <f>+'Var. Financieras'!B9</f>
        <v>3.6999999999999998E-2</v>
      </c>
    </row>
    <row r="23" spans="2:28">
      <c r="C23" s="347"/>
      <c r="D23" s="363"/>
    </row>
    <row r="24" spans="2:28">
      <c r="C24" s="347"/>
      <c r="D24" s="363"/>
    </row>
    <row r="25" spans="2:28" ht="15.75" thickBot="1">
      <c r="B25" s="333"/>
      <c r="C25" s="347"/>
      <c r="D25" s="363"/>
    </row>
    <row r="26" spans="2:28" ht="15.75" hidden="1" thickBot="1">
      <c r="B26" s="332" t="s">
        <v>226</v>
      </c>
      <c r="C26" s="347" t="s">
        <v>220</v>
      </c>
      <c r="D26" s="364">
        <v>0</v>
      </c>
    </row>
    <row r="27" spans="2:28">
      <c r="B27" s="365" t="s">
        <v>759</v>
      </c>
      <c r="C27" s="366" t="s">
        <v>214</v>
      </c>
      <c r="D27" s="367">
        <v>0.12</v>
      </c>
    </row>
    <row r="28" spans="2:28">
      <c r="B28" s="368" t="s">
        <v>761</v>
      </c>
      <c r="C28" s="369" t="s">
        <v>762</v>
      </c>
      <c r="D28" s="370">
        <v>25</v>
      </c>
    </row>
    <row r="29" spans="2:28" ht="15.75" thickBot="1">
      <c r="B29" s="371" t="s">
        <v>760</v>
      </c>
      <c r="C29" s="372" t="s">
        <v>214</v>
      </c>
      <c r="D29" s="373">
        <f>+(D27*(1+D27)^D28)/(((1+D27)^D28)-1)</f>
        <v>0.12749996980950773</v>
      </c>
    </row>
    <row r="30" spans="2:28" ht="15.75" thickBot="1">
      <c r="C30" s="363"/>
    </row>
    <row r="31" spans="2:28" ht="15.75" thickBot="1">
      <c r="B31" s="374" t="s">
        <v>1673</v>
      </c>
      <c r="C31" s="363"/>
    </row>
    <row r="32" spans="2:28" outlineLevel="1">
      <c r="B32" s="375"/>
      <c r="C32" s="376" t="s">
        <v>227</v>
      </c>
      <c r="D32" s="376" t="s">
        <v>228</v>
      </c>
      <c r="E32" s="376" t="s">
        <v>229</v>
      </c>
      <c r="F32" s="376" t="s">
        <v>230</v>
      </c>
      <c r="G32" s="376" t="s">
        <v>231</v>
      </c>
      <c r="H32" s="376" t="s">
        <v>232</v>
      </c>
      <c r="I32" s="376" t="s">
        <v>233</v>
      </c>
      <c r="J32" s="376" t="s">
        <v>234</v>
      </c>
      <c r="K32" s="377" t="s">
        <v>235</v>
      </c>
      <c r="L32" s="377" t="s">
        <v>236</v>
      </c>
      <c r="M32" s="377" t="s">
        <v>237</v>
      </c>
      <c r="N32" s="377" t="s">
        <v>238</v>
      </c>
      <c r="O32" s="377" t="s">
        <v>239</v>
      </c>
      <c r="P32" s="377" t="s">
        <v>240</v>
      </c>
      <c r="Q32" s="377" t="s">
        <v>241</v>
      </c>
      <c r="R32" s="377" t="s">
        <v>242</v>
      </c>
      <c r="S32" s="377" t="s">
        <v>243</v>
      </c>
      <c r="T32" s="377" t="s">
        <v>244</v>
      </c>
      <c r="U32" s="377" t="s">
        <v>245</v>
      </c>
      <c r="V32" s="377" t="s">
        <v>246</v>
      </c>
      <c r="W32" s="377" t="s">
        <v>247</v>
      </c>
      <c r="X32" s="377" t="s">
        <v>248</v>
      </c>
      <c r="Y32" s="377" t="s">
        <v>249</v>
      </c>
      <c r="Z32" s="377" t="s">
        <v>250</v>
      </c>
      <c r="AA32" s="377" t="s">
        <v>251</v>
      </c>
      <c r="AB32" s="378" t="s">
        <v>252</v>
      </c>
    </row>
    <row r="33" spans="1:28" s="347" customFormat="1" ht="15.75" outlineLevel="1" thickBot="1">
      <c r="B33" s="379"/>
      <c r="C33" s="380">
        <v>0</v>
      </c>
      <c r="D33" s="380">
        <v>1</v>
      </c>
      <c r="E33" s="380">
        <v>2</v>
      </c>
      <c r="F33" s="380">
        <v>3</v>
      </c>
      <c r="G33" s="380">
        <v>4</v>
      </c>
      <c r="H33" s="380">
        <v>5</v>
      </c>
      <c r="I33" s="380">
        <v>6</v>
      </c>
      <c r="J33" s="380">
        <v>7</v>
      </c>
      <c r="K33" s="381">
        <v>8</v>
      </c>
      <c r="L33" s="381">
        <v>9</v>
      </c>
      <c r="M33" s="381">
        <v>10</v>
      </c>
      <c r="N33" s="381">
        <v>11</v>
      </c>
      <c r="O33" s="381">
        <v>12</v>
      </c>
      <c r="P33" s="381">
        <v>13</v>
      </c>
      <c r="Q33" s="381">
        <v>14</v>
      </c>
      <c r="R33" s="381">
        <v>15</v>
      </c>
      <c r="S33" s="381">
        <v>16</v>
      </c>
      <c r="T33" s="381">
        <v>17</v>
      </c>
      <c r="U33" s="381">
        <v>18</v>
      </c>
      <c r="V33" s="381">
        <v>19</v>
      </c>
      <c r="W33" s="381">
        <v>20</v>
      </c>
      <c r="X33" s="381">
        <v>21</v>
      </c>
      <c r="Y33" s="381">
        <v>22</v>
      </c>
      <c r="Z33" s="381">
        <v>23</v>
      </c>
      <c r="AA33" s="381">
        <v>24</v>
      </c>
      <c r="AB33" s="382">
        <v>25</v>
      </c>
    </row>
    <row r="34" spans="1:28" outlineLevel="1">
      <c r="A34" s="347" t="s">
        <v>253</v>
      </c>
      <c r="B34" s="383" t="s">
        <v>254</v>
      </c>
      <c r="C34" s="384" t="e">
        <f>-D10</f>
        <v>#N/A</v>
      </c>
      <c r="D34" s="385"/>
      <c r="E34" s="385"/>
      <c r="F34" s="385"/>
      <c r="G34" s="385"/>
      <c r="H34" s="385"/>
      <c r="I34" s="385"/>
      <c r="J34" s="385"/>
      <c r="K34" s="385"/>
      <c r="L34" s="385"/>
      <c r="M34" s="385"/>
      <c r="N34" s="385"/>
      <c r="O34" s="385"/>
      <c r="P34" s="385"/>
      <c r="Q34" s="385"/>
      <c r="R34" s="385"/>
      <c r="S34" s="385"/>
      <c r="T34" s="385"/>
      <c r="U34" s="385"/>
      <c r="V34" s="385"/>
      <c r="W34" s="385"/>
      <c r="X34" s="385"/>
      <c r="Y34" s="385"/>
      <c r="Z34" s="385"/>
      <c r="AA34" s="385"/>
      <c r="AB34" s="339"/>
    </row>
    <row r="35" spans="1:28" outlineLevel="1">
      <c r="A35" s="347"/>
      <c r="B35" s="386" t="s">
        <v>255</v>
      </c>
      <c r="C35" s="369"/>
      <c r="D35" s="387">
        <f>D5</f>
        <v>10190.777236093543</v>
      </c>
      <c r="E35" s="387">
        <f t="shared" ref="E35:AB35" si="0">D35-D35*$D$6</f>
        <v>10134.72796129503</v>
      </c>
      <c r="F35" s="387">
        <f t="shared" si="0"/>
        <v>10078.986957507906</v>
      </c>
      <c r="G35" s="387">
        <f t="shared" si="0"/>
        <v>10023.552529241613</v>
      </c>
      <c r="H35" s="387">
        <f t="shared" si="0"/>
        <v>9968.4229903307842</v>
      </c>
      <c r="I35" s="387">
        <f t="shared" si="0"/>
        <v>9913.5966638839654</v>
      </c>
      <c r="J35" s="387">
        <f t="shared" si="0"/>
        <v>9859.0718822326035</v>
      </c>
      <c r="K35" s="387">
        <f t="shared" si="0"/>
        <v>9804.846986880324</v>
      </c>
      <c r="L35" s="387">
        <f t="shared" si="0"/>
        <v>9750.9203284524829</v>
      </c>
      <c r="M35" s="387">
        <f t="shared" si="0"/>
        <v>9697.2902666459941</v>
      </c>
      <c r="N35" s="387">
        <f t="shared" si="0"/>
        <v>9643.9551701794408</v>
      </c>
      <c r="O35" s="387">
        <f t="shared" si="0"/>
        <v>9590.9134167434531</v>
      </c>
      <c r="P35" s="387">
        <f t="shared" si="0"/>
        <v>9538.1633929513646</v>
      </c>
      <c r="Q35" s="387">
        <f t="shared" si="0"/>
        <v>9485.7034942901319</v>
      </c>
      <c r="R35" s="387">
        <f t="shared" si="0"/>
        <v>9433.5321250715369</v>
      </c>
      <c r="S35" s="387">
        <f t="shared" si="0"/>
        <v>9381.6476983836437</v>
      </c>
      <c r="T35" s="387">
        <f t="shared" si="0"/>
        <v>9330.048636042533</v>
      </c>
      <c r="U35" s="387">
        <f t="shared" si="0"/>
        <v>9278.7333685442991</v>
      </c>
      <c r="V35" s="387">
        <f t="shared" si="0"/>
        <v>9227.7003350173054</v>
      </c>
      <c r="W35" s="387">
        <f t="shared" si="0"/>
        <v>9176.9479831747103</v>
      </c>
      <c r="X35" s="387">
        <f t="shared" si="0"/>
        <v>9126.4747692672499</v>
      </c>
      <c r="Y35" s="387">
        <f t="shared" si="0"/>
        <v>9076.2791580362809</v>
      </c>
      <c r="Z35" s="387">
        <f t="shared" si="0"/>
        <v>9026.3596226670816</v>
      </c>
      <c r="AA35" s="387">
        <f t="shared" si="0"/>
        <v>8976.7146447424129</v>
      </c>
      <c r="AB35" s="351">
        <f t="shared" si="0"/>
        <v>8927.3427141963293</v>
      </c>
    </row>
    <row r="36" spans="1:28" outlineLevel="1">
      <c r="A36" s="347"/>
      <c r="B36" s="386" t="s">
        <v>1428</v>
      </c>
      <c r="C36" s="369"/>
      <c r="D36" s="388">
        <f>+G127</f>
        <v>747.70786301420617</v>
      </c>
      <c r="E36" s="389">
        <f>D36+D36*$D$20</f>
        <v>775.37305394573184</v>
      </c>
      <c r="F36" s="389">
        <f t="shared" ref="F36:AB36" si="1">E36+E36*$D$20</f>
        <v>804.06185694172393</v>
      </c>
      <c r="G36" s="389">
        <f t="shared" si="1"/>
        <v>833.81214564856771</v>
      </c>
      <c r="H36" s="389">
        <f t="shared" si="1"/>
        <v>864.66319503756472</v>
      </c>
      <c r="I36" s="389">
        <f t="shared" si="1"/>
        <v>896.65573325395462</v>
      </c>
      <c r="J36" s="389">
        <f t="shared" si="1"/>
        <v>929.83199538435099</v>
      </c>
      <c r="K36" s="389">
        <f t="shared" si="1"/>
        <v>964.23577921357196</v>
      </c>
      <c r="L36" s="389">
        <f t="shared" si="1"/>
        <v>999.91250304447408</v>
      </c>
      <c r="M36" s="389">
        <f t="shared" si="1"/>
        <v>1036.9092656571197</v>
      </c>
      <c r="N36" s="389">
        <f t="shared" si="1"/>
        <v>1075.2749084864331</v>
      </c>
      <c r="O36" s="389">
        <f t="shared" si="1"/>
        <v>1115.0600801004312</v>
      </c>
      <c r="P36" s="389">
        <f t="shared" si="1"/>
        <v>1156.3173030641472</v>
      </c>
      <c r="Q36" s="389">
        <f t="shared" si="1"/>
        <v>1199.1010432775206</v>
      </c>
      <c r="R36" s="389">
        <f t="shared" si="1"/>
        <v>1243.4677818787889</v>
      </c>
      <c r="S36" s="389">
        <f t="shared" si="1"/>
        <v>1289.4760898083041</v>
      </c>
      <c r="T36" s="389">
        <f t="shared" si="1"/>
        <v>1337.1867051312113</v>
      </c>
      <c r="U36" s="389">
        <f t="shared" si="1"/>
        <v>1386.6626132210661</v>
      </c>
      <c r="V36" s="389">
        <f t="shared" si="1"/>
        <v>1437.9691299102456</v>
      </c>
      <c r="W36" s="389">
        <f t="shared" si="1"/>
        <v>1491.1739877169246</v>
      </c>
      <c r="X36" s="389">
        <f t="shared" si="1"/>
        <v>1546.3474252624508</v>
      </c>
      <c r="Y36" s="389">
        <f t="shared" si="1"/>
        <v>1603.5622799971613</v>
      </c>
      <c r="Z36" s="389">
        <f t="shared" si="1"/>
        <v>1662.8940843570563</v>
      </c>
      <c r="AA36" s="389">
        <f t="shared" si="1"/>
        <v>1724.4211654782673</v>
      </c>
      <c r="AB36" s="389">
        <f t="shared" si="1"/>
        <v>1788.2247486009633</v>
      </c>
    </row>
    <row r="37" spans="1:28" outlineLevel="1">
      <c r="A37" s="347" t="s">
        <v>256</v>
      </c>
      <c r="B37" s="390" t="s">
        <v>257</v>
      </c>
      <c r="C37" s="369"/>
      <c r="D37" s="387">
        <f>D35*D36</f>
        <v>7619724.2696533212</v>
      </c>
      <c r="E37" s="391">
        <f>E35*E36</f>
        <v>7858194.9702585284</v>
      </c>
      <c r="F37" s="387">
        <f>F35*F36</f>
        <v>8104128.9691452235</v>
      </c>
      <c r="G37" s="387">
        <f t="shared" ref="G37:AB37" si="2">G35*G36</f>
        <v>8357759.8414280768</v>
      </c>
      <c r="H37" s="387">
        <f t="shared" si="2"/>
        <v>8619328.4723053314</v>
      </c>
      <c r="I37" s="387">
        <f t="shared" si="2"/>
        <v>8889083.2858388349</v>
      </c>
      <c r="J37" s="387">
        <f t="shared" si="2"/>
        <v>9167280.4808940906</v>
      </c>
      <c r="K37" s="387">
        <f t="shared" si="2"/>
        <v>9454184.274464393</v>
      </c>
      <c r="L37" s="387">
        <f t="shared" si="2"/>
        <v>9750067.1526101679</v>
      </c>
      <c r="M37" s="387">
        <f t="shared" si="2"/>
        <v>10055210.129251832</v>
      </c>
      <c r="N37" s="387">
        <f t="shared" si="2"/>
        <v>10369903.013061961</v>
      </c>
      <c r="O37" s="387">
        <f t="shared" si="2"/>
        <v>10694444.682710255</v>
      </c>
      <c r="P37" s="387">
        <f t="shared" si="2"/>
        <v>11029143.370722698</v>
      </c>
      <c r="Q37" s="387">
        <f t="shared" si="2"/>
        <v>11374316.95622452</v>
      </c>
      <c r="R37" s="387">
        <f t="shared" si="2"/>
        <v>11730293.266845001</v>
      </c>
      <c r="S37" s="387">
        <f t="shared" si="2"/>
        <v>12097410.390070817</v>
      </c>
      <c r="T37" s="387">
        <f t="shared" si="2"/>
        <v>12476016.994343666</v>
      </c>
      <c r="U37" s="387">
        <f t="shared" si="2"/>
        <v>12866472.660207143</v>
      </c>
      <c r="V37" s="387">
        <f t="shared" si="2"/>
        <v>13269148.221817316</v>
      </c>
      <c r="W37" s="387">
        <f t="shared" si="2"/>
        <v>13684426.11914142</v>
      </c>
      <c r="X37" s="387">
        <f t="shared" si="2"/>
        <v>14112700.761179131</v>
      </c>
      <c r="Y37" s="387">
        <f t="shared" si="2"/>
        <v>14554378.900551375</v>
      </c>
      <c r="Z37" s="387">
        <f t="shared" si="2"/>
        <v>15009880.019812481</v>
      </c>
      <c r="AA37" s="387">
        <f t="shared" si="2"/>
        <v>15479636.729852542</v>
      </c>
      <c r="AB37" s="351">
        <f t="shared" si="2"/>
        <v>15964095.180768372</v>
      </c>
    </row>
    <row r="38" spans="1:28" outlineLevel="1">
      <c r="A38" s="347"/>
      <c r="B38" s="392"/>
      <c r="C38" s="369"/>
      <c r="D38" s="369"/>
      <c r="E38" s="369"/>
      <c r="F38" s="369"/>
      <c r="G38" s="369"/>
      <c r="H38" s="369"/>
      <c r="I38" s="369"/>
      <c r="J38" s="369"/>
      <c r="K38" s="369"/>
      <c r="L38" s="369"/>
      <c r="M38" s="369"/>
      <c r="N38" s="369"/>
      <c r="O38" s="369"/>
      <c r="P38" s="369"/>
      <c r="Q38" s="369"/>
      <c r="R38" s="369"/>
      <c r="S38" s="369"/>
      <c r="T38" s="369"/>
      <c r="U38" s="369"/>
      <c r="V38" s="369"/>
      <c r="W38" s="369"/>
      <c r="X38" s="369"/>
      <c r="Y38" s="369"/>
      <c r="Z38" s="369"/>
      <c r="AA38" s="369"/>
      <c r="AB38" s="370"/>
    </row>
    <row r="39" spans="1:28" outlineLevel="1">
      <c r="A39" s="347" t="s">
        <v>253</v>
      </c>
      <c r="B39" s="390" t="s">
        <v>258</v>
      </c>
      <c r="C39" s="369"/>
      <c r="D39" s="387">
        <v>0</v>
      </c>
      <c r="E39" s="387" t="e">
        <f>-D11-D11*$D$20</f>
        <v>#N/A</v>
      </c>
      <c r="F39" s="387" t="e">
        <f t="shared" ref="F39:U39" si="3">E39+E39*$D$20</f>
        <v>#N/A</v>
      </c>
      <c r="G39" s="387" t="e">
        <f t="shared" si="3"/>
        <v>#N/A</v>
      </c>
      <c r="H39" s="387" t="e">
        <f t="shared" si="3"/>
        <v>#N/A</v>
      </c>
      <c r="I39" s="387" t="e">
        <f t="shared" si="3"/>
        <v>#N/A</v>
      </c>
      <c r="J39" s="387" t="e">
        <f t="shared" si="3"/>
        <v>#N/A</v>
      </c>
      <c r="K39" s="387" t="e">
        <f t="shared" si="3"/>
        <v>#N/A</v>
      </c>
      <c r="L39" s="387" t="e">
        <f t="shared" si="3"/>
        <v>#N/A</v>
      </c>
      <c r="M39" s="387" t="e">
        <f t="shared" si="3"/>
        <v>#N/A</v>
      </c>
      <c r="N39" s="387" t="e">
        <f t="shared" si="3"/>
        <v>#N/A</v>
      </c>
      <c r="O39" s="387" t="e">
        <f t="shared" si="3"/>
        <v>#N/A</v>
      </c>
      <c r="P39" s="387" t="e">
        <f t="shared" si="3"/>
        <v>#N/A</v>
      </c>
      <c r="Q39" s="387" t="e">
        <f t="shared" si="3"/>
        <v>#N/A</v>
      </c>
      <c r="R39" s="387" t="e">
        <f t="shared" si="3"/>
        <v>#N/A</v>
      </c>
      <c r="S39" s="387" t="e">
        <f t="shared" si="3"/>
        <v>#N/A</v>
      </c>
      <c r="T39" s="387" t="e">
        <f t="shared" si="3"/>
        <v>#N/A</v>
      </c>
      <c r="U39" s="387" t="e">
        <f t="shared" si="3"/>
        <v>#N/A</v>
      </c>
      <c r="V39" s="387" t="e">
        <f t="shared" ref="U39:AB40" si="4">U39+U39*$D$20</f>
        <v>#N/A</v>
      </c>
      <c r="W39" s="387" t="e">
        <f t="shared" si="4"/>
        <v>#N/A</v>
      </c>
      <c r="X39" s="387" t="e">
        <f t="shared" si="4"/>
        <v>#N/A</v>
      </c>
      <c r="Y39" s="387" t="e">
        <f t="shared" si="4"/>
        <v>#N/A</v>
      </c>
      <c r="Z39" s="387" t="e">
        <f t="shared" si="4"/>
        <v>#N/A</v>
      </c>
      <c r="AA39" s="387" t="e">
        <f t="shared" si="4"/>
        <v>#N/A</v>
      </c>
      <c r="AB39" s="351" t="e">
        <f t="shared" si="4"/>
        <v>#N/A</v>
      </c>
    </row>
    <row r="40" spans="1:28" outlineLevel="1">
      <c r="A40" s="347" t="s">
        <v>253</v>
      </c>
      <c r="B40" s="393" t="s">
        <v>221</v>
      </c>
      <c r="C40" s="369"/>
      <c r="D40" s="394">
        <f>-D13</f>
        <v>-1.4999999999999999E-2</v>
      </c>
      <c r="E40" s="394">
        <f t="shared" ref="E40:T40" si="5">D40+D40*$D$20</f>
        <v>-1.5554999999999999E-2</v>
      </c>
      <c r="F40" s="394">
        <f t="shared" si="5"/>
        <v>-1.6130534999999998E-2</v>
      </c>
      <c r="G40" s="394">
        <f t="shared" si="5"/>
        <v>-1.6727364794999998E-2</v>
      </c>
      <c r="H40" s="394">
        <f t="shared" si="5"/>
        <v>-1.7346277292414999E-2</v>
      </c>
      <c r="I40" s="394">
        <f t="shared" si="5"/>
        <v>-1.7988089552234354E-2</v>
      </c>
      <c r="J40" s="394">
        <f t="shared" si="5"/>
        <v>-1.8653648865667026E-2</v>
      </c>
      <c r="K40" s="394">
        <f t="shared" si="5"/>
        <v>-1.9343833873696707E-2</v>
      </c>
      <c r="L40" s="394">
        <f t="shared" si="5"/>
        <v>-2.0059555727023483E-2</v>
      </c>
      <c r="M40" s="394">
        <f t="shared" si="5"/>
        <v>-2.080175928892335E-2</v>
      </c>
      <c r="N40" s="394">
        <f t="shared" si="5"/>
        <v>-2.1571424382613513E-2</v>
      </c>
      <c r="O40" s="394">
        <f t="shared" si="5"/>
        <v>-2.2369567084770212E-2</v>
      </c>
      <c r="P40" s="394">
        <f t="shared" si="5"/>
        <v>-2.319724106690671E-2</v>
      </c>
      <c r="Q40" s="394">
        <f t="shared" si="5"/>
        <v>-2.4055538986382258E-2</v>
      </c>
      <c r="R40" s="394">
        <f t="shared" si="5"/>
        <v>-2.4945593928878403E-2</v>
      </c>
      <c r="S40" s="394">
        <f t="shared" si="5"/>
        <v>-2.5868580904246905E-2</v>
      </c>
      <c r="T40" s="394">
        <f t="shared" si="5"/>
        <v>-2.6825718397704042E-2</v>
      </c>
      <c r="U40" s="394">
        <f t="shared" si="4"/>
        <v>-2.7818269978419092E-2</v>
      </c>
      <c r="V40" s="394">
        <f t="shared" si="4"/>
        <v>-2.8847545967620597E-2</v>
      </c>
      <c r="W40" s="394">
        <f t="shared" si="4"/>
        <v>-2.9914905168422559E-2</v>
      </c>
      <c r="X40" s="394">
        <f t="shared" si="4"/>
        <v>-3.1021756659654193E-2</v>
      </c>
      <c r="Y40" s="394">
        <f t="shared" si="4"/>
        <v>-3.2169561656061399E-2</v>
      </c>
      <c r="Z40" s="394">
        <f t="shared" si="4"/>
        <v>-3.3359835437335672E-2</v>
      </c>
      <c r="AA40" s="394">
        <f t="shared" si="4"/>
        <v>-3.4594149348517095E-2</v>
      </c>
      <c r="AB40" s="395">
        <f t="shared" si="4"/>
        <v>-3.5874132874412226E-2</v>
      </c>
    </row>
    <row r="41" spans="1:28" outlineLevel="1">
      <c r="A41" s="347" t="s">
        <v>253</v>
      </c>
      <c r="B41" s="393" t="s">
        <v>259</v>
      </c>
      <c r="C41" s="369"/>
      <c r="D41" s="369"/>
      <c r="E41" s="369"/>
      <c r="F41" s="369"/>
      <c r="G41" s="369"/>
      <c r="H41" s="369"/>
      <c r="I41" s="369"/>
      <c r="J41" s="369"/>
      <c r="K41" s="369"/>
      <c r="L41" s="369"/>
      <c r="M41" s="394"/>
      <c r="N41" s="369"/>
      <c r="O41" s="369"/>
      <c r="P41" s="369"/>
      <c r="Q41" s="369"/>
      <c r="R41" s="369"/>
      <c r="S41" s="369"/>
      <c r="T41" s="369"/>
      <c r="U41" s="369"/>
      <c r="V41" s="369"/>
      <c r="W41" s="369"/>
      <c r="X41" s="369"/>
      <c r="Y41" s="369"/>
      <c r="Z41" s="369"/>
      <c r="AA41" s="369"/>
      <c r="AB41" s="370"/>
    </row>
    <row r="42" spans="1:28" outlineLevel="1">
      <c r="A42" s="347"/>
      <c r="B42" s="392"/>
      <c r="C42" s="369"/>
      <c r="D42" s="369"/>
      <c r="E42" s="369"/>
      <c r="F42" s="369"/>
      <c r="G42" s="369"/>
      <c r="H42" s="369"/>
      <c r="I42" s="369"/>
      <c r="J42" s="369"/>
      <c r="K42" s="369"/>
      <c r="L42" s="369"/>
      <c r="M42" s="394"/>
      <c r="N42" s="369"/>
      <c r="O42" s="369"/>
      <c r="P42" s="369"/>
      <c r="Q42" s="369"/>
      <c r="R42" s="369"/>
      <c r="S42" s="369"/>
      <c r="T42" s="369"/>
      <c r="U42" s="369"/>
      <c r="V42" s="369"/>
      <c r="W42" s="369"/>
      <c r="X42" s="369"/>
      <c r="Y42" s="369"/>
      <c r="Z42" s="369"/>
      <c r="AA42" s="369"/>
      <c r="AB42" s="370"/>
    </row>
    <row r="43" spans="1:28" outlineLevel="1">
      <c r="A43" s="396" t="s">
        <v>256</v>
      </c>
      <c r="B43" s="390" t="s">
        <v>757</v>
      </c>
      <c r="C43" s="369"/>
      <c r="D43" s="387"/>
      <c r="E43" s="387" t="e">
        <f>IF($C$121="Sí",$D$10*0.1*0.32,0)</f>
        <v>#N/A</v>
      </c>
      <c r="F43" s="387" t="e">
        <f>IF($C$121="Sí",$D$10*0.1*0.32,0)</f>
        <v>#N/A</v>
      </c>
      <c r="G43" s="387" t="e">
        <f>IF($C$121="Sí",$D$10*0.1*0.32,0)</f>
        <v>#N/A</v>
      </c>
      <c r="H43" s="387" t="e">
        <f>IF($C$121="Sí",$D$10*0.1*0.32,0)</f>
        <v>#N/A</v>
      </c>
      <c r="I43" s="387" t="e">
        <f>IF($C$121="Sí",$D$10*0.1*0.32,0)</f>
        <v>#N/A</v>
      </c>
      <c r="J43" s="387"/>
      <c r="K43" s="387"/>
      <c r="L43" s="387"/>
      <c r="M43" s="387"/>
      <c r="N43" s="387"/>
      <c r="O43" s="387"/>
      <c r="P43" s="387"/>
      <c r="Q43" s="387"/>
      <c r="R43" s="387"/>
      <c r="S43" s="387"/>
      <c r="T43" s="387"/>
      <c r="U43" s="387"/>
      <c r="V43" s="387"/>
      <c r="W43" s="387"/>
      <c r="X43" s="387"/>
      <c r="Y43" s="387"/>
      <c r="Z43" s="387"/>
      <c r="AA43" s="387"/>
      <c r="AB43" s="351"/>
    </row>
    <row r="44" spans="1:28" outlineLevel="1">
      <c r="A44" s="396" t="s">
        <v>256</v>
      </c>
      <c r="B44" s="390" t="s">
        <v>758</v>
      </c>
      <c r="C44" s="369"/>
      <c r="D44" s="394" t="e">
        <f>IF($C$121="Sí",$D$12*0.2*0.32,0)</f>
        <v>#N/A</v>
      </c>
      <c r="E44" s="394" t="e">
        <f>IF($C$121="Sí",$D$12*0.2*0.32,0)</f>
        <v>#N/A</v>
      </c>
      <c r="F44" s="394" t="e">
        <f>IF($C$121="Sí",$D$12*0.2*0.32,0)</f>
        <v>#N/A</v>
      </c>
      <c r="G44" s="394" t="e">
        <f>IF($C$121="Sí",$D$12*0.2*0.32,0)</f>
        <v>#N/A</v>
      </c>
      <c r="H44" s="394" t="e">
        <f>IF($C$121="Sí",$D$12*0.2*0.32,0)</f>
        <v>#N/A</v>
      </c>
      <c r="I44" s="394"/>
      <c r="J44" s="394"/>
      <c r="K44" s="394"/>
      <c r="L44" s="394"/>
      <c r="M44" s="394"/>
      <c r="N44" s="394"/>
      <c r="O44" s="394"/>
      <c r="P44" s="394"/>
      <c r="Q44" s="394"/>
      <c r="R44" s="394"/>
      <c r="S44" s="394"/>
      <c r="T44" s="394"/>
      <c r="U44" s="394"/>
      <c r="V44" s="394"/>
      <c r="W44" s="394"/>
      <c r="X44" s="394"/>
      <c r="Y44" s="394"/>
      <c r="Z44" s="394"/>
      <c r="AA44" s="394"/>
      <c r="AB44" s="395"/>
    </row>
    <row r="45" spans="1:28" outlineLevel="1">
      <c r="A45" s="347"/>
      <c r="B45" s="392"/>
      <c r="C45" s="369"/>
      <c r="D45" s="369"/>
      <c r="E45" s="369"/>
      <c r="F45" s="369"/>
      <c r="G45" s="369"/>
      <c r="H45" s="369"/>
      <c r="I45" s="369"/>
      <c r="J45" s="369"/>
      <c r="K45" s="369"/>
      <c r="L45" s="369"/>
      <c r="M45" s="369"/>
      <c r="N45" s="369"/>
      <c r="O45" s="369"/>
      <c r="P45" s="369"/>
      <c r="Q45" s="369"/>
      <c r="R45" s="369"/>
      <c r="S45" s="369"/>
      <c r="T45" s="369"/>
      <c r="U45" s="369"/>
      <c r="V45" s="369"/>
      <c r="W45" s="369"/>
      <c r="X45" s="369"/>
      <c r="Y45" s="369"/>
      <c r="Z45" s="369"/>
      <c r="AA45" s="369"/>
      <c r="AB45" s="370"/>
    </row>
    <row r="46" spans="1:28" outlineLevel="1">
      <c r="A46" s="347"/>
      <c r="B46" s="390" t="s">
        <v>1674</v>
      </c>
      <c r="C46" s="387">
        <f>IF(C120="Sí",-C124,0)</f>
        <v>0</v>
      </c>
      <c r="D46" s="397">
        <f t="shared" ref="D46:AB46" si="6">IF($C$120="Sí",IF(D33&lt;=$C$134/12,$C$139,0),0)</f>
        <v>0</v>
      </c>
      <c r="E46" s="397">
        <f t="shared" si="6"/>
        <v>0</v>
      </c>
      <c r="F46" s="397">
        <f t="shared" si="6"/>
        <v>0</v>
      </c>
      <c r="G46" s="397">
        <f t="shared" si="6"/>
        <v>0</v>
      </c>
      <c r="H46" s="397">
        <f t="shared" si="6"/>
        <v>0</v>
      </c>
      <c r="I46" s="397">
        <f t="shared" si="6"/>
        <v>0</v>
      </c>
      <c r="J46" s="397">
        <f t="shared" si="6"/>
        <v>0</v>
      </c>
      <c r="K46" s="397">
        <f t="shared" si="6"/>
        <v>0</v>
      </c>
      <c r="L46" s="397">
        <f t="shared" si="6"/>
        <v>0</v>
      </c>
      <c r="M46" s="397">
        <f t="shared" si="6"/>
        <v>0</v>
      </c>
      <c r="N46" s="397">
        <f t="shared" si="6"/>
        <v>0</v>
      </c>
      <c r="O46" s="397">
        <f t="shared" si="6"/>
        <v>0</v>
      </c>
      <c r="P46" s="397">
        <f t="shared" si="6"/>
        <v>0</v>
      </c>
      <c r="Q46" s="397">
        <f t="shared" si="6"/>
        <v>0</v>
      </c>
      <c r="R46" s="397">
        <f t="shared" si="6"/>
        <v>0</v>
      </c>
      <c r="S46" s="397">
        <f t="shared" si="6"/>
        <v>0</v>
      </c>
      <c r="T46" s="397">
        <f t="shared" si="6"/>
        <v>0</v>
      </c>
      <c r="U46" s="397">
        <f t="shared" si="6"/>
        <v>0</v>
      </c>
      <c r="V46" s="397">
        <f t="shared" si="6"/>
        <v>0</v>
      </c>
      <c r="W46" s="397">
        <f t="shared" si="6"/>
        <v>0</v>
      </c>
      <c r="X46" s="397">
        <f t="shared" si="6"/>
        <v>0</v>
      </c>
      <c r="Y46" s="397">
        <f t="shared" si="6"/>
        <v>0</v>
      </c>
      <c r="Z46" s="397">
        <f t="shared" si="6"/>
        <v>0</v>
      </c>
      <c r="AA46" s="397">
        <f t="shared" si="6"/>
        <v>0</v>
      </c>
      <c r="AB46" s="397">
        <f t="shared" si="6"/>
        <v>0</v>
      </c>
    </row>
    <row r="47" spans="1:28" ht="15.75" outlineLevel="1" thickBot="1">
      <c r="A47" s="347"/>
      <c r="B47" s="398"/>
      <c r="C47" s="399"/>
      <c r="D47" s="399"/>
      <c r="E47" s="399"/>
      <c r="F47" s="399"/>
      <c r="G47" s="399"/>
      <c r="H47" s="399"/>
      <c r="I47" s="399"/>
      <c r="J47" s="399"/>
      <c r="K47" s="399"/>
      <c r="L47" s="399"/>
      <c r="M47" s="399"/>
      <c r="N47" s="399"/>
      <c r="O47" s="399"/>
      <c r="P47" s="399"/>
      <c r="Q47" s="399"/>
      <c r="R47" s="399"/>
      <c r="S47" s="399"/>
      <c r="T47" s="399"/>
      <c r="U47" s="399"/>
      <c r="V47" s="399"/>
      <c r="W47" s="399"/>
      <c r="X47" s="399"/>
      <c r="Y47" s="399"/>
      <c r="Z47" s="399"/>
      <c r="AA47" s="399"/>
      <c r="AB47" s="400"/>
    </row>
    <row r="48" spans="1:28" s="401" customFormat="1" ht="15.75" outlineLevel="1">
      <c r="B48" s="402" t="s">
        <v>260</v>
      </c>
      <c r="C48" s="403" t="e">
        <f>+C34+C46</f>
        <v>#N/A</v>
      </c>
      <c r="D48" s="403" t="e">
        <f>D34+D37+D39+D40+D41+D43+D44+D46</f>
        <v>#N/A</v>
      </c>
      <c r="E48" s="403" t="e">
        <f t="shared" ref="E48:AB48" si="7">E34+E37+E39+E40+E41+E43+E44+E46</f>
        <v>#N/A</v>
      </c>
      <c r="F48" s="403" t="e">
        <f t="shared" si="7"/>
        <v>#N/A</v>
      </c>
      <c r="G48" s="403" t="e">
        <f t="shared" si="7"/>
        <v>#N/A</v>
      </c>
      <c r="H48" s="403" t="e">
        <f t="shared" si="7"/>
        <v>#N/A</v>
      </c>
      <c r="I48" s="403" t="e">
        <f t="shared" si="7"/>
        <v>#N/A</v>
      </c>
      <c r="J48" s="403" t="e">
        <f t="shared" si="7"/>
        <v>#N/A</v>
      </c>
      <c r="K48" s="403" t="e">
        <f t="shared" si="7"/>
        <v>#N/A</v>
      </c>
      <c r="L48" s="403" t="e">
        <f t="shared" si="7"/>
        <v>#N/A</v>
      </c>
      <c r="M48" s="403" t="e">
        <f t="shared" si="7"/>
        <v>#N/A</v>
      </c>
      <c r="N48" s="403" t="e">
        <f t="shared" si="7"/>
        <v>#N/A</v>
      </c>
      <c r="O48" s="403" t="e">
        <f t="shared" si="7"/>
        <v>#N/A</v>
      </c>
      <c r="P48" s="403" t="e">
        <f t="shared" si="7"/>
        <v>#N/A</v>
      </c>
      <c r="Q48" s="403" t="e">
        <f t="shared" si="7"/>
        <v>#N/A</v>
      </c>
      <c r="R48" s="403" t="e">
        <f t="shared" si="7"/>
        <v>#N/A</v>
      </c>
      <c r="S48" s="403" t="e">
        <f t="shared" si="7"/>
        <v>#N/A</v>
      </c>
      <c r="T48" s="403" t="e">
        <f t="shared" si="7"/>
        <v>#N/A</v>
      </c>
      <c r="U48" s="403" t="e">
        <f t="shared" si="7"/>
        <v>#N/A</v>
      </c>
      <c r="V48" s="403" t="e">
        <f t="shared" si="7"/>
        <v>#N/A</v>
      </c>
      <c r="W48" s="403" t="e">
        <f t="shared" si="7"/>
        <v>#N/A</v>
      </c>
      <c r="X48" s="403" t="e">
        <f t="shared" si="7"/>
        <v>#N/A</v>
      </c>
      <c r="Y48" s="403" t="e">
        <f t="shared" si="7"/>
        <v>#N/A</v>
      </c>
      <c r="Z48" s="403" t="e">
        <f t="shared" si="7"/>
        <v>#N/A</v>
      </c>
      <c r="AA48" s="403" t="e">
        <f t="shared" si="7"/>
        <v>#N/A</v>
      </c>
      <c r="AB48" s="404" t="e">
        <f t="shared" si="7"/>
        <v>#N/A</v>
      </c>
    </row>
    <row r="49" spans="1:28" ht="16.5" outlineLevel="1" thickBot="1">
      <c r="B49" s="405" t="s">
        <v>261</v>
      </c>
      <c r="C49" s="406" t="e">
        <f>C48</f>
        <v>#N/A</v>
      </c>
      <c r="D49" s="406" t="e">
        <f>C49+D48</f>
        <v>#N/A</v>
      </c>
      <c r="E49" s="406" t="e">
        <f t="shared" ref="E49:AB49" si="8">D49+E48</f>
        <v>#N/A</v>
      </c>
      <c r="F49" s="406" t="e">
        <f t="shared" si="8"/>
        <v>#N/A</v>
      </c>
      <c r="G49" s="406" t="e">
        <f t="shared" si="8"/>
        <v>#N/A</v>
      </c>
      <c r="H49" s="406" t="e">
        <f t="shared" si="8"/>
        <v>#N/A</v>
      </c>
      <c r="I49" s="406" t="e">
        <f t="shared" si="8"/>
        <v>#N/A</v>
      </c>
      <c r="J49" s="406" t="e">
        <f t="shared" si="8"/>
        <v>#N/A</v>
      </c>
      <c r="K49" s="406" t="e">
        <f t="shared" si="8"/>
        <v>#N/A</v>
      </c>
      <c r="L49" s="406" t="e">
        <f t="shared" si="8"/>
        <v>#N/A</v>
      </c>
      <c r="M49" s="406" t="e">
        <f t="shared" si="8"/>
        <v>#N/A</v>
      </c>
      <c r="N49" s="406" t="e">
        <f t="shared" si="8"/>
        <v>#N/A</v>
      </c>
      <c r="O49" s="406" t="e">
        <f t="shared" si="8"/>
        <v>#N/A</v>
      </c>
      <c r="P49" s="406" t="e">
        <f t="shared" si="8"/>
        <v>#N/A</v>
      </c>
      <c r="Q49" s="406" t="e">
        <f t="shared" si="8"/>
        <v>#N/A</v>
      </c>
      <c r="R49" s="406" t="e">
        <f t="shared" si="8"/>
        <v>#N/A</v>
      </c>
      <c r="S49" s="406" t="e">
        <f t="shared" si="8"/>
        <v>#N/A</v>
      </c>
      <c r="T49" s="406" t="e">
        <f t="shared" si="8"/>
        <v>#N/A</v>
      </c>
      <c r="U49" s="406" t="e">
        <f t="shared" si="8"/>
        <v>#N/A</v>
      </c>
      <c r="V49" s="406" t="e">
        <f t="shared" si="8"/>
        <v>#N/A</v>
      </c>
      <c r="W49" s="406" t="e">
        <f t="shared" si="8"/>
        <v>#N/A</v>
      </c>
      <c r="X49" s="406" t="e">
        <f t="shared" si="8"/>
        <v>#N/A</v>
      </c>
      <c r="Y49" s="406" t="e">
        <f t="shared" si="8"/>
        <v>#N/A</v>
      </c>
      <c r="Z49" s="406" t="e">
        <f t="shared" si="8"/>
        <v>#N/A</v>
      </c>
      <c r="AA49" s="406" t="e">
        <f t="shared" si="8"/>
        <v>#N/A</v>
      </c>
      <c r="AB49" s="407" t="e">
        <f t="shared" si="8"/>
        <v>#N/A</v>
      </c>
    </row>
    <row r="50" spans="1:28" ht="15.75" outlineLevel="1">
      <c r="B50" s="715"/>
      <c r="C50" s="410"/>
      <c r="D50" s="410"/>
      <c r="E50" s="410"/>
      <c r="F50" s="410"/>
      <c r="G50" s="410"/>
      <c r="H50" s="410"/>
      <c r="I50" s="410"/>
      <c r="J50" s="410"/>
      <c r="K50" s="410"/>
      <c r="L50" s="410"/>
      <c r="M50" s="410"/>
      <c r="N50" s="410"/>
      <c r="O50" s="410"/>
      <c r="P50" s="410"/>
      <c r="Q50" s="410"/>
      <c r="R50" s="410"/>
      <c r="S50" s="410"/>
      <c r="T50" s="410"/>
      <c r="U50" s="410"/>
      <c r="V50" s="410"/>
      <c r="W50" s="410"/>
      <c r="X50" s="410"/>
      <c r="Y50" s="410"/>
      <c r="Z50" s="410"/>
      <c r="AA50" s="410"/>
      <c r="AB50" s="410"/>
    </row>
    <row r="51" spans="1:28" ht="15.75" outlineLevel="1">
      <c r="B51" s="715" t="s">
        <v>2521</v>
      </c>
      <c r="C51" s="410" t="e">
        <f>+C34</f>
        <v>#N/A</v>
      </c>
      <c r="D51" s="410">
        <f>+D37*$C$56</f>
        <v>6476765.6292053228</v>
      </c>
      <c r="E51" s="410">
        <f t="shared" ref="E51:M51" si="9">+E37*$C$56</f>
        <v>6679465.7247197488</v>
      </c>
      <c r="F51" s="410">
        <f t="shared" si="9"/>
        <v>6888509.6237734398</v>
      </c>
      <c r="G51" s="410">
        <f t="shared" si="9"/>
        <v>7104095.8652138654</v>
      </c>
      <c r="H51" s="410">
        <f t="shared" si="9"/>
        <v>7326429.2014595317</v>
      </c>
      <c r="I51" s="410">
        <f t="shared" si="9"/>
        <v>7555720.7929630093</v>
      </c>
      <c r="J51" s="410">
        <f t="shared" si="9"/>
        <v>7792188.4087599767</v>
      </c>
      <c r="K51" s="410">
        <f t="shared" si="9"/>
        <v>8036056.6332947342</v>
      </c>
      <c r="L51" s="410">
        <f t="shared" si="9"/>
        <v>8287557.0797186429</v>
      </c>
      <c r="M51" s="410">
        <f t="shared" si="9"/>
        <v>8546928.609864058</v>
      </c>
      <c r="N51" s="410"/>
      <c r="O51" s="410"/>
      <c r="P51" s="410"/>
      <c r="Q51" s="410"/>
      <c r="R51" s="410"/>
      <c r="S51" s="410"/>
      <c r="T51" s="410"/>
      <c r="U51" s="410"/>
      <c r="V51" s="410"/>
      <c r="W51" s="410"/>
      <c r="X51" s="410"/>
      <c r="Y51" s="410"/>
      <c r="Z51" s="410"/>
      <c r="AA51" s="410"/>
      <c r="AB51" s="410"/>
    </row>
    <row r="52" spans="1:28" ht="15.75" outlineLevel="1">
      <c r="B52" s="715" t="s">
        <v>2524</v>
      </c>
      <c r="C52" s="410" t="e">
        <f>+C51</f>
        <v>#N/A</v>
      </c>
      <c r="D52" s="410" t="e">
        <f>+D37*$C$56+D39+D43+D44</f>
        <v>#N/A</v>
      </c>
      <c r="E52" s="410" t="e">
        <f t="shared" ref="E52:M52" si="10">+E37*$C$56+E39+E43+E44</f>
        <v>#N/A</v>
      </c>
      <c r="F52" s="410" t="e">
        <f t="shared" si="10"/>
        <v>#N/A</v>
      </c>
      <c r="G52" s="410" t="e">
        <f t="shared" si="10"/>
        <v>#N/A</v>
      </c>
      <c r="H52" s="410" t="e">
        <f t="shared" si="10"/>
        <v>#N/A</v>
      </c>
      <c r="I52" s="410" t="e">
        <f t="shared" si="10"/>
        <v>#N/A</v>
      </c>
      <c r="J52" s="410" t="e">
        <f t="shared" si="10"/>
        <v>#N/A</v>
      </c>
      <c r="K52" s="410" t="e">
        <f t="shared" si="10"/>
        <v>#N/A</v>
      </c>
      <c r="L52" s="410" t="e">
        <f t="shared" si="10"/>
        <v>#N/A</v>
      </c>
      <c r="M52" s="410" t="e">
        <f t="shared" si="10"/>
        <v>#N/A</v>
      </c>
      <c r="N52" s="410"/>
      <c r="O52" s="410"/>
      <c r="P52" s="410"/>
      <c r="Q52" s="410"/>
      <c r="R52" s="410"/>
      <c r="S52" s="410"/>
      <c r="T52" s="410"/>
      <c r="U52" s="410"/>
      <c r="V52" s="410"/>
      <c r="W52" s="410"/>
      <c r="X52" s="410"/>
      <c r="Y52" s="410"/>
      <c r="Z52" s="410"/>
      <c r="AA52" s="410"/>
      <c r="AB52" s="410"/>
    </row>
    <row r="53" spans="1:28" ht="15.75" outlineLevel="1">
      <c r="B53" s="715"/>
      <c r="C53" s="410" t="e">
        <f>+C52</f>
        <v>#N/A</v>
      </c>
      <c r="D53" s="410" t="e">
        <f>+C53+D52</f>
        <v>#N/A</v>
      </c>
      <c r="E53" s="410" t="e">
        <f t="shared" ref="E53:M53" si="11">+D53+E52</f>
        <v>#N/A</v>
      </c>
      <c r="F53" s="410" t="e">
        <f t="shared" si="11"/>
        <v>#N/A</v>
      </c>
      <c r="G53" s="410" t="e">
        <f t="shared" si="11"/>
        <v>#N/A</v>
      </c>
      <c r="H53" s="410" t="e">
        <f t="shared" si="11"/>
        <v>#N/A</v>
      </c>
      <c r="I53" s="410" t="e">
        <f t="shared" si="11"/>
        <v>#N/A</v>
      </c>
      <c r="J53" s="410" t="e">
        <f t="shared" si="11"/>
        <v>#N/A</v>
      </c>
      <c r="K53" s="410" t="e">
        <f t="shared" si="11"/>
        <v>#N/A</v>
      </c>
      <c r="L53" s="410" t="e">
        <f t="shared" si="11"/>
        <v>#N/A</v>
      </c>
      <c r="M53" s="410" t="e">
        <f t="shared" si="11"/>
        <v>#N/A</v>
      </c>
      <c r="N53" s="410"/>
      <c r="O53" s="410"/>
      <c r="P53" s="410"/>
      <c r="Q53" s="410"/>
      <c r="R53" s="410"/>
      <c r="S53" s="410"/>
      <c r="T53" s="410"/>
      <c r="U53" s="410"/>
      <c r="V53" s="410"/>
      <c r="W53" s="410"/>
      <c r="X53" s="410"/>
      <c r="Y53" s="410"/>
      <c r="Z53" s="410"/>
      <c r="AA53" s="410"/>
      <c r="AB53" s="410"/>
    </row>
    <row r="54" spans="1:28" ht="15.75" outlineLevel="1">
      <c r="B54" s="715" t="s">
        <v>2522</v>
      </c>
      <c r="C54" s="824" t="e">
        <f>+IRR(C51:M51)</f>
        <v>#VALUE!</v>
      </c>
      <c r="D54" s="410"/>
      <c r="E54" s="410"/>
      <c r="F54" s="410"/>
      <c r="G54" s="410"/>
      <c r="H54" s="410"/>
      <c r="I54" s="410"/>
      <c r="J54" s="410"/>
      <c r="K54" s="410"/>
      <c r="L54" s="410"/>
      <c r="M54" s="410"/>
      <c r="N54" s="410"/>
      <c r="O54" s="410"/>
      <c r="P54" s="410"/>
      <c r="Q54" s="410"/>
      <c r="R54" s="410"/>
      <c r="S54" s="410"/>
      <c r="T54" s="410"/>
      <c r="U54" s="410"/>
      <c r="V54" s="410"/>
      <c r="W54" s="410"/>
      <c r="X54" s="410"/>
      <c r="Y54" s="410"/>
      <c r="Z54" s="410"/>
      <c r="AA54" s="410"/>
      <c r="AB54" s="410"/>
    </row>
    <row r="55" spans="1:28" ht="15.75" outlineLevel="1">
      <c r="B55" s="715" t="s">
        <v>2525</v>
      </c>
      <c r="C55" s="824" t="e">
        <f>+IRR(C52:M52)</f>
        <v>#VALUE!</v>
      </c>
      <c r="D55" s="410"/>
      <c r="E55" s="410"/>
      <c r="F55" s="410"/>
      <c r="G55" s="410"/>
      <c r="H55" s="410"/>
      <c r="I55" s="410"/>
      <c r="J55" s="410"/>
      <c r="K55" s="410"/>
      <c r="L55" s="410"/>
      <c r="M55" s="410"/>
      <c r="N55" s="410"/>
      <c r="O55" s="410"/>
      <c r="P55" s="410"/>
      <c r="Q55" s="410"/>
      <c r="R55" s="410"/>
      <c r="S55" s="410"/>
      <c r="T55" s="410"/>
      <c r="U55" s="410"/>
      <c r="V55" s="410"/>
      <c r="W55" s="410"/>
      <c r="X55" s="410"/>
      <c r="Y55" s="410"/>
      <c r="Z55" s="410"/>
      <c r="AA55" s="410"/>
      <c r="AB55" s="410"/>
    </row>
    <row r="56" spans="1:28" ht="15.75" outlineLevel="1">
      <c r="B56" s="715" t="s">
        <v>2523</v>
      </c>
      <c r="C56" s="823">
        <v>0.85</v>
      </c>
      <c r="D56" s="410"/>
      <c r="E56" s="410"/>
      <c r="F56" s="410"/>
      <c r="G56" s="410"/>
      <c r="H56" s="410"/>
      <c r="I56" s="410"/>
      <c r="J56" s="410"/>
      <c r="K56" s="410"/>
      <c r="L56" s="410"/>
      <c r="M56" s="410"/>
      <c r="N56" s="410"/>
      <c r="O56" s="410"/>
      <c r="P56" s="410"/>
      <c r="Q56" s="410"/>
      <c r="R56" s="410"/>
      <c r="S56" s="410"/>
      <c r="T56" s="410"/>
      <c r="U56" s="410"/>
      <c r="V56" s="410"/>
      <c r="W56" s="410"/>
      <c r="X56" s="410"/>
      <c r="Y56" s="410"/>
      <c r="Z56" s="410"/>
      <c r="AA56" s="410"/>
      <c r="AB56" s="410"/>
    </row>
    <row r="57" spans="1:28" ht="15.75" outlineLevel="1">
      <c r="B57" s="715"/>
      <c r="C57" s="410"/>
      <c r="D57" s="410"/>
      <c r="E57" s="410"/>
      <c r="F57" s="410"/>
      <c r="G57" s="410"/>
      <c r="H57" s="410"/>
      <c r="I57" s="410"/>
      <c r="J57" s="410"/>
      <c r="K57" s="410"/>
      <c r="L57" s="410"/>
      <c r="M57" s="410"/>
      <c r="N57" s="410"/>
      <c r="O57" s="410"/>
      <c r="P57" s="410"/>
      <c r="Q57" s="410"/>
      <c r="R57" s="410"/>
      <c r="S57" s="410"/>
      <c r="T57" s="410"/>
      <c r="U57" s="410"/>
      <c r="V57" s="410"/>
      <c r="W57" s="410"/>
      <c r="X57" s="410"/>
      <c r="Y57" s="410"/>
      <c r="Z57" s="410"/>
      <c r="AA57" s="410"/>
      <c r="AB57" s="410"/>
    </row>
    <row r="58" spans="1:28" ht="15.75" thickBot="1"/>
    <row r="59" spans="1:28" ht="15.75" thickBot="1">
      <c r="B59" s="374" t="s">
        <v>2942</v>
      </c>
    </row>
    <row r="60" spans="1:28" outlineLevel="1">
      <c r="B60" s="375"/>
      <c r="C60" s="376" t="s">
        <v>227</v>
      </c>
      <c r="D60" s="376" t="s">
        <v>228</v>
      </c>
      <c r="E60" s="376" t="s">
        <v>229</v>
      </c>
      <c r="F60" s="376" t="s">
        <v>230</v>
      </c>
      <c r="G60" s="376" t="s">
        <v>231</v>
      </c>
      <c r="H60" s="376" t="s">
        <v>232</v>
      </c>
      <c r="I60" s="376" t="s">
        <v>233</v>
      </c>
      <c r="J60" s="376" t="s">
        <v>234</v>
      </c>
      <c r="K60" s="377" t="s">
        <v>235</v>
      </c>
      <c r="L60" s="377" t="s">
        <v>236</v>
      </c>
      <c r="M60" s="377" t="s">
        <v>237</v>
      </c>
      <c r="N60" s="377" t="s">
        <v>238</v>
      </c>
      <c r="O60" s="377" t="s">
        <v>239</v>
      </c>
      <c r="P60" s="377" t="s">
        <v>240</v>
      </c>
      <c r="Q60" s="377" t="s">
        <v>241</v>
      </c>
      <c r="R60" s="377" t="s">
        <v>242</v>
      </c>
      <c r="S60" s="377" t="s">
        <v>243</v>
      </c>
      <c r="T60" s="377" t="s">
        <v>244</v>
      </c>
      <c r="U60" s="377" t="s">
        <v>245</v>
      </c>
      <c r="V60" s="377" t="s">
        <v>246</v>
      </c>
      <c r="W60" s="377" t="s">
        <v>247</v>
      </c>
      <c r="X60" s="377" t="s">
        <v>248</v>
      </c>
      <c r="Y60" s="377" t="s">
        <v>249</v>
      </c>
      <c r="Z60" s="377" t="s">
        <v>250</v>
      </c>
      <c r="AA60" s="377" t="s">
        <v>251</v>
      </c>
      <c r="AB60" s="378" t="s">
        <v>252</v>
      </c>
    </row>
    <row r="61" spans="1:28" s="347" customFormat="1" ht="15.75" outlineLevel="1" thickBot="1">
      <c r="B61" s="379"/>
      <c r="C61" s="380">
        <v>0</v>
      </c>
      <c r="D61" s="380">
        <v>1</v>
      </c>
      <c r="E61" s="380">
        <v>2</v>
      </c>
      <c r="F61" s="380">
        <v>3</v>
      </c>
      <c r="G61" s="380">
        <v>4</v>
      </c>
      <c r="H61" s="380">
        <v>5</v>
      </c>
      <c r="I61" s="380">
        <v>6</v>
      </c>
      <c r="J61" s="380">
        <v>7</v>
      </c>
      <c r="K61" s="381">
        <v>8</v>
      </c>
      <c r="L61" s="381">
        <v>9</v>
      </c>
      <c r="M61" s="381">
        <v>10</v>
      </c>
      <c r="N61" s="381">
        <v>11</v>
      </c>
      <c r="O61" s="381">
        <v>12</v>
      </c>
      <c r="P61" s="381">
        <v>13</v>
      </c>
      <c r="Q61" s="381">
        <v>14</v>
      </c>
      <c r="R61" s="381">
        <v>15</v>
      </c>
      <c r="S61" s="381">
        <v>16</v>
      </c>
      <c r="T61" s="381">
        <v>17</v>
      </c>
      <c r="U61" s="381">
        <v>18</v>
      </c>
      <c r="V61" s="381">
        <v>19</v>
      </c>
      <c r="W61" s="381">
        <v>20</v>
      </c>
      <c r="X61" s="381">
        <v>21</v>
      </c>
      <c r="Y61" s="381">
        <v>22</v>
      </c>
      <c r="Z61" s="381">
        <v>23</v>
      </c>
      <c r="AA61" s="381">
        <v>24</v>
      </c>
      <c r="AB61" s="382">
        <v>25</v>
      </c>
    </row>
    <row r="62" spans="1:28" outlineLevel="1">
      <c r="A62" s="347" t="s">
        <v>253</v>
      </c>
      <c r="B62" s="383" t="s">
        <v>254</v>
      </c>
      <c r="C62" s="384" t="e">
        <f t="shared" ref="C62:AB62" si="12">+C34</f>
        <v>#N/A</v>
      </c>
      <c r="D62" s="384">
        <f t="shared" si="12"/>
        <v>0</v>
      </c>
      <c r="E62" s="384">
        <f t="shared" si="12"/>
        <v>0</v>
      </c>
      <c r="F62" s="384">
        <f t="shared" si="12"/>
        <v>0</v>
      </c>
      <c r="G62" s="384">
        <f t="shared" si="12"/>
        <v>0</v>
      </c>
      <c r="H62" s="384">
        <f t="shared" si="12"/>
        <v>0</v>
      </c>
      <c r="I62" s="384">
        <f t="shared" si="12"/>
        <v>0</v>
      </c>
      <c r="J62" s="384">
        <f t="shared" si="12"/>
        <v>0</v>
      </c>
      <c r="K62" s="384">
        <f t="shared" si="12"/>
        <v>0</v>
      </c>
      <c r="L62" s="384">
        <f t="shared" si="12"/>
        <v>0</v>
      </c>
      <c r="M62" s="384">
        <f t="shared" si="12"/>
        <v>0</v>
      </c>
      <c r="N62" s="384">
        <f t="shared" si="12"/>
        <v>0</v>
      </c>
      <c r="O62" s="384">
        <f t="shared" si="12"/>
        <v>0</v>
      </c>
      <c r="P62" s="384">
        <f t="shared" si="12"/>
        <v>0</v>
      </c>
      <c r="Q62" s="384">
        <f t="shared" si="12"/>
        <v>0</v>
      </c>
      <c r="R62" s="384">
        <f t="shared" si="12"/>
        <v>0</v>
      </c>
      <c r="S62" s="384">
        <f t="shared" si="12"/>
        <v>0</v>
      </c>
      <c r="T62" s="384">
        <f t="shared" si="12"/>
        <v>0</v>
      </c>
      <c r="U62" s="384">
        <f t="shared" si="12"/>
        <v>0</v>
      </c>
      <c r="V62" s="384">
        <f t="shared" si="12"/>
        <v>0</v>
      </c>
      <c r="W62" s="384">
        <f t="shared" si="12"/>
        <v>0</v>
      </c>
      <c r="X62" s="384">
        <f t="shared" si="12"/>
        <v>0</v>
      </c>
      <c r="Y62" s="384">
        <f t="shared" si="12"/>
        <v>0</v>
      </c>
      <c r="Z62" s="384">
        <f t="shared" si="12"/>
        <v>0</v>
      </c>
      <c r="AA62" s="384">
        <f t="shared" si="12"/>
        <v>0</v>
      </c>
      <c r="AB62" s="384">
        <f t="shared" si="12"/>
        <v>0</v>
      </c>
    </row>
    <row r="63" spans="1:28" outlineLevel="1">
      <c r="A63" s="347"/>
      <c r="B63" s="386" t="s">
        <v>255</v>
      </c>
      <c r="C63" s="384">
        <f t="shared" ref="C63:AB63" si="13">+C35</f>
        <v>0</v>
      </c>
      <c r="D63" s="384">
        <f t="shared" si="13"/>
        <v>10190.777236093543</v>
      </c>
      <c r="E63" s="384">
        <f t="shared" si="13"/>
        <v>10134.72796129503</v>
      </c>
      <c r="F63" s="384">
        <f t="shared" si="13"/>
        <v>10078.986957507906</v>
      </c>
      <c r="G63" s="384">
        <f t="shared" si="13"/>
        <v>10023.552529241613</v>
      </c>
      <c r="H63" s="384">
        <f t="shared" si="13"/>
        <v>9968.4229903307842</v>
      </c>
      <c r="I63" s="384">
        <f t="shared" si="13"/>
        <v>9913.5966638839654</v>
      </c>
      <c r="J63" s="384">
        <f t="shared" si="13"/>
        <v>9859.0718822326035</v>
      </c>
      <c r="K63" s="384">
        <f t="shared" si="13"/>
        <v>9804.846986880324</v>
      </c>
      <c r="L63" s="384">
        <f t="shared" si="13"/>
        <v>9750.9203284524829</v>
      </c>
      <c r="M63" s="384">
        <f t="shared" si="13"/>
        <v>9697.2902666459941</v>
      </c>
      <c r="N63" s="384">
        <f t="shared" si="13"/>
        <v>9643.9551701794408</v>
      </c>
      <c r="O63" s="384">
        <f t="shared" si="13"/>
        <v>9590.9134167434531</v>
      </c>
      <c r="P63" s="384">
        <f t="shared" si="13"/>
        <v>9538.1633929513646</v>
      </c>
      <c r="Q63" s="384">
        <f t="shared" si="13"/>
        <v>9485.7034942901319</v>
      </c>
      <c r="R63" s="384">
        <f t="shared" si="13"/>
        <v>9433.5321250715369</v>
      </c>
      <c r="S63" s="384">
        <f t="shared" si="13"/>
        <v>9381.6476983836437</v>
      </c>
      <c r="T63" s="384">
        <f t="shared" si="13"/>
        <v>9330.048636042533</v>
      </c>
      <c r="U63" s="384">
        <f t="shared" si="13"/>
        <v>9278.7333685442991</v>
      </c>
      <c r="V63" s="384">
        <f t="shared" si="13"/>
        <v>9227.7003350173054</v>
      </c>
      <c r="W63" s="384">
        <f t="shared" si="13"/>
        <v>9176.9479831747103</v>
      </c>
      <c r="X63" s="384">
        <f t="shared" si="13"/>
        <v>9126.4747692672499</v>
      </c>
      <c r="Y63" s="384">
        <f t="shared" si="13"/>
        <v>9076.2791580362809</v>
      </c>
      <c r="Z63" s="384">
        <f t="shared" si="13"/>
        <v>9026.3596226670816</v>
      </c>
      <c r="AA63" s="384">
        <f t="shared" si="13"/>
        <v>8976.7146447424129</v>
      </c>
      <c r="AB63" s="384">
        <f t="shared" si="13"/>
        <v>8927.3427141963293</v>
      </c>
    </row>
    <row r="64" spans="1:28" outlineLevel="1">
      <c r="A64" s="347"/>
      <c r="B64" s="386" t="s">
        <v>1428</v>
      </c>
      <c r="C64" s="384">
        <f t="shared" ref="C64:C75" si="14">+C36</f>
        <v>0</v>
      </c>
      <c r="D64" s="384">
        <f>+G128</f>
        <v>700.97778657832112</v>
      </c>
      <c r="E64" s="384">
        <f>D64+D64*$D$20</f>
        <v>726.91396468171899</v>
      </c>
      <c r="F64" s="384">
        <f t="shared" ref="F64:AB64" si="15">E64+E64*$D$20</f>
        <v>753.80978137494265</v>
      </c>
      <c r="G64" s="384">
        <f t="shared" si="15"/>
        <v>781.70074328581552</v>
      </c>
      <c r="H64" s="384">
        <f t="shared" si="15"/>
        <v>810.62367078739067</v>
      </c>
      <c r="I64" s="384">
        <f t="shared" si="15"/>
        <v>840.61674660652409</v>
      </c>
      <c r="J64" s="384">
        <f t="shared" si="15"/>
        <v>871.71956623096548</v>
      </c>
      <c r="K64" s="384">
        <f t="shared" si="15"/>
        <v>903.9731901815112</v>
      </c>
      <c r="L64" s="384">
        <f t="shared" si="15"/>
        <v>937.42019821822714</v>
      </c>
      <c r="M64" s="384">
        <f t="shared" si="15"/>
        <v>972.10474555230155</v>
      </c>
      <c r="N64" s="384">
        <f t="shared" si="15"/>
        <v>1008.0726211377367</v>
      </c>
      <c r="O64" s="384">
        <f t="shared" si="15"/>
        <v>1045.371308119833</v>
      </c>
      <c r="P64" s="384">
        <f t="shared" si="15"/>
        <v>1084.0500465202667</v>
      </c>
      <c r="Q64" s="384">
        <f t="shared" si="15"/>
        <v>1124.1598982415167</v>
      </c>
      <c r="R64" s="384">
        <f t="shared" si="15"/>
        <v>1165.7538144764528</v>
      </c>
      <c r="S64" s="384">
        <f t="shared" si="15"/>
        <v>1208.8867056120816</v>
      </c>
      <c r="T64" s="384">
        <f t="shared" si="15"/>
        <v>1253.6155137197286</v>
      </c>
      <c r="U64" s="384">
        <f t="shared" si="15"/>
        <v>1299.9992877273585</v>
      </c>
      <c r="V64" s="384">
        <f t="shared" si="15"/>
        <v>1348.0992613732708</v>
      </c>
      <c r="W64" s="384">
        <f t="shared" si="15"/>
        <v>1397.9789340440818</v>
      </c>
      <c r="X64" s="384">
        <f t="shared" si="15"/>
        <v>1449.7041546037128</v>
      </c>
      <c r="Y64" s="384">
        <f t="shared" si="15"/>
        <v>1503.3432083240502</v>
      </c>
      <c r="Z64" s="384">
        <f t="shared" si="15"/>
        <v>1558.9669070320401</v>
      </c>
      <c r="AA64" s="384">
        <f t="shared" si="15"/>
        <v>1616.6486825922257</v>
      </c>
      <c r="AB64" s="384">
        <f t="shared" si="15"/>
        <v>1676.4646838481381</v>
      </c>
    </row>
    <row r="65" spans="1:28" outlineLevel="1">
      <c r="A65" s="347" t="s">
        <v>256</v>
      </c>
      <c r="B65" s="390" t="s">
        <v>257</v>
      </c>
      <c r="C65" s="384">
        <f t="shared" si="14"/>
        <v>0</v>
      </c>
      <c r="D65" s="384">
        <f>+D63*D64</f>
        <v>7143508.4704695931</v>
      </c>
      <c r="E65" s="384">
        <f t="shared" ref="E65:AB65" si="16">+E63*E64</f>
        <v>7367075.2833156455</v>
      </c>
      <c r="F65" s="384">
        <f t="shared" si="16"/>
        <v>7597638.9549199333</v>
      </c>
      <c r="G65" s="384">
        <f t="shared" si="16"/>
        <v>7835418.462472585</v>
      </c>
      <c r="H65" s="384">
        <f t="shared" si="16"/>
        <v>8080639.6363833584</v>
      </c>
      <c r="I65" s="384">
        <f t="shared" si="16"/>
        <v>8333535.3747634301</v>
      </c>
      <c r="J65" s="384">
        <f t="shared" si="16"/>
        <v>8594345.8646197133</v>
      </c>
      <c r="K65" s="384">
        <f t="shared" si="16"/>
        <v>8863318.8099717833</v>
      </c>
      <c r="L65" s="384">
        <f t="shared" si="16"/>
        <v>9140709.6671080664</v>
      </c>
      <c r="M65" s="384">
        <f t="shared" si="16"/>
        <v>9426781.8872047141</v>
      </c>
      <c r="N65" s="384">
        <f t="shared" si="16"/>
        <v>9721807.1665376164</v>
      </c>
      <c r="O65" s="384">
        <f t="shared" si="16"/>
        <v>10026065.70452516</v>
      </c>
      <c r="P65" s="384">
        <f t="shared" si="16"/>
        <v>10339846.469846832</v>
      </c>
      <c r="Q65" s="384">
        <f t="shared" si="16"/>
        <v>10663447.474890394</v>
      </c>
      <c r="R65" s="384">
        <f t="shared" si="16"/>
        <v>10997176.058788301</v>
      </c>
      <c r="S65" s="384">
        <f t="shared" si="16"/>
        <v>11341349.179312171</v>
      </c>
      <c r="T65" s="384">
        <f t="shared" si="16"/>
        <v>11696293.713902513</v>
      </c>
      <c r="U65" s="384">
        <f t="shared" si="16"/>
        <v>12062346.770119663</v>
      </c>
      <c r="V65" s="384">
        <f t="shared" si="16"/>
        <v>12439856.005810713</v>
      </c>
      <c r="W65" s="384">
        <f t="shared" si="16"/>
        <v>12829179.959296567</v>
      </c>
      <c r="X65" s="384">
        <f t="shared" si="16"/>
        <v>13230688.389892694</v>
      </c>
      <c r="Y65" s="384">
        <f t="shared" si="16"/>
        <v>13644762.629086971</v>
      </c>
      <c r="Z65" s="384">
        <f t="shared" si="16"/>
        <v>14071795.942708192</v>
      </c>
      <c r="AA65" s="384">
        <f t="shared" si="16"/>
        <v>14512193.90442916</v>
      </c>
      <c r="AB65" s="384">
        <f t="shared" si="16"/>
        <v>14966374.780959127</v>
      </c>
    </row>
    <row r="66" spans="1:28" outlineLevel="1">
      <c r="A66" s="347"/>
      <c r="B66" s="392"/>
      <c r="C66" s="384">
        <f t="shared" si="14"/>
        <v>0</v>
      </c>
      <c r="D66" s="384">
        <f t="shared" ref="D66:AB66" si="17">+D38</f>
        <v>0</v>
      </c>
      <c r="E66" s="384">
        <f t="shared" si="17"/>
        <v>0</v>
      </c>
      <c r="F66" s="384">
        <f t="shared" si="17"/>
        <v>0</v>
      </c>
      <c r="G66" s="384">
        <f t="shared" si="17"/>
        <v>0</v>
      </c>
      <c r="H66" s="384">
        <f t="shared" si="17"/>
        <v>0</v>
      </c>
      <c r="I66" s="384">
        <f t="shared" si="17"/>
        <v>0</v>
      </c>
      <c r="J66" s="384">
        <f t="shared" si="17"/>
        <v>0</v>
      </c>
      <c r="K66" s="384">
        <f t="shared" si="17"/>
        <v>0</v>
      </c>
      <c r="L66" s="384">
        <f t="shared" si="17"/>
        <v>0</v>
      </c>
      <c r="M66" s="384">
        <f t="shared" si="17"/>
        <v>0</v>
      </c>
      <c r="N66" s="384">
        <f t="shared" si="17"/>
        <v>0</v>
      </c>
      <c r="O66" s="384">
        <f t="shared" si="17"/>
        <v>0</v>
      </c>
      <c r="P66" s="384">
        <f t="shared" si="17"/>
        <v>0</v>
      </c>
      <c r="Q66" s="384">
        <f t="shared" si="17"/>
        <v>0</v>
      </c>
      <c r="R66" s="384">
        <f t="shared" si="17"/>
        <v>0</v>
      </c>
      <c r="S66" s="384">
        <f t="shared" si="17"/>
        <v>0</v>
      </c>
      <c r="T66" s="384">
        <f t="shared" si="17"/>
        <v>0</v>
      </c>
      <c r="U66" s="384">
        <f t="shared" si="17"/>
        <v>0</v>
      </c>
      <c r="V66" s="384">
        <f t="shared" si="17"/>
        <v>0</v>
      </c>
      <c r="W66" s="384">
        <f t="shared" si="17"/>
        <v>0</v>
      </c>
      <c r="X66" s="384">
        <f t="shared" si="17"/>
        <v>0</v>
      </c>
      <c r="Y66" s="384">
        <f t="shared" si="17"/>
        <v>0</v>
      </c>
      <c r="Z66" s="384">
        <f t="shared" si="17"/>
        <v>0</v>
      </c>
      <c r="AA66" s="384">
        <f t="shared" si="17"/>
        <v>0</v>
      </c>
      <c r="AB66" s="384">
        <f t="shared" si="17"/>
        <v>0</v>
      </c>
    </row>
    <row r="67" spans="1:28" outlineLevel="1">
      <c r="A67" s="347" t="s">
        <v>253</v>
      </c>
      <c r="B67" s="390" t="s">
        <v>258</v>
      </c>
      <c r="C67" s="384">
        <f t="shared" si="14"/>
        <v>0</v>
      </c>
      <c r="D67" s="384">
        <f t="shared" ref="D67:AB67" si="18">+D39</f>
        <v>0</v>
      </c>
      <c r="E67" s="384" t="e">
        <f t="shared" si="18"/>
        <v>#N/A</v>
      </c>
      <c r="F67" s="384" t="e">
        <f t="shared" si="18"/>
        <v>#N/A</v>
      </c>
      <c r="G67" s="384" t="e">
        <f t="shared" si="18"/>
        <v>#N/A</v>
      </c>
      <c r="H67" s="384" t="e">
        <f t="shared" si="18"/>
        <v>#N/A</v>
      </c>
      <c r="I67" s="384" t="e">
        <f t="shared" si="18"/>
        <v>#N/A</v>
      </c>
      <c r="J67" s="384" t="e">
        <f t="shared" si="18"/>
        <v>#N/A</v>
      </c>
      <c r="K67" s="384" t="e">
        <f t="shared" si="18"/>
        <v>#N/A</v>
      </c>
      <c r="L67" s="384" t="e">
        <f t="shared" si="18"/>
        <v>#N/A</v>
      </c>
      <c r="M67" s="384" t="e">
        <f t="shared" si="18"/>
        <v>#N/A</v>
      </c>
      <c r="N67" s="384" t="e">
        <f t="shared" si="18"/>
        <v>#N/A</v>
      </c>
      <c r="O67" s="384" t="e">
        <f t="shared" si="18"/>
        <v>#N/A</v>
      </c>
      <c r="P67" s="384" t="e">
        <f t="shared" si="18"/>
        <v>#N/A</v>
      </c>
      <c r="Q67" s="384" t="e">
        <f t="shared" si="18"/>
        <v>#N/A</v>
      </c>
      <c r="R67" s="384" t="e">
        <f t="shared" si="18"/>
        <v>#N/A</v>
      </c>
      <c r="S67" s="384" t="e">
        <f t="shared" si="18"/>
        <v>#N/A</v>
      </c>
      <c r="T67" s="384" t="e">
        <f t="shared" si="18"/>
        <v>#N/A</v>
      </c>
      <c r="U67" s="384" t="e">
        <f t="shared" si="18"/>
        <v>#N/A</v>
      </c>
      <c r="V67" s="384" t="e">
        <f t="shared" si="18"/>
        <v>#N/A</v>
      </c>
      <c r="W67" s="384" t="e">
        <f t="shared" si="18"/>
        <v>#N/A</v>
      </c>
      <c r="X67" s="384" t="e">
        <f t="shared" si="18"/>
        <v>#N/A</v>
      </c>
      <c r="Y67" s="384" t="e">
        <f t="shared" si="18"/>
        <v>#N/A</v>
      </c>
      <c r="Z67" s="384" t="e">
        <f t="shared" si="18"/>
        <v>#N/A</v>
      </c>
      <c r="AA67" s="384" t="e">
        <f t="shared" si="18"/>
        <v>#N/A</v>
      </c>
      <c r="AB67" s="384" t="e">
        <f t="shared" si="18"/>
        <v>#N/A</v>
      </c>
    </row>
    <row r="68" spans="1:28" outlineLevel="1">
      <c r="A68" s="347" t="s">
        <v>253</v>
      </c>
      <c r="B68" s="393" t="s">
        <v>221</v>
      </c>
      <c r="C68" s="384">
        <f t="shared" si="14"/>
        <v>0</v>
      </c>
      <c r="D68" s="384">
        <f t="shared" ref="D68:AB68" si="19">+D40</f>
        <v>-1.4999999999999999E-2</v>
      </c>
      <c r="E68" s="384">
        <f t="shared" si="19"/>
        <v>-1.5554999999999999E-2</v>
      </c>
      <c r="F68" s="384">
        <f t="shared" si="19"/>
        <v>-1.6130534999999998E-2</v>
      </c>
      <c r="G68" s="384">
        <f t="shared" si="19"/>
        <v>-1.6727364794999998E-2</v>
      </c>
      <c r="H68" s="384">
        <f t="shared" si="19"/>
        <v>-1.7346277292414999E-2</v>
      </c>
      <c r="I68" s="384">
        <f t="shared" si="19"/>
        <v>-1.7988089552234354E-2</v>
      </c>
      <c r="J68" s="384">
        <f t="shared" si="19"/>
        <v>-1.8653648865667026E-2</v>
      </c>
      <c r="K68" s="384">
        <f t="shared" si="19"/>
        <v>-1.9343833873696707E-2</v>
      </c>
      <c r="L68" s="384">
        <f t="shared" si="19"/>
        <v>-2.0059555727023483E-2</v>
      </c>
      <c r="M68" s="384">
        <f t="shared" si="19"/>
        <v>-2.080175928892335E-2</v>
      </c>
      <c r="N68" s="384">
        <f t="shared" si="19"/>
        <v>-2.1571424382613513E-2</v>
      </c>
      <c r="O68" s="384">
        <f t="shared" si="19"/>
        <v>-2.2369567084770212E-2</v>
      </c>
      <c r="P68" s="384">
        <f t="shared" si="19"/>
        <v>-2.319724106690671E-2</v>
      </c>
      <c r="Q68" s="384">
        <f t="shared" si="19"/>
        <v>-2.4055538986382258E-2</v>
      </c>
      <c r="R68" s="384">
        <f t="shared" si="19"/>
        <v>-2.4945593928878403E-2</v>
      </c>
      <c r="S68" s="384">
        <f t="shared" si="19"/>
        <v>-2.5868580904246905E-2</v>
      </c>
      <c r="T68" s="384">
        <f t="shared" si="19"/>
        <v>-2.6825718397704042E-2</v>
      </c>
      <c r="U68" s="384">
        <f t="shared" si="19"/>
        <v>-2.7818269978419092E-2</v>
      </c>
      <c r="V68" s="384">
        <f t="shared" si="19"/>
        <v>-2.8847545967620597E-2</v>
      </c>
      <c r="W68" s="384">
        <f t="shared" si="19"/>
        <v>-2.9914905168422559E-2</v>
      </c>
      <c r="X68" s="384">
        <f t="shared" si="19"/>
        <v>-3.1021756659654193E-2</v>
      </c>
      <c r="Y68" s="384">
        <f t="shared" si="19"/>
        <v>-3.2169561656061399E-2</v>
      </c>
      <c r="Z68" s="384">
        <f t="shared" si="19"/>
        <v>-3.3359835437335672E-2</v>
      </c>
      <c r="AA68" s="384">
        <f t="shared" si="19"/>
        <v>-3.4594149348517095E-2</v>
      </c>
      <c r="AB68" s="384">
        <f t="shared" si="19"/>
        <v>-3.5874132874412226E-2</v>
      </c>
    </row>
    <row r="69" spans="1:28" outlineLevel="1">
      <c r="A69" s="347" t="s">
        <v>253</v>
      </c>
      <c r="B69" s="393" t="s">
        <v>259</v>
      </c>
      <c r="C69" s="384">
        <f t="shared" si="14"/>
        <v>0</v>
      </c>
      <c r="D69" s="384">
        <f t="shared" ref="D69:AB69" si="20">+D41</f>
        <v>0</v>
      </c>
      <c r="E69" s="384">
        <f t="shared" si="20"/>
        <v>0</v>
      </c>
      <c r="F69" s="384">
        <f t="shared" si="20"/>
        <v>0</v>
      </c>
      <c r="G69" s="384">
        <f t="shared" si="20"/>
        <v>0</v>
      </c>
      <c r="H69" s="384">
        <f t="shared" si="20"/>
        <v>0</v>
      </c>
      <c r="I69" s="384">
        <f t="shared" si="20"/>
        <v>0</v>
      </c>
      <c r="J69" s="384">
        <f t="shared" si="20"/>
        <v>0</v>
      </c>
      <c r="K69" s="384">
        <f t="shared" si="20"/>
        <v>0</v>
      </c>
      <c r="L69" s="384">
        <f t="shared" si="20"/>
        <v>0</v>
      </c>
      <c r="M69" s="384">
        <f t="shared" si="20"/>
        <v>0</v>
      </c>
      <c r="N69" s="384">
        <f t="shared" si="20"/>
        <v>0</v>
      </c>
      <c r="O69" s="384">
        <f t="shared" si="20"/>
        <v>0</v>
      </c>
      <c r="P69" s="384">
        <f t="shared" si="20"/>
        <v>0</v>
      </c>
      <c r="Q69" s="384">
        <f t="shared" si="20"/>
        <v>0</v>
      </c>
      <c r="R69" s="384">
        <f t="shared" si="20"/>
        <v>0</v>
      </c>
      <c r="S69" s="384">
        <f t="shared" si="20"/>
        <v>0</v>
      </c>
      <c r="T69" s="384">
        <f t="shared" si="20"/>
        <v>0</v>
      </c>
      <c r="U69" s="384">
        <f t="shared" si="20"/>
        <v>0</v>
      </c>
      <c r="V69" s="384">
        <f t="shared" si="20"/>
        <v>0</v>
      </c>
      <c r="W69" s="384">
        <f t="shared" si="20"/>
        <v>0</v>
      </c>
      <c r="X69" s="384">
        <f t="shared" si="20"/>
        <v>0</v>
      </c>
      <c r="Y69" s="384">
        <f t="shared" si="20"/>
        <v>0</v>
      </c>
      <c r="Z69" s="384">
        <f t="shared" si="20"/>
        <v>0</v>
      </c>
      <c r="AA69" s="384">
        <f t="shared" si="20"/>
        <v>0</v>
      </c>
      <c r="AB69" s="384">
        <f t="shared" si="20"/>
        <v>0</v>
      </c>
    </row>
    <row r="70" spans="1:28" outlineLevel="1">
      <c r="A70" s="347"/>
      <c r="B70" s="392"/>
      <c r="C70" s="384">
        <f t="shared" si="14"/>
        <v>0</v>
      </c>
      <c r="D70" s="384">
        <f t="shared" ref="D70:AB70" si="21">+D42</f>
        <v>0</v>
      </c>
      <c r="E70" s="384">
        <f t="shared" si="21"/>
        <v>0</v>
      </c>
      <c r="F70" s="384">
        <f t="shared" si="21"/>
        <v>0</v>
      </c>
      <c r="G70" s="384">
        <f t="shared" si="21"/>
        <v>0</v>
      </c>
      <c r="H70" s="384">
        <f t="shared" si="21"/>
        <v>0</v>
      </c>
      <c r="I70" s="384">
        <f t="shared" si="21"/>
        <v>0</v>
      </c>
      <c r="J70" s="384">
        <f t="shared" si="21"/>
        <v>0</v>
      </c>
      <c r="K70" s="384">
        <f t="shared" si="21"/>
        <v>0</v>
      </c>
      <c r="L70" s="384">
        <f t="shared" si="21"/>
        <v>0</v>
      </c>
      <c r="M70" s="384">
        <f t="shared" si="21"/>
        <v>0</v>
      </c>
      <c r="N70" s="384">
        <f t="shared" si="21"/>
        <v>0</v>
      </c>
      <c r="O70" s="384">
        <f t="shared" si="21"/>
        <v>0</v>
      </c>
      <c r="P70" s="384">
        <f t="shared" si="21"/>
        <v>0</v>
      </c>
      <c r="Q70" s="384">
        <f t="shared" si="21"/>
        <v>0</v>
      </c>
      <c r="R70" s="384">
        <f t="shared" si="21"/>
        <v>0</v>
      </c>
      <c r="S70" s="384">
        <f t="shared" si="21"/>
        <v>0</v>
      </c>
      <c r="T70" s="384">
        <f t="shared" si="21"/>
        <v>0</v>
      </c>
      <c r="U70" s="384">
        <f t="shared" si="21"/>
        <v>0</v>
      </c>
      <c r="V70" s="384">
        <f t="shared" si="21"/>
        <v>0</v>
      </c>
      <c r="W70" s="384">
        <f t="shared" si="21"/>
        <v>0</v>
      </c>
      <c r="X70" s="384">
        <f t="shared" si="21"/>
        <v>0</v>
      </c>
      <c r="Y70" s="384">
        <f t="shared" si="21"/>
        <v>0</v>
      </c>
      <c r="Z70" s="384">
        <f t="shared" si="21"/>
        <v>0</v>
      </c>
      <c r="AA70" s="384">
        <f t="shared" si="21"/>
        <v>0</v>
      </c>
      <c r="AB70" s="384">
        <f t="shared" si="21"/>
        <v>0</v>
      </c>
    </row>
    <row r="71" spans="1:28" outlineLevel="1">
      <c r="A71" s="396" t="s">
        <v>256</v>
      </c>
      <c r="B71" s="390" t="s">
        <v>757</v>
      </c>
      <c r="C71" s="384">
        <f t="shared" si="14"/>
        <v>0</v>
      </c>
      <c r="D71" s="384">
        <f t="shared" ref="D71:AB71" si="22">+D43</f>
        <v>0</v>
      </c>
      <c r="E71" s="384" t="e">
        <f t="shared" si="22"/>
        <v>#N/A</v>
      </c>
      <c r="F71" s="384" t="e">
        <f t="shared" si="22"/>
        <v>#N/A</v>
      </c>
      <c r="G71" s="384" t="e">
        <f t="shared" si="22"/>
        <v>#N/A</v>
      </c>
      <c r="H71" s="384" t="e">
        <f t="shared" si="22"/>
        <v>#N/A</v>
      </c>
      <c r="I71" s="384" t="e">
        <f t="shared" si="22"/>
        <v>#N/A</v>
      </c>
      <c r="J71" s="384">
        <f t="shared" si="22"/>
        <v>0</v>
      </c>
      <c r="K71" s="384">
        <f t="shared" si="22"/>
        <v>0</v>
      </c>
      <c r="L71" s="384">
        <f t="shared" si="22"/>
        <v>0</v>
      </c>
      <c r="M71" s="384">
        <f t="shared" si="22"/>
        <v>0</v>
      </c>
      <c r="N71" s="384">
        <f t="shared" si="22"/>
        <v>0</v>
      </c>
      <c r="O71" s="384">
        <f t="shared" si="22"/>
        <v>0</v>
      </c>
      <c r="P71" s="384">
        <f t="shared" si="22"/>
        <v>0</v>
      </c>
      <c r="Q71" s="384">
        <f t="shared" si="22"/>
        <v>0</v>
      </c>
      <c r="R71" s="384">
        <f t="shared" si="22"/>
        <v>0</v>
      </c>
      <c r="S71" s="384">
        <f t="shared" si="22"/>
        <v>0</v>
      </c>
      <c r="T71" s="384">
        <f t="shared" si="22"/>
        <v>0</v>
      </c>
      <c r="U71" s="384">
        <f t="shared" si="22"/>
        <v>0</v>
      </c>
      <c r="V71" s="384">
        <f t="shared" si="22"/>
        <v>0</v>
      </c>
      <c r="W71" s="384">
        <f t="shared" si="22"/>
        <v>0</v>
      </c>
      <c r="X71" s="384">
        <f t="shared" si="22"/>
        <v>0</v>
      </c>
      <c r="Y71" s="384">
        <f t="shared" si="22"/>
        <v>0</v>
      </c>
      <c r="Z71" s="384">
        <f t="shared" si="22"/>
        <v>0</v>
      </c>
      <c r="AA71" s="384">
        <f t="shared" si="22"/>
        <v>0</v>
      </c>
      <c r="AB71" s="384">
        <f t="shared" si="22"/>
        <v>0</v>
      </c>
    </row>
    <row r="72" spans="1:28" outlineLevel="1">
      <c r="A72" s="396" t="s">
        <v>256</v>
      </c>
      <c r="B72" s="390" t="s">
        <v>758</v>
      </c>
      <c r="C72" s="384">
        <f t="shared" si="14"/>
        <v>0</v>
      </c>
      <c r="D72" s="384" t="e">
        <f t="shared" ref="D72:AB72" si="23">+D44</f>
        <v>#N/A</v>
      </c>
      <c r="E72" s="384" t="e">
        <f t="shared" si="23"/>
        <v>#N/A</v>
      </c>
      <c r="F72" s="384" t="e">
        <f t="shared" si="23"/>
        <v>#N/A</v>
      </c>
      <c r="G72" s="384" t="e">
        <f t="shared" si="23"/>
        <v>#N/A</v>
      </c>
      <c r="H72" s="384" t="e">
        <f t="shared" si="23"/>
        <v>#N/A</v>
      </c>
      <c r="I72" s="384">
        <f t="shared" si="23"/>
        <v>0</v>
      </c>
      <c r="J72" s="384">
        <f t="shared" si="23"/>
        <v>0</v>
      </c>
      <c r="K72" s="384">
        <f t="shared" si="23"/>
        <v>0</v>
      </c>
      <c r="L72" s="384">
        <f t="shared" si="23"/>
        <v>0</v>
      </c>
      <c r="M72" s="384">
        <f t="shared" si="23"/>
        <v>0</v>
      </c>
      <c r="N72" s="384">
        <f t="shared" si="23"/>
        <v>0</v>
      </c>
      <c r="O72" s="384">
        <f t="shared" si="23"/>
        <v>0</v>
      </c>
      <c r="P72" s="384">
        <f t="shared" si="23"/>
        <v>0</v>
      </c>
      <c r="Q72" s="384">
        <f t="shared" si="23"/>
        <v>0</v>
      </c>
      <c r="R72" s="384">
        <f t="shared" si="23"/>
        <v>0</v>
      </c>
      <c r="S72" s="384">
        <f t="shared" si="23"/>
        <v>0</v>
      </c>
      <c r="T72" s="384">
        <f t="shared" si="23"/>
        <v>0</v>
      </c>
      <c r="U72" s="384">
        <f t="shared" si="23"/>
        <v>0</v>
      </c>
      <c r="V72" s="384">
        <f t="shared" si="23"/>
        <v>0</v>
      </c>
      <c r="W72" s="384">
        <f t="shared" si="23"/>
        <v>0</v>
      </c>
      <c r="X72" s="384">
        <f t="shared" si="23"/>
        <v>0</v>
      </c>
      <c r="Y72" s="384">
        <f t="shared" si="23"/>
        <v>0</v>
      </c>
      <c r="Z72" s="384">
        <f t="shared" si="23"/>
        <v>0</v>
      </c>
      <c r="AA72" s="384">
        <f t="shared" si="23"/>
        <v>0</v>
      </c>
      <c r="AB72" s="384">
        <f t="shared" si="23"/>
        <v>0</v>
      </c>
    </row>
    <row r="73" spans="1:28" outlineLevel="1">
      <c r="A73" s="347"/>
      <c r="B73" s="392"/>
      <c r="C73" s="384">
        <f t="shared" si="14"/>
        <v>0</v>
      </c>
      <c r="D73" s="384">
        <f t="shared" ref="D73:AB73" si="24">+D45</f>
        <v>0</v>
      </c>
      <c r="E73" s="384">
        <f t="shared" si="24"/>
        <v>0</v>
      </c>
      <c r="F73" s="384">
        <f t="shared" si="24"/>
        <v>0</v>
      </c>
      <c r="G73" s="384">
        <f t="shared" si="24"/>
        <v>0</v>
      </c>
      <c r="H73" s="384">
        <f t="shared" si="24"/>
        <v>0</v>
      </c>
      <c r="I73" s="384">
        <f t="shared" si="24"/>
        <v>0</v>
      </c>
      <c r="J73" s="384">
        <f t="shared" si="24"/>
        <v>0</v>
      </c>
      <c r="K73" s="384">
        <f t="shared" si="24"/>
        <v>0</v>
      </c>
      <c r="L73" s="384">
        <f t="shared" si="24"/>
        <v>0</v>
      </c>
      <c r="M73" s="384">
        <f t="shared" si="24"/>
        <v>0</v>
      </c>
      <c r="N73" s="384">
        <f t="shared" si="24"/>
        <v>0</v>
      </c>
      <c r="O73" s="384">
        <f t="shared" si="24"/>
        <v>0</v>
      </c>
      <c r="P73" s="384">
        <f t="shared" si="24"/>
        <v>0</v>
      </c>
      <c r="Q73" s="384">
        <f t="shared" si="24"/>
        <v>0</v>
      </c>
      <c r="R73" s="384">
        <f t="shared" si="24"/>
        <v>0</v>
      </c>
      <c r="S73" s="384">
        <f t="shared" si="24"/>
        <v>0</v>
      </c>
      <c r="T73" s="384">
        <f t="shared" si="24"/>
        <v>0</v>
      </c>
      <c r="U73" s="384">
        <f t="shared" si="24"/>
        <v>0</v>
      </c>
      <c r="V73" s="384">
        <f t="shared" si="24"/>
        <v>0</v>
      </c>
      <c r="W73" s="384">
        <f t="shared" si="24"/>
        <v>0</v>
      </c>
      <c r="X73" s="384">
        <f t="shared" si="24"/>
        <v>0</v>
      </c>
      <c r="Y73" s="384">
        <f t="shared" si="24"/>
        <v>0</v>
      </c>
      <c r="Z73" s="384">
        <f t="shared" si="24"/>
        <v>0</v>
      </c>
      <c r="AA73" s="384">
        <f t="shared" si="24"/>
        <v>0</v>
      </c>
      <c r="AB73" s="384">
        <f t="shared" si="24"/>
        <v>0</v>
      </c>
    </row>
    <row r="74" spans="1:28" outlineLevel="1">
      <c r="A74" s="347"/>
      <c r="B74" s="390" t="s">
        <v>1674</v>
      </c>
      <c r="C74" s="384">
        <f t="shared" si="14"/>
        <v>0</v>
      </c>
      <c r="D74" s="384">
        <f t="shared" ref="D74:AB74" si="25">+D46</f>
        <v>0</v>
      </c>
      <c r="E74" s="384">
        <f t="shared" si="25"/>
        <v>0</v>
      </c>
      <c r="F74" s="384">
        <f t="shared" si="25"/>
        <v>0</v>
      </c>
      <c r="G74" s="384">
        <f t="shared" si="25"/>
        <v>0</v>
      </c>
      <c r="H74" s="384">
        <f t="shared" si="25"/>
        <v>0</v>
      </c>
      <c r="I74" s="384">
        <f t="shared" si="25"/>
        <v>0</v>
      </c>
      <c r="J74" s="384">
        <f t="shared" si="25"/>
        <v>0</v>
      </c>
      <c r="K74" s="384">
        <f t="shared" si="25"/>
        <v>0</v>
      </c>
      <c r="L74" s="384">
        <f t="shared" si="25"/>
        <v>0</v>
      </c>
      <c r="M74" s="384">
        <f t="shared" si="25"/>
        <v>0</v>
      </c>
      <c r="N74" s="384">
        <f t="shared" si="25"/>
        <v>0</v>
      </c>
      <c r="O74" s="384">
        <f t="shared" si="25"/>
        <v>0</v>
      </c>
      <c r="P74" s="384">
        <f t="shared" si="25"/>
        <v>0</v>
      </c>
      <c r="Q74" s="384">
        <f t="shared" si="25"/>
        <v>0</v>
      </c>
      <c r="R74" s="384">
        <f t="shared" si="25"/>
        <v>0</v>
      </c>
      <c r="S74" s="384">
        <f t="shared" si="25"/>
        <v>0</v>
      </c>
      <c r="T74" s="384">
        <f t="shared" si="25"/>
        <v>0</v>
      </c>
      <c r="U74" s="384">
        <f t="shared" si="25"/>
        <v>0</v>
      </c>
      <c r="V74" s="384">
        <f t="shared" si="25"/>
        <v>0</v>
      </c>
      <c r="W74" s="384">
        <f t="shared" si="25"/>
        <v>0</v>
      </c>
      <c r="X74" s="384">
        <f t="shared" si="25"/>
        <v>0</v>
      </c>
      <c r="Y74" s="384">
        <f t="shared" si="25"/>
        <v>0</v>
      </c>
      <c r="Z74" s="384">
        <f t="shared" si="25"/>
        <v>0</v>
      </c>
      <c r="AA74" s="384">
        <f t="shared" si="25"/>
        <v>0</v>
      </c>
      <c r="AB74" s="384">
        <f t="shared" si="25"/>
        <v>0</v>
      </c>
    </row>
    <row r="75" spans="1:28" ht="15.75" outlineLevel="1" thickBot="1">
      <c r="A75" s="347"/>
      <c r="B75" s="398"/>
      <c r="C75" s="384">
        <f t="shared" si="14"/>
        <v>0</v>
      </c>
      <c r="D75" s="384">
        <f t="shared" ref="D75:AB75" si="26">+D47</f>
        <v>0</v>
      </c>
      <c r="E75" s="384">
        <f t="shared" si="26"/>
        <v>0</v>
      </c>
      <c r="F75" s="384">
        <f t="shared" si="26"/>
        <v>0</v>
      </c>
      <c r="G75" s="384">
        <f t="shared" si="26"/>
        <v>0</v>
      </c>
      <c r="H75" s="384">
        <f t="shared" si="26"/>
        <v>0</v>
      </c>
      <c r="I75" s="384">
        <f t="shared" si="26"/>
        <v>0</v>
      </c>
      <c r="J75" s="384">
        <f t="shared" si="26"/>
        <v>0</v>
      </c>
      <c r="K75" s="384">
        <f t="shared" si="26"/>
        <v>0</v>
      </c>
      <c r="L75" s="384">
        <f t="shared" si="26"/>
        <v>0</v>
      </c>
      <c r="M75" s="384">
        <f t="shared" si="26"/>
        <v>0</v>
      </c>
      <c r="N75" s="384">
        <f t="shared" si="26"/>
        <v>0</v>
      </c>
      <c r="O75" s="384">
        <f t="shared" si="26"/>
        <v>0</v>
      </c>
      <c r="P75" s="384">
        <f t="shared" si="26"/>
        <v>0</v>
      </c>
      <c r="Q75" s="384">
        <f t="shared" si="26"/>
        <v>0</v>
      </c>
      <c r="R75" s="384">
        <f t="shared" si="26"/>
        <v>0</v>
      </c>
      <c r="S75" s="384">
        <f t="shared" si="26"/>
        <v>0</v>
      </c>
      <c r="T75" s="384">
        <f t="shared" si="26"/>
        <v>0</v>
      </c>
      <c r="U75" s="384">
        <f t="shared" si="26"/>
        <v>0</v>
      </c>
      <c r="V75" s="384">
        <f t="shared" si="26"/>
        <v>0</v>
      </c>
      <c r="W75" s="384">
        <f t="shared" si="26"/>
        <v>0</v>
      </c>
      <c r="X75" s="384">
        <f t="shared" si="26"/>
        <v>0</v>
      </c>
      <c r="Y75" s="384">
        <f t="shared" si="26"/>
        <v>0</v>
      </c>
      <c r="Z75" s="384">
        <f t="shared" si="26"/>
        <v>0</v>
      </c>
      <c r="AA75" s="384">
        <f t="shared" si="26"/>
        <v>0</v>
      </c>
      <c r="AB75" s="384">
        <f t="shared" si="26"/>
        <v>0</v>
      </c>
    </row>
    <row r="76" spans="1:28" s="401" customFormat="1" ht="15.75" outlineLevel="1">
      <c r="B76" s="402" t="s">
        <v>260</v>
      </c>
      <c r="C76" s="403" t="e">
        <f>+C62+C74</f>
        <v>#N/A</v>
      </c>
      <c r="D76" s="403" t="e">
        <f>D62+D65+D67+D68+D69+D71+D72+D74</f>
        <v>#N/A</v>
      </c>
      <c r="E76" s="403" t="e">
        <f t="shared" ref="E76:AB76" si="27">E62+E65+E67+E68+E69+E71+E72+E74</f>
        <v>#N/A</v>
      </c>
      <c r="F76" s="403" t="e">
        <f t="shared" si="27"/>
        <v>#N/A</v>
      </c>
      <c r="G76" s="403" t="e">
        <f t="shared" si="27"/>
        <v>#N/A</v>
      </c>
      <c r="H76" s="403" t="e">
        <f t="shared" si="27"/>
        <v>#N/A</v>
      </c>
      <c r="I76" s="403" t="e">
        <f t="shared" si="27"/>
        <v>#N/A</v>
      </c>
      <c r="J76" s="403" t="e">
        <f t="shared" si="27"/>
        <v>#N/A</v>
      </c>
      <c r="K76" s="403" t="e">
        <f t="shared" si="27"/>
        <v>#N/A</v>
      </c>
      <c r="L76" s="403" t="e">
        <f t="shared" si="27"/>
        <v>#N/A</v>
      </c>
      <c r="M76" s="403" t="e">
        <f t="shared" si="27"/>
        <v>#N/A</v>
      </c>
      <c r="N76" s="403" t="e">
        <f t="shared" si="27"/>
        <v>#N/A</v>
      </c>
      <c r="O76" s="403" t="e">
        <f t="shared" si="27"/>
        <v>#N/A</v>
      </c>
      <c r="P76" s="403" t="e">
        <f t="shared" si="27"/>
        <v>#N/A</v>
      </c>
      <c r="Q76" s="403" t="e">
        <f t="shared" si="27"/>
        <v>#N/A</v>
      </c>
      <c r="R76" s="403" t="e">
        <f t="shared" si="27"/>
        <v>#N/A</v>
      </c>
      <c r="S76" s="403" t="e">
        <f t="shared" si="27"/>
        <v>#N/A</v>
      </c>
      <c r="T76" s="403" t="e">
        <f t="shared" si="27"/>
        <v>#N/A</v>
      </c>
      <c r="U76" s="403" t="e">
        <f t="shared" si="27"/>
        <v>#N/A</v>
      </c>
      <c r="V76" s="403" t="e">
        <f t="shared" si="27"/>
        <v>#N/A</v>
      </c>
      <c r="W76" s="403" t="e">
        <f t="shared" si="27"/>
        <v>#N/A</v>
      </c>
      <c r="X76" s="403" t="e">
        <f t="shared" si="27"/>
        <v>#N/A</v>
      </c>
      <c r="Y76" s="403" t="e">
        <f t="shared" si="27"/>
        <v>#N/A</v>
      </c>
      <c r="Z76" s="403" t="e">
        <f t="shared" si="27"/>
        <v>#N/A</v>
      </c>
      <c r="AA76" s="403" t="e">
        <f t="shared" si="27"/>
        <v>#N/A</v>
      </c>
      <c r="AB76" s="404" t="e">
        <f t="shared" si="27"/>
        <v>#N/A</v>
      </c>
    </row>
    <row r="77" spans="1:28" ht="16.5" outlineLevel="1" thickBot="1">
      <c r="B77" s="405" t="s">
        <v>261</v>
      </c>
      <c r="C77" s="406" t="e">
        <f>C76</f>
        <v>#N/A</v>
      </c>
      <c r="D77" s="406" t="e">
        <f>C77+D76</f>
        <v>#N/A</v>
      </c>
      <c r="E77" s="406" t="e">
        <f t="shared" ref="E77:AB77" si="28">D77+E76</f>
        <v>#N/A</v>
      </c>
      <c r="F77" s="406" t="e">
        <f t="shared" si="28"/>
        <v>#N/A</v>
      </c>
      <c r="G77" s="406" t="e">
        <f t="shared" si="28"/>
        <v>#N/A</v>
      </c>
      <c r="H77" s="406" t="e">
        <f t="shared" si="28"/>
        <v>#N/A</v>
      </c>
      <c r="I77" s="406" t="e">
        <f t="shared" si="28"/>
        <v>#N/A</v>
      </c>
      <c r="J77" s="406" t="e">
        <f t="shared" si="28"/>
        <v>#N/A</v>
      </c>
      <c r="K77" s="406" t="e">
        <f t="shared" si="28"/>
        <v>#N/A</v>
      </c>
      <c r="L77" s="406" t="e">
        <f t="shared" si="28"/>
        <v>#N/A</v>
      </c>
      <c r="M77" s="406" t="e">
        <f t="shared" si="28"/>
        <v>#N/A</v>
      </c>
      <c r="N77" s="406" t="e">
        <f t="shared" si="28"/>
        <v>#N/A</v>
      </c>
      <c r="O77" s="406" t="e">
        <f t="shared" si="28"/>
        <v>#N/A</v>
      </c>
      <c r="P77" s="406" t="e">
        <f t="shared" si="28"/>
        <v>#N/A</v>
      </c>
      <c r="Q77" s="406" t="e">
        <f t="shared" si="28"/>
        <v>#N/A</v>
      </c>
      <c r="R77" s="406" t="e">
        <f t="shared" si="28"/>
        <v>#N/A</v>
      </c>
      <c r="S77" s="406" t="e">
        <f t="shared" si="28"/>
        <v>#N/A</v>
      </c>
      <c r="T77" s="406" t="e">
        <f t="shared" si="28"/>
        <v>#N/A</v>
      </c>
      <c r="U77" s="406" t="e">
        <f t="shared" si="28"/>
        <v>#N/A</v>
      </c>
      <c r="V77" s="406" t="e">
        <f t="shared" si="28"/>
        <v>#N/A</v>
      </c>
      <c r="W77" s="406" t="e">
        <f t="shared" si="28"/>
        <v>#N/A</v>
      </c>
      <c r="X77" s="406" t="e">
        <f t="shared" si="28"/>
        <v>#N/A</v>
      </c>
      <c r="Y77" s="406" t="e">
        <f t="shared" si="28"/>
        <v>#N/A</v>
      </c>
      <c r="Z77" s="406" t="e">
        <f t="shared" si="28"/>
        <v>#N/A</v>
      </c>
      <c r="AA77" s="406" t="e">
        <f t="shared" si="28"/>
        <v>#N/A</v>
      </c>
      <c r="AB77" s="407" t="e">
        <f t="shared" si="28"/>
        <v>#N/A</v>
      </c>
    </row>
    <row r="78" spans="1:28" ht="15.75" thickBot="1"/>
    <row r="79" spans="1:28" ht="15.75" thickBot="1">
      <c r="B79" s="374" t="s">
        <v>1675</v>
      </c>
    </row>
    <row r="80" spans="1:28" outlineLevel="1">
      <c r="B80" s="375"/>
      <c r="C80" s="376" t="s">
        <v>227</v>
      </c>
      <c r="D80" s="376" t="s">
        <v>228</v>
      </c>
      <c r="E80" s="376" t="s">
        <v>229</v>
      </c>
      <c r="F80" s="376" t="s">
        <v>230</v>
      </c>
      <c r="G80" s="376" t="s">
        <v>231</v>
      </c>
      <c r="H80" s="376" t="s">
        <v>232</v>
      </c>
      <c r="I80" s="376" t="s">
        <v>233</v>
      </c>
      <c r="J80" s="376" t="s">
        <v>234</v>
      </c>
      <c r="K80" s="377" t="s">
        <v>235</v>
      </c>
      <c r="L80" s="377" t="s">
        <v>236</v>
      </c>
      <c r="M80" s="377" t="s">
        <v>237</v>
      </c>
      <c r="N80" s="377" t="s">
        <v>238</v>
      </c>
      <c r="O80" s="377" t="s">
        <v>239</v>
      </c>
      <c r="P80" s="377" t="s">
        <v>240</v>
      </c>
      <c r="Q80" s="377" t="s">
        <v>241</v>
      </c>
      <c r="R80" s="377" t="s">
        <v>242</v>
      </c>
      <c r="S80" s="377" t="s">
        <v>243</v>
      </c>
      <c r="T80" s="377" t="s">
        <v>244</v>
      </c>
      <c r="U80" s="377" t="s">
        <v>245</v>
      </c>
      <c r="V80" s="377" t="s">
        <v>246</v>
      </c>
      <c r="W80" s="377" t="s">
        <v>247</v>
      </c>
      <c r="X80" s="377" t="s">
        <v>248</v>
      </c>
      <c r="Y80" s="377" t="s">
        <v>249</v>
      </c>
      <c r="Z80" s="377" t="s">
        <v>250</v>
      </c>
      <c r="AA80" s="377" t="s">
        <v>251</v>
      </c>
      <c r="AB80" s="378" t="s">
        <v>252</v>
      </c>
    </row>
    <row r="81" spans="1:28" s="347" customFormat="1" ht="15.75" outlineLevel="1" thickBot="1">
      <c r="B81" s="379"/>
      <c r="C81" s="380">
        <v>0</v>
      </c>
      <c r="D81" s="380">
        <v>1</v>
      </c>
      <c r="E81" s="380">
        <v>2</v>
      </c>
      <c r="F81" s="380">
        <v>3</v>
      </c>
      <c r="G81" s="380">
        <v>4</v>
      </c>
      <c r="H81" s="380">
        <v>5</v>
      </c>
      <c r="I81" s="380">
        <v>6</v>
      </c>
      <c r="J81" s="380">
        <v>7</v>
      </c>
      <c r="K81" s="381">
        <v>8</v>
      </c>
      <c r="L81" s="381">
        <v>9</v>
      </c>
      <c r="M81" s="381">
        <v>10</v>
      </c>
      <c r="N81" s="381">
        <v>11</v>
      </c>
      <c r="O81" s="381">
        <v>12</v>
      </c>
      <c r="P81" s="381">
        <v>13</v>
      </c>
      <c r="Q81" s="381">
        <v>14</v>
      </c>
      <c r="R81" s="381">
        <v>15</v>
      </c>
      <c r="S81" s="381">
        <v>16</v>
      </c>
      <c r="T81" s="381">
        <v>17</v>
      </c>
      <c r="U81" s="381">
        <v>18</v>
      </c>
      <c r="V81" s="381">
        <v>19</v>
      </c>
      <c r="W81" s="381">
        <v>20</v>
      </c>
      <c r="X81" s="381">
        <v>21</v>
      </c>
      <c r="Y81" s="381">
        <v>22</v>
      </c>
      <c r="Z81" s="381">
        <v>23</v>
      </c>
      <c r="AA81" s="381">
        <v>24</v>
      </c>
      <c r="AB81" s="382">
        <v>25</v>
      </c>
    </row>
    <row r="82" spans="1:28" outlineLevel="1">
      <c r="A82" s="347" t="s">
        <v>253</v>
      </c>
      <c r="B82" s="383" t="s">
        <v>254</v>
      </c>
      <c r="C82" s="384" t="e">
        <f>+C62</f>
        <v>#N/A</v>
      </c>
      <c r="D82" s="384">
        <f t="shared" ref="D82:AB82" si="29">+D62</f>
        <v>0</v>
      </c>
      <c r="E82" s="384">
        <f t="shared" si="29"/>
        <v>0</v>
      </c>
      <c r="F82" s="384">
        <f t="shared" si="29"/>
        <v>0</v>
      </c>
      <c r="G82" s="384">
        <f t="shared" si="29"/>
        <v>0</v>
      </c>
      <c r="H82" s="384">
        <f t="shared" si="29"/>
        <v>0</v>
      </c>
      <c r="I82" s="384">
        <f t="shared" si="29"/>
        <v>0</v>
      </c>
      <c r="J82" s="384">
        <f t="shared" si="29"/>
        <v>0</v>
      </c>
      <c r="K82" s="384">
        <f t="shared" si="29"/>
        <v>0</v>
      </c>
      <c r="L82" s="384">
        <f t="shared" si="29"/>
        <v>0</v>
      </c>
      <c r="M82" s="384">
        <f t="shared" si="29"/>
        <v>0</v>
      </c>
      <c r="N82" s="384">
        <f t="shared" si="29"/>
        <v>0</v>
      </c>
      <c r="O82" s="384">
        <f t="shared" si="29"/>
        <v>0</v>
      </c>
      <c r="P82" s="384">
        <f t="shared" si="29"/>
        <v>0</v>
      </c>
      <c r="Q82" s="384">
        <f t="shared" si="29"/>
        <v>0</v>
      </c>
      <c r="R82" s="384">
        <f t="shared" si="29"/>
        <v>0</v>
      </c>
      <c r="S82" s="384">
        <f t="shared" si="29"/>
        <v>0</v>
      </c>
      <c r="T82" s="384">
        <f t="shared" si="29"/>
        <v>0</v>
      </c>
      <c r="U82" s="384">
        <f t="shared" si="29"/>
        <v>0</v>
      </c>
      <c r="V82" s="384">
        <f t="shared" si="29"/>
        <v>0</v>
      </c>
      <c r="W82" s="384">
        <f t="shared" si="29"/>
        <v>0</v>
      </c>
      <c r="X82" s="384">
        <f t="shared" si="29"/>
        <v>0</v>
      </c>
      <c r="Y82" s="384">
        <f t="shared" si="29"/>
        <v>0</v>
      </c>
      <c r="Z82" s="384">
        <f t="shared" si="29"/>
        <v>0</v>
      </c>
      <c r="AA82" s="384">
        <f t="shared" si="29"/>
        <v>0</v>
      </c>
      <c r="AB82" s="408">
        <f t="shared" si="29"/>
        <v>0</v>
      </c>
    </row>
    <row r="83" spans="1:28" outlineLevel="1">
      <c r="A83" s="347"/>
      <c r="B83" s="386" t="s">
        <v>255</v>
      </c>
      <c r="C83" s="384">
        <f t="shared" ref="C83:AB83" si="30">+C63</f>
        <v>0</v>
      </c>
      <c r="D83" s="384">
        <f t="shared" si="30"/>
        <v>10190.777236093543</v>
      </c>
      <c r="E83" s="384">
        <f t="shared" si="30"/>
        <v>10134.72796129503</v>
      </c>
      <c r="F83" s="384">
        <f t="shared" si="30"/>
        <v>10078.986957507906</v>
      </c>
      <c r="G83" s="384">
        <f t="shared" si="30"/>
        <v>10023.552529241613</v>
      </c>
      <c r="H83" s="384">
        <f t="shared" si="30"/>
        <v>9968.4229903307842</v>
      </c>
      <c r="I83" s="384">
        <f t="shared" si="30"/>
        <v>9913.5966638839654</v>
      </c>
      <c r="J83" s="384">
        <f t="shared" si="30"/>
        <v>9859.0718822326035</v>
      </c>
      <c r="K83" s="384">
        <f t="shared" si="30"/>
        <v>9804.846986880324</v>
      </c>
      <c r="L83" s="384">
        <f t="shared" si="30"/>
        <v>9750.9203284524829</v>
      </c>
      <c r="M83" s="384">
        <f t="shared" si="30"/>
        <v>9697.2902666459941</v>
      </c>
      <c r="N83" s="384">
        <f t="shared" si="30"/>
        <v>9643.9551701794408</v>
      </c>
      <c r="O83" s="384">
        <f t="shared" si="30"/>
        <v>9590.9134167434531</v>
      </c>
      <c r="P83" s="384">
        <f t="shared" si="30"/>
        <v>9538.1633929513646</v>
      </c>
      <c r="Q83" s="384">
        <f t="shared" si="30"/>
        <v>9485.7034942901319</v>
      </c>
      <c r="R83" s="384">
        <f t="shared" si="30"/>
        <v>9433.5321250715369</v>
      </c>
      <c r="S83" s="384">
        <f t="shared" si="30"/>
        <v>9381.6476983836437</v>
      </c>
      <c r="T83" s="384">
        <f t="shared" si="30"/>
        <v>9330.048636042533</v>
      </c>
      <c r="U83" s="384">
        <f t="shared" si="30"/>
        <v>9278.7333685442991</v>
      </c>
      <c r="V83" s="384">
        <f t="shared" si="30"/>
        <v>9227.7003350173054</v>
      </c>
      <c r="W83" s="384">
        <f t="shared" si="30"/>
        <v>9176.9479831747103</v>
      </c>
      <c r="X83" s="384">
        <f t="shared" si="30"/>
        <v>9126.4747692672499</v>
      </c>
      <c r="Y83" s="384">
        <f t="shared" si="30"/>
        <v>9076.2791580362809</v>
      </c>
      <c r="Z83" s="384">
        <f t="shared" si="30"/>
        <v>9026.3596226670816</v>
      </c>
      <c r="AA83" s="384">
        <f t="shared" si="30"/>
        <v>8976.7146447424129</v>
      </c>
      <c r="AB83" s="408">
        <f t="shared" si="30"/>
        <v>8927.3427141963293</v>
      </c>
    </row>
    <row r="84" spans="1:28" outlineLevel="1">
      <c r="A84" s="347"/>
      <c r="B84" s="386" t="s">
        <v>1428</v>
      </c>
      <c r="C84" s="384">
        <f>+C64</f>
        <v>0</v>
      </c>
      <c r="D84" s="384">
        <f>+G129</f>
        <v>659.22466386246629</v>
      </c>
      <c r="E84" s="384">
        <f>D84+D84*$D$20</f>
        <v>683.61597642537754</v>
      </c>
      <c r="F84" s="384">
        <f t="shared" ref="F84:AB84" si="31">E84+E84*$D$20</f>
        <v>708.90976755311647</v>
      </c>
      <c r="G84" s="384">
        <f t="shared" si="31"/>
        <v>735.13942895258174</v>
      </c>
      <c r="H84" s="384">
        <f t="shared" si="31"/>
        <v>762.33958782382729</v>
      </c>
      <c r="I84" s="384">
        <f t="shared" si="31"/>
        <v>790.54615257330886</v>
      </c>
      <c r="J84" s="384">
        <f t="shared" si="31"/>
        <v>819.79636021852127</v>
      </c>
      <c r="K84" s="384">
        <f t="shared" si="31"/>
        <v>850.12882554660655</v>
      </c>
      <c r="L84" s="384">
        <f t="shared" si="31"/>
        <v>881.58359209183095</v>
      </c>
      <c r="M84" s="384">
        <f t="shared" si="31"/>
        <v>914.20218499922873</v>
      </c>
      <c r="N84" s="384">
        <f t="shared" si="31"/>
        <v>948.02766584420021</v>
      </c>
      <c r="O84" s="384">
        <f t="shared" si="31"/>
        <v>983.10468948043558</v>
      </c>
      <c r="P84" s="384">
        <f t="shared" si="31"/>
        <v>1019.4795629912117</v>
      </c>
      <c r="Q84" s="384">
        <f t="shared" si="31"/>
        <v>1057.2003068218864</v>
      </c>
      <c r="R84" s="384">
        <f t="shared" si="31"/>
        <v>1096.3167181742963</v>
      </c>
      <c r="S84" s="384">
        <f t="shared" si="31"/>
        <v>1136.8804367467453</v>
      </c>
      <c r="T84" s="384">
        <f t="shared" si="31"/>
        <v>1178.9450129063748</v>
      </c>
      <c r="U84" s="384">
        <f t="shared" si="31"/>
        <v>1222.5659783839108</v>
      </c>
      <c r="V84" s="384">
        <f t="shared" si="31"/>
        <v>1267.8009195841155</v>
      </c>
      <c r="W84" s="384">
        <f t="shared" si="31"/>
        <v>1314.7095536087277</v>
      </c>
      <c r="X84" s="384">
        <f t="shared" si="31"/>
        <v>1363.3538070922507</v>
      </c>
      <c r="Y84" s="384">
        <f t="shared" si="31"/>
        <v>1413.797897954664</v>
      </c>
      <c r="Z84" s="384">
        <f t="shared" si="31"/>
        <v>1466.1084201789865</v>
      </c>
      <c r="AA84" s="384">
        <f t="shared" si="31"/>
        <v>1520.3544317256089</v>
      </c>
      <c r="AB84" s="384">
        <f t="shared" si="31"/>
        <v>1576.6075456994565</v>
      </c>
    </row>
    <row r="85" spans="1:28" outlineLevel="1">
      <c r="A85" s="347" t="s">
        <v>256</v>
      </c>
      <c r="B85" s="390" t="s">
        <v>257</v>
      </c>
      <c r="C85" s="384">
        <f>+C65</f>
        <v>0</v>
      </c>
      <c r="D85" s="384">
        <f>+D84*D83</f>
        <v>6718011.6979610389</v>
      </c>
      <c r="E85" s="384">
        <f t="shared" ref="E85:AB85" si="32">+E84*E83</f>
        <v>6928261.9510662779</v>
      </c>
      <c r="F85" s="384">
        <f t="shared" si="32"/>
        <v>7145092.3012178224</v>
      </c>
      <c r="G85" s="384">
        <f t="shared" si="32"/>
        <v>7368708.6824228857</v>
      </c>
      <c r="H85" s="384">
        <f t="shared" si="32"/>
        <v>7599323.4737023339</v>
      </c>
      <c r="I85" s="384">
        <f t="shared" si="32"/>
        <v>7837155.7007970586</v>
      </c>
      <c r="J85" s="384">
        <f t="shared" si="32"/>
        <v>8082431.2441870542</v>
      </c>
      <c r="K85" s="384">
        <f t="shared" si="32"/>
        <v>8335383.0536207538</v>
      </c>
      <c r="L85" s="384">
        <f t="shared" si="32"/>
        <v>8596251.3693583962</v>
      </c>
      <c r="M85" s="384">
        <f t="shared" si="32"/>
        <v>8865283.9503395204</v>
      </c>
      <c r="N85" s="384">
        <f t="shared" si="32"/>
        <v>9142736.3094913214</v>
      </c>
      <c r="O85" s="384">
        <f t="shared" si="32"/>
        <v>9428871.9564013164</v>
      </c>
      <c r="P85" s="384">
        <f t="shared" si="32"/>
        <v>9723962.6475848295</v>
      </c>
      <c r="Q85" s="384">
        <f t="shared" si="32"/>
        <v>10028288.644584969</v>
      </c>
      <c r="R85" s="384">
        <f t="shared" si="32"/>
        <v>10342138.980150223</v>
      </c>
      <c r="S85" s="384">
        <f t="shared" si="32"/>
        <v>10665811.732742494</v>
      </c>
      <c r="T85" s="384">
        <f t="shared" si="32"/>
        <v>10999614.309636269</v>
      </c>
      <c r="U85" s="384">
        <f t="shared" si="32"/>
        <v>11343863.738877801</v>
      </c>
      <c r="V85" s="384">
        <f t="shared" si="32"/>
        <v>11698886.97038159</v>
      </c>
      <c r="W85" s="384">
        <f t="shared" si="32"/>
        <v>12065021.186450137</v>
      </c>
      <c r="X85" s="384">
        <f t="shared" si="32"/>
        <v>12442614.122011876</v>
      </c>
      <c r="Y85" s="384">
        <f t="shared" si="32"/>
        <v>12832024.394881422</v>
      </c>
      <c r="Z85" s="384">
        <f t="shared" si="32"/>
        <v>13233621.846355828</v>
      </c>
      <c r="AA85" s="384">
        <f t="shared" si="32"/>
        <v>13647787.892470302</v>
      </c>
      <c r="AB85" s="384">
        <f t="shared" si="32"/>
        <v>14074915.886247</v>
      </c>
    </row>
    <row r="86" spans="1:28" outlineLevel="1">
      <c r="A86" s="347"/>
      <c r="B86" s="392"/>
      <c r="C86" s="384">
        <f t="shared" ref="C86:AB95" si="33">+C66</f>
        <v>0</v>
      </c>
      <c r="D86" s="384">
        <f t="shared" si="33"/>
        <v>0</v>
      </c>
      <c r="E86" s="384">
        <f t="shared" si="33"/>
        <v>0</v>
      </c>
      <c r="F86" s="384">
        <f t="shared" si="33"/>
        <v>0</v>
      </c>
      <c r="G86" s="384">
        <f t="shared" si="33"/>
        <v>0</v>
      </c>
      <c r="H86" s="384">
        <f t="shared" si="33"/>
        <v>0</v>
      </c>
      <c r="I86" s="384">
        <f t="shared" si="33"/>
        <v>0</v>
      </c>
      <c r="J86" s="384">
        <f t="shared" si="33"/>
        <v>0</v>
      </c>
      <c r="K86" s="384">
        <f t="shared" si="33"/>
        <v>0</v>
      </c>
      <c r="L86" s="384">
        <f t="shared" si="33"/>
        <v>0</v>
      </c>
      <c r="M86" s="384">
        <f t="shared" si="33"/>
        <v>0</v>
      </c>
      <c r="N86" s="384">
        <f t="shared" si="33"/>
        <v>0</v>
      </c>
      <c r="O86" s="384">
        <f t="shared" si="33"/>
        <v>0</v>
      </c>
      <c r="P86" s="384">
        <f t="shared" si="33"/>
        <v>0</v>
      </c>
      <c r="Q86" s="384">
        <f t="shared" si="33"/>
        <v>0</v>
      </c>
      <c r="R86" s="384">
        <f t="shared" si="33"/>
        <v>0</v>
      </c>
      <c r="S86" s="384">
        <f t="shared" si="33"/>
        <v>0</v>
      </c>
      <c r="T86" s="384">
        <f t="shared" si="33"/>
        <v>0</v>
      </c>
      <c r="U86" s="384">
        <f t="shared" si="33"/>
        <v>0</v>
      </c>
      <c r="V86" s="384">
        <f t="shared" si="33"/>
        <v>0</v>
      </c>
      <c r="W86" s="384">
        <f t="shared" si="33"/>
        <v>0</v>
      </c>
      <c r="X86" s="384">
        <f t="shared" si="33"/>
        <v>0</v>
      </c>
      <c r="Y86" s="384">
        <f t="shared" si="33"/>
        <v>0</v>
      </c>
      <c r="Z86" s="384">
        <f t="shared" si="33"/>
        <v>0</v>
      </c>
      <c r="AA86" s="384">
        <f t="shared" si="33"/>
        <v>0</v>
      </c>
      <c r="AB86" s="408">
        <f t="shared" si="33"/>
        <v>0</v>
      </c>
    </row>
    <row r="87" spans="1:28" outlineLevel="1">
      <c r="A87" s="347" t="s">
        <v>253</v>
      </c>
      <c r="B87" s="390" t="s">
        <v>258</v>
      </c>
      <c r="C87" s="384">
        <f t="shared" si="33"/>
        <v>0</v>
      </c>
      <c r="D87" s="384">
        <f t="shared" si="33"/>
        <v>0</v>
      </c>
      <c r="E87" s="384" t="e">
        <f t="shared" si="33"/>
        <v>#N/A</v>
      </c>
      <c r="F87" s="384" t="e">
        <f t="shared" si="33"/>
        <v>#N/A</v>
      </c>
      <c r="G87" s="384" t="e">
        <f t="shared" si="33"/>
        <v>#N/A</v>
      </c>
      <c r="H87" s="384" t="e">
        <f t="shared" si="33"/>
        <v>#N/A</v>
      </c>
      <c r="I87" s="384" t="e">
        <f t="shared" si="33"/>
        <v>#N/A</v>
      </c>
      <c r="J87" s="384" t="e">
        <f t="shared" si="33"/>
        <v>#N/A</v>
      </c>
      <c r="K87" s="384" t="e">
        <f t="shared" si="33"/>
        <v>#N/A</v>
      </c>
      <c r="L87" s="384" t="e">
        <f t="shared" si="33"/>
        <v>#N/A</v>
      </c>
      <c r="M87" s="384" t="e">
        <f t="shared" si="33"/>
        <v>#N/A</v>
      </c>
      <c r="N87" s="384" t="e">
        <f t="shared" si="33"/>
        <v>#N/A</v>
      </c>
      <c r="O87" s="384" t="e">
        <f t="shared" si="33"/>
        <v>#N/A</v>
      </c>
      <c r="P87" s="384" t="e">
        <f t="shared" si="33"/>
        <v>#N/A</v>
      </c>
      <c r="Q87" s="384" t="e">
        <f t="shared" si="33"/>
        <v>#N/A</v>
      </c>
      <c r="R87" s="384" t="e">
        <f t="shared" si="33"/>
        <v>#N/A</v>
      </c>
      <c r="S87" s="384" t="e">
        <f t="shared" si="33"/>
        <v>#N/A</v>
      </c>
      <c r="T87" s="384" t="e">
        <f t="shared" si="33"/>
        <v>#N/A</v>
      </c>
      <c r="U87" s="384" t="e">
        <f t="shared" si="33"/>
        <v>#N/A</v>
      </c>
      <c r="V87" s="384" t="e">
        <f t="shared" si="33"/>
        <v>#N/A</v>
      </c>
      <c r="W87" s="384" t="e">
        <f t="shared" si="33"/>
        <v>#N/A</v>
      </c>
      <c r="X87" s="384" t="e">
        <f t="shared" si="33"/>
        <v>#N/A</v>
      </c>
      <c r="Y87" s="384" t="e">
        <f t="shared" si="33"/>
        <v>#N/A</v>
      </c>
      <c r="Z87" s="384" t="e">
        <f t="shared" si="33"/>
        <v>#N/A</v>
      </c>
      <c r="AA87" s="384" t="e">
        <f t="shared" si="33"/>
        <v>#N/A</v>
      </c>
      <c r="AB87" s="408" t="e">
        <f t="shared" si="33"/>
        <v>#N/A</v>
      </c>
    </row>
    <row r="88" spans="1:28" outlineLevel="1">
      <c r="A88" s="347" t="s">
        <v>253</v>
      </c>
      <c r="B88" s="393" t="s">
        <v>221</v>
      </c>
      <c r="C88" s="384">
        <f t="shared" si="33"/>
        <v>0</v>
      </c>
      <c r="D88" s="384">
        <f t="shared" si="33"/>
        <v>-1.4999999999999999E-2</v>
      </c>
      <c r="E88" s="384">
        <f t="shared" si="33"/>
        <v>-1.5554999999999999E-2</v>
      </c>
      <c r="F88" s="384">
        <f t="shared" si="33"/>
        <v>-1.6130534999999998E-2</v>
      </c>
      <c r="G88" s="384">
        <f t="shared" si="33"/>
        <v>-1.6727364794999998E-2</v>
      </c>
      <c r="H88" s="384">
        <f t="shared" si="33"/>
        <v>-1.7346277292414999E-2</v>
      </c>
      <c r="I88" s="384">
        <f t="shared" si="33"/>
        <v>-1.7988089552234354E-2</v>
      </c>
      <c r="J88" s="384">
        <f t="shared" si="33"/>
        <v>-1.8653648865667026E-2</v>
      </c>
      <c r="K88" s="384">
        <f t="shared" si="33"/>
        <v>-1.9343833873696707E-2</v>
      </c>
      <c r="L88" s="384">
        <f t="shared" si="33"/>
        <v>-2.0059555727023483E-2</v>
      </c>
      <c r="M88" s="384">
        <f t="shared" si="33"/>
        <v>-2.080175928892335E-2</v>
      </c>
      <c r="N88" s="384">
        <f t="shared" si="33"/>
        <v>-2.1571424382613513E-2</v>
      </c>
      <c r="O88" s="384">
        <f t="shared" si="33"/>
        <v>-2.2369567084770212E-2</v>
      </c>
      <c r="P88" s="384">
        <f t="shared" si="33"/>
        <v>-2.319724106690671E-2</v>
      </c>
      <c r="Q88" s="384">
        <f t="shared" si="33"/>
        <v>-2.4055538986382258E-2</v>
      </c>
      <c r="R88" s="384">
        <f t="shared" si="33"/>
        <v>-2.4945593928878403E-2</v>
      </c>
      <c r="S88" s="384">
        <f t="shared" si="33"/>
        <v>-2.5868580904246905E-2</v>
      </c>
      <c r="T88" s="384">
        <f t="shared" si="33"/>
        <v>-2.6825718397704042E-2</v>
      </c>
      <c r="U88" s="384">
        <f t="shared" si="33"/>
        <v>-2.7818269978419092E-2</v>
      </c>
      <c r="V88" s="384">
        <f t="shared" si="33"/>
        <v>-2.8847545967620597E-2</v>
      </c>
      <c r="W88" s="384">
        <f t="shared" si="33"/>
        <v>-2.9914905168422559E-2</v>
      </c>
      <c r="X88" s="384">
        <f t="shared" si="33"/>
        <v>-3.1021756659654193E-2</v>
      </c>
      <c r="Y88" s="384">
        <f t="shared" si="33"/>
        <v>-3.2169561656061399E-2</v>
      </c>
      <c r="Z88" s="384">
        <f t="shared" si="33"/>
        <v>-3.3359835437335672E-2</v>
      </c>
      <c r="AA88" s="384">
        <f t="shared" si="33"/>
        <v>-3.4594149348517095E-2</v>
      </c>
      <c r="AB88" s="408">
        <f t="shared" si="33"/>
        <v>-3.5874132874412226E-2</v>
      </c>
    </row>
    <row r="89" spans="1:28" outlineLevel="1">
      <c r="A89" s="347" t="s">
        <v>253</v>
      </c>
      <c r="B89" s="393" t="s">
        <v>259</v>
      </c>
      <c r="C89" s="384">
        <f t="shared" si="33"/>
        <v>0</v>
      </c>
      <c r="D89" s="384">
        <f t="shared" si="33"/>
        <v>0</v>
      </c>
      <c r="E89" s="384">
        <f t="shared" si="33"/>
        <v>0</v>
      </c>
      <c r="F89" s="384">
        <f t="shared" si="33"/>
        <v>0</v>
      </c>
      <c r="G89" s="384">
        <f t="shared" si="33"/>
        <v>0</v>
      </c>
      <c r="H89" s="384">
        <f t="shared" si="33"/>
        <v>0</v>
      </c>
      <c r="I89" s="384">
        <f t="shared" si="33"/>
        <v>0</v>
      </c>
      <c r="J89" s="384">
        <f t="shared" si="33"/>
        <v>0</v>
      </c>
      <c r="K89" s="384">
        <f t="shared" si="33"/>
        <v>0</v>
      </c>
      <c r="L89" s="384">
        <f t="shared" si="33"/>
        <v>0</v>
      </c>
      <c r="M89" s="384">
        <f t="shared" si="33"/>
        <v>0</v>
      </c>
      <c r="N89" s="384">
        <f t="shared" si="33"/>
        <v>0</v>
      </c>
      <c r="O89" s="384">
        <f t="shared" si="33"/>
        <v>0</v>
      </c>
      <c r="P89" s="384">
        <f t="shared" si="33"/>
        <v>0</v>
      </c>
      <c r="Q89" s="384">
        <f t="shared" si="33"/>
        <v>0</v>
      </c>
      <c r="R89" s="384">
        <f t="shared" si="33"/>
        <v>0</v>
      </c>
      <c r="S89" s="384">
        <f t="shared" si="33"/>
        <v>0</v>
      </c>
      <c r="T89" s="384">
        <f t="shared" si="33"/>
        <v>0</v>
      </c>
      <c r="U89" s="384">
        <f t="shared" si="33"/>
        <v>0</v>
      </c>
      <c r="V89" s="384">
        <f t="shared" si="33"/>
        <v>0</v>
      </c>
      <c r="W89" s="384">
        <f t="shared" si="33"/>
        <v>0</v>
      </c>
      <c r="X89" s="384">
        <f t="shared" si="33"/>
        <v>0</v>
      </c>
      <c r="Y89" s="384">
        <f t="shared" si="33"/>
        <v>0</v>
      </c>
      <c r="Z89" s="384">
        <f t="shared" si="33"/>
        <v>0</v>
      </c>
      <c r="AA89" s="384">
        <f t="shared" si="33"/>
        <v>0</v>
      </c>
      <c r="AB89" s="408">
        <f t="shared" si="33"/>
        <v>0</v>
      </c>
    </row>
    <row r="90" spans="1:28" outlineLevel="1">
      <c r="A90" s="347"/>
      <c r="B90" s="392"/>
      <c r="C90" s="384">
        <f t="shared" si="33"/>
        <v>0</v>
      </c>
      <c r="D90" s="384">
        <f t="shared" si="33"/>
        <v>0</v>
      </c>
      <c r="E90" s="384">
        <f t="shared" si="33"/>
        <v>0</v>
      </c>
      <c r="F90" s="384">
        <f t="shared" si="33"/>
        <v>0</v>
      </c>
      <c r="G90" s="384">
        <f t="shared" si="33"/>
        <v>0</v>
      </c>
      <c r="H90" s="384">
        <f t="shared" si="33"/>
        <v>0</v>
      </c>
      <c r="I90" s="384">
        <f t="shared" si="33"/>
        <v>0</v>
      </c>
      <c r="J90" s="384">
        <f t="shared" si="33"/>
        <v>0</v>
      </c>
      <c r="K90" s="384">
        <f t="shared" si="33"/>
        <v>0</v>
      </c>
      <c r="L90" s="384">
        <f t="shared" si="33"/>
        <v>0</v>
      </c>
      <c r="M90" s="384">
        <f t="shared" si="33"/>
        <v>0</v>
      </c>
      <c r="N90" s="384">
        <f t="shared" si="33"/>
        <v>0</v>
      </c>
      <c r="O90" s="384">
        <f t="shared" si="33"/>
        <v>0</v>
      </c>
      <c r="P90" s="384">
        <f t="shared" si="33"/>
        <v>0</v>
      </c>
      <c r="Q90" s="384">
        <f t="shared" si="33"/>
        <v>0</v>
      </c>
      <c r="R90" s="384">
        <f t="shared" si="33"/>
        <v>0</v>
      </c>
      <c r="S90" s="384">
        <f t="shared" si="33"/>
        <v>0</v>
      </c>
      <c r="T90" s="384">
        <f t="shared" si="33"/>
        <v>0</v>
      </c>
      <c r="U90" s="384">
        <f t="shared" si="33"/>
        <v>0</v>
      </c>
      <c r="V90" s="384">
        <f t="shared" si="33"/>
        <v>0</v>
      </c>
      <c r="W90" s="384">
        <f t="shared" si="33"/>
        <v>0</v>
      </c>
      <c r="X90" s="384">
        <f t="shared" si="33"/>
        <v>0</v>
      </c>
      <c r="Y90" s="384">
        <f t="shared" si="33"/>
        <v>0</v>
      </c>
      <c r="Z90" s="384">
        <f t="shared" si="33"/>
        <v>0</v>
      </c>
      <c r="AA90" s="384">
        <f t="shared" si="33"/>
        <v>0</v>
      </c>
      <c r="AB90" s="408">
        <f t="shared" si="33"/>
        <v>0</v>
      </c>
    </row>
    <row r="91" spans="1:28" outlineLevel="1">
      <c r="A91" s="396" t="s">
        <v>256</v>
      </c>
      <c r="B91" s="390" t="s">
        <v>757</v>
      </c>
      <c r="C91" s="384">
        <f t="shared" si="33"/>
        <v>0</v>
      </c>
      <c r="D91" s="384">
        <f t="shared" si="33"/>
        <v>0</v>
      </c>
      <c r="E91" s="384" t="e">
        <f t="shared" si="33"/>
        <v>#N/A</v>
      </c>
      <c r="F91" s="384" t="e">
        <f t="shared" si="33"/>
        <v>#N/A</v>
      </c>
      <c r="G91" s="384" t="e">
        <f t="shared" si="33"/>
        <v>#N/A</v>
      </c>
      <c r="H91" s="384" t="e">
        <f t="shared" si="33"/>
        <v>#N/A</v>
      </c>
      <c r="I91" s="384" t="e">
        <f t="shared" si="33"/>
        <v>#N/A</v>
      </c>
      <c r="J91" s="384">
        <f t="shared" si="33"/>
        <v>0</v>
      </c>
      <c r="K91" s="384">
        <f t="shared" si="33"/>
        <v>0</v>
      </c>
      <c r="L91" s="384">
        <f t="shared" si="33"/>
        <v>0</v>
      </c>
      <c r="M91" s="384">
        <f t="shared" si="33"/>
        <v>0</v>
      </c>
      <c r="N91" s="384">
        <f t="shared" si="33"/>
        <v>0</v>
      </c>
      <c r="O91" s="384">
        <f t="shared" si="33"/>
        <v>0</v>
      </c>
      <c r="P91" s="384">
        <f t="shared" si="33"/>
        <v>0</v>
      </c>
      <c r="Q91" s="384">
        <f t="shared" si="33"/>
        <v>0</v>
      </c>
      <c r="R91" s="384">
        <f t="shared" si="33"/>
        <v>0</v>
      </c>
      <c r="S91" s="384">
        <f t="shared" si="33"/>
        <v>0</v>
      </c>
      <c r="T91" s="384">
        <f t="shared" si="33"/>
        <v>0</v>
      </c>
      <c r="U91" s="384">
        <f t="shared" si="33"/>
        <v>0</v>
      </c>
      <c r="V91" s="384">
        <f t="shared" si="33"/>
        <v>0</v>
      </c>
      <c r="W91" s="384">
        <f t="shared" si="33"/>
        <v>0</v>
      </c>
      <c r="X91" s="384">
        <f t="shared" si="33"/>
        <v>0</v>
      </c>
      <c r="Y91" s="384">
        <f t="shared" si="33"/>
        <v>0</v>
      </c>
      <c r="Z91" s="384">
        <f t="shared" si="33"/>
        <v>0</v>
      </c>
      <c r="AA91" s="384">
        <f t="shared" si="33"/>
        <v>0</v>
      </c>
      <c r="AB91" s="408">
        <f t="shared" si="33"/>
        <v>0</v>
      </c>
    </row>
    <row r="92" spans="1:28" outlineLevel="1">
      <c r="A92" s="396" t="s">
        <v>256</v>
      </c>
      <c r="B92" s="390" t="s">
        <v>758</v>
      </c>
      <c r="C92" s="384">
        <f t="shared" si="33"/>
        <v>0</v>
      </c>
      <c r="D92" s="384" t="e">
        <f t="shared" si="33"/>
        <v>#N/A</v>
      </c>
      <c r="E92" s="384" t="e">
        <f t="shared" si="33"/>
        <v>#N/A</v>
      </c>
      <c r="F92" s="384" t="e">
        <f t="shared" si="33"/>
        <v>#N/A</v>
      </c>
      <c r="G92" s="384" t="e">
        <f t="shared" si="33"/>
        <v>#N/A</v>
      </c>
      <c r="H92" s="384" t="e">
        <f t="shared" si="33"/>
        <v>#N/A</v>
      </c>
      <c r="I92" s="384">
        <f t="shared" si="33"/>
        <v>0</v>
      </c>
      <c r="J92" s="384">
        <f t="shared" si="33"/>
        <v>0</v>
      </c>
      <c r="K92" s="384">
        <f t="shared" si="33"/>
        <v>0</v>
      </c>
      <c r="L92" s="384">
        <f t="shared" si="33"/>
        <v>0</v>
      </c>
      <c r="M92" s="384">
        <f t="shared" si="33"/>
        <v>0</v>
      </c>
      <c r="N92" s="384">
        <f t="shared" si="33"/>
        <v>0</v>
      </c>
      <c r="O92" s="384">
        <f t="shared" si="33"/>
        <v>0</v>
      </c>
      <c r="P92" s="384">
        <f t="shared" si="33"/>
        <v>0</v>
      </c>
      <c r="Q92" s="384">
        <f t="shared" si="33"/>
        <v>0</v>
      </c>
      <c r="R92" s="384">
        <f t="shared" si="33"/>
        <v>0</v>
      </c>
      <c r="S92" s="384">
        <f t="shared" si="33"/>
        <v>0</v>
      </c>
      <c r="T92" s="384">
        <f t="shared" si="33"/>
        <v>0</v>
      </c>
      <c r="U92" s="384">
        <f t="shared" si="33"/>
        <v>0</v>
      </c>
      <c r="V92" s="384">
        <f t="shared" si="33"/>
        <v>0</v>
      </c>
      <c r="W92" s="384">
        <f t="shared" si="33"/>
        <v>0</v>
      </c>
      <c r="X92" s="384">
        <f t="shared" si="33"/>
        <v>0</v>
      </c>
      <c r="Y92" s="384">
        <f t="shared" si="33"/>
        <v>0</v>
      </c>
      <c r="Z92" s="384">
        <f t="shared" si="33"/>
        <v>0</v>
      </c>
      <c r="AA92" s="384">
        <f t="shared" si="33"/>
        <v>0</v>
      </c>
      <c r="AB92" s="408">
        <f t="shared" si="33"/>
        <v>0</v>
      </c>
    </row>
    <row r="93" spans="1:28" outlineLevel="1">
      <c r="A93" s="347"/>
      <c r="B93" s="392"/>
      <c r="C93" s="384">
        <f t="shared" si="33"/>
        <v>0</v>
      </c>
      <c r="D93" s="384">
        <f t="shared" si="33"/>
        <v>0</v>
      </c>
      <c r="E93" s="384">
        <f t="shared" si="33"/>
        <v>0</v>
      </c>
      <c r="F93" s="384">
        <f t="shared" si="33"/>
        <v>0</v>
      </c>
      <c r="G93" s="384">
        <f t="shared" si="33"/>
        <v>0</v>
      </c>
      <c r="H93" s="384">
        <f t="shared" si="33"/>
        <v>0</v>
      </c>
      <c r="I93" s="384">
        <f t="shared" si="33"/>
        <v>0</v>
      </c>
      <c r="J93" s="384">
        <f t="shared" si="33"/>
        <v>0</v>
      </c>
      <c r="K93" s="384">
        <f t="shared" si="33"/>
        <v>0</v>
      </c>
      <c r="L93" s="384">
        <f t="shared" si="33"/>
        <v>0</v>
      </c>
      <c r="M93" s="384">
        <f t="shared" si="33"/>
        <v>0</v>
      </c>
      <c r="N93" s="384">
        <f t="shared" si="33"/>
        <v>0</v>
      </c>
      <c r="O93" s="384">
        <f t="shared" si="33"/>
        <v>0</v>
      </c>
      <c r="P93" s="384">
        <f t="shared" si="33"/>
        <v>0</v>
      </c>
      <c r="Q93" s="384">
        <f t="shared" si="33"/>
        <v>0</v>
      </c>
      <c r="R93" s="384">
        <f t="shared" si="33"/>
        <v>0</v>
      </c>
      <c r="S93" s="384">
        <f t="shared" si="33"/>
        <v>0</v>
      </c>
      <c r="T93" s="384">
        <f t="shared" si="33"/>
        <v>0</v>
      </c>
      <c r="U93" s="384">
        <f t="shared" si="33"/>
        <v>0</v>
      </c>
      <c r="V93" s="384">
        <f t="shared" si="33"/>
        <v>0</v>
      </c>
      <c r="W93" s="384">
        <f t="shared" si="33"/>
        <v>0</v>
      </c>
      <c r="X93" s="384">
        <f t="shared" si="33"/>
        <v>0</v>
      </c>
      <c r="Y93" s="384">
        <f t="shared" si="33"/>
        <v>0</v>
      </c>
      <c r="Z93" s="384">
        <f t="shared" si="33"/>
        <v>0</v>
      </c>
      <c r="AA93" s="384">
        <f t="shared" si="33"/>
        <v>0</v>
      </c>
      <c r="AB93" s="408">
        <f t="shared" si="33"/>
        <v>0</v>
      </c>
    </row>
    <row r="94" spans="1:28" outlineLevel="1">
      <c r="A94" s="347"/>
      <c r="B94" s="390" t="s">
        <v>1674</v>
      </c>
      <c r="C94" s="384">
        <f t="shared" si="33"/>
        <v>0</v>
      </c>
      <c r="D94" s="384">
        <f t="shared" si="33"/>
        <v>0</v>
      </c>
      <c r="E94" s="384">
        <f t="shared" si="33"/>
        <v>0</v>
      </c>
      <c r="F94" s="384">
        <f t="shared" si="33"/>
        <v>0</v>
      </c>
      <c r="G94" s="384">
        <f t="shared" si="33"/>
        <v>0</v>
      </c>
      <c r="H94" s="384">
        <f t="shared" si="33"/>
        <v>0</v>
      </c>
      <c r="I94" s="384">
        <f t="shared" si="33"/>
        <v>0</v>
      </c>
      <c r="J94" s="384">
        <f t="shared" si="33"/>
        <v>0</v>
      </c>
      <c r="K94" s="384">
        <f t="shared" si="33"/>
        <v>0</v>
      </c>
      <c r="L94" s="384">
        <f t="shared" si="33"/>
        <v>0</v>
      </c>
      <c r="M94" s="384">
        <f t="shared" si="33"/>
        <v>0</v>
      </c>
      <c r="N94" s="384">
        <f t="shared" si="33"/>
        <v>0</v>
      </c>
      <c r="O94" s="384">
        <f t="shared" si="33"/>
        <v>0</v>
      </c>
      <c r="P94" s="384">
        <f t="shared" si="33"/>
        <v>0</v>
      </c>
      <c r="Q94" s="384">
        <f t="shared" si="33"/>
        <v>0</v>
      </c>
      <c r="R94" s="384">
        <f t="shared" si="33"/>
        <v>0</v>
      </c>
      <c r="S94" s="384">
        <f t="shared" si="33"/>
        <v>0</v>
      </c>
      <c r="T94" s="384">
        <f t="shared" si="33"/>
        <v>0</v>
      </c>
      <c r="U94" s="384">
        <f t="shared" si="33"/>
        <v>0</v>
      </c>
      <c r="V94" s="384">
        <f t="shared" si="33"/>
        <v>0</v>
      </c>
      <c r="W94" s="384">
        <f t="shared" si="33"/>
        <v>0</v>
      </c>
      <c r="X94" s="384">
        <f t="shared" si="33"/>
        <v>0</v>
      </c>
      <c r="Y94" s="384">
        <f t="shared" si="33"/>
        <v>0</v>
      </c>
      <c r="Z94" s="384">
        <f t="shared" si="33"/>
        <v>0</v>
      </c>
      <c r="AA94" s="384">
        <f t="shared" si="33"/>
        <v>0</v>
      </c>
      <c r="AB94" s="408">
        <f t="shared" si="33"/>
        <v>0</v>
      </c>
    </row>
    <row r="95" spans="1:28" ht="15.75" outlineLevel="1" thickBot="1">
      <c r="A95" s="347"/>
      <c r="B95" s="398"/>
      <c r="C95" s="384">
        <f t="shared" si="33"/>
        <v>0</v>
      </c>
      <c r="D95" s="384">
        <f t="shared" si="33"/>
        <v>0</v>
      </c>
      <c r="E95" s="384">
        <f t="shared" si="33"/>
        <v>0</v>
      </c>
      <c r="F95" s="384">
        <f t="shared" si="33"/>
        <v>0</v>
      </c>
      <c r="G95" s="384">
        <f t="shared" si="33"/>
        <v>0</v>
      </c>
      <c r="H95" s="384">
        <f t="shared" si="33"/>
        <v>0</v>
      </c>
      <c r="I95" s="384">
        <f t="shared" si="33"/>
        <v>0</v>
      </c>
      <c r="J95" s="384">
        <f t="shared" si="33"/>
        <v>0</v>
      </c>
      <c r="K95" s="384">
        <f t="shared" si="33"/>
        <v>0</v>
      </c>
      <c r="L95" s="384">
        <f t="shared" si="33"/>
        <v>0</v>
      </c>
      <c r="M95" s="384">
        <f t="shared" si="33"/>
        <v>0</v>
      </c>
      <c r="N95" s="384">
        <f t="shared" si="33"/>
        <v>0</v>
      </c>
      <c r="O95" s="384">
        <f t="shared" si="33"/>
        <v>0</v>
      </c>
      <c r="P95" s="384">
        <f t="shared" si="33"/>
        <v>0</v>
      </c>
      <c r="Q95" s="384">
        <f t="shared" si="33"/>
        <v>0</v>
      </c>
      <c r="R95" s="384">
        <f t="shared" si="33"/>
        <v>0</v>
      </c>
      <c r="S95" s="384">
        <f t="shared" si="33"/>
        <v>0</v>
      </c>
      <c r="T95" s="384">
        <f t="shared" si="33"/>
        <v>0</v>
      </c>
      <c r="U95" s="384">
        <f t="shared" si="33"/>
        <v>0</v>
      </c>
      <c r="V95" s="384">
        <f t="shared" si="33"/>
        <v>0</v>
      </c>
      <c r="W95" s="384">
        <f t="shared" si="33"/>
        <v>0</v>
      </c>
      <c r="X95" s="384">
        <f>+X75</f>
        <v>0</v>
      </c>
      <c r="Y95" s="384">
        <f>+Y75</f>
        <v>0</v>
      </c>
      <c r="Z95" s="384">
        <f>+Z75</f>
        <v>0</v>
      </c>
      <c r="AA95" s="384">
        <f>+AA75</f>
        <v>0</v>
      </c>
      <c r="AB95" s="408">
        <f>+AB75</f>
        <v>0</v>
      </c>
    </row>
    <row r="96" spans="1:28" s="401" customFormat="1" ht="15.75" outlineLevel="1">
      <c r="B96" s="402" t="s">
        <v>260</v>
      </c>
      <c r="C96" s="403" t="e">
        <f>+C82+C94</f>
        <v>#N/A</v>
      </c>
      <c r="D96" s="403" t="e">
        <f t="shared" ref="D96:AB96" si="34">D82+D85+D87+D88+D89+D91+D92+D94</f>
        <v>#N/A</v>
      </c>
      <c r="E96" s="403" t="e">
        <f t="shared" si="34"/>
        <v>#N/A</v>
      </c>
      <c r="F96" s="403" t="e">
        <f t="shared" si="34"/>
        <v>#N/A</v>
      </c>
      <c r="G96" s="403" t="e">
        <f t="shared" si="34"/>
        <v>#N/A</v>
      </c>
      <c r="H96" s="403" t="e">
        <f t="shared" si="34"/>
        <v>#N/A</v>
      </c>
      <c r="I96" s="403" t="e">
        <f t="shared" si="34"/>
        <v>#N/A</v>
      </c>
      <c r="J96" s="403" t="e">
        <f t="shared" si="34"/>
        <v>#N/A</v>
      </c>
      <c r="K96" s="403" t="e">
        <f t="shared" si="34"/>
        <v>#N/A</v>
      </c>
      <c r="L96" s="403" t="e">
        <f t="shared" si="34"/>
        <v>#N/A</v>
      </c>
      <c r="M96" s="403" t="e">
        <f t="shared" si="34"/>
        <v>#N/A</v>
      </c>
      <c r="N96" s="403" t="e">
        <f t="shared" si="34"/>
        <v>#N/A</v>
      </c>
      <c r="O96" s="403" t="e">
        <f t="shared" si="34"/>
        <v>#N/A</v>
      </c>
      <c r="P96" s="403" t="e">
        <f t="shared" si="34"/>
        <v>#N/A</v>
      </c>
      <c r="Q96" s="403" t="e">
        <f t="shared" si="34"/>
        <v>#N/A</v>
      </c>
      <c r="R96" s="403" t="e">
        <f t="shared" si="34"/>
        <v>#N/A</v>
      </c>
      <c r="S96" s="403" t="e">
        <f t="shared" si="34"/>
        <v>#N/A</v>
      </c>
      <c r="T96" s="403" t="e">
        <f t="shared" si="34"/>
        <v>#N/A</v>
      </c>
      <c r="U96" s="403" t="e">
        <f t="shared" si="34"/>
        <v>#N/A</v>
      </c>
      <c r="V96" s="403" t="e">
        <f t="shared" si="34"/>
        <v>#N/A</v>
      </c>
      <c r="W96" s="403" t="e">
        <f t="shared" si="34"/>
        <v>#N/A</v>
      </c>
      <c r="X96" s="403" t="e">
        <f t="shared" si="34"/>
        <v>#N/A</v>
      </c>
      <c r="Y96" s="403" t="e">
        <f t="shared" si="34"/>
        <v>#N/A</v>
      </c>
      <c r="Z96" s="403" t="e">
        <f t="shared" si="34"/>
        <v>#N/A</v>
      </c>
      <c r="AA96" s="403" t="e">
        <f t="shared" si="34"/>
        <v>#N/A</v>
      </c>
      <c r="AB96" s="404" t="e">
        <f t="shared" si="34"/>
        <v>#N/A</v>
      </c>
    </row>
    <row r="97" spans="1:28" ht="16.5" outlineLevel="1" thickBot="1">
      <c r="B97" s="405" t="s">
        <v>261</v>
      </c>
      <c r="C97" s="406" t="e">
        <f>C96</f>
        <v>#N/A</v>
      </c>
      <c r="D97" s="406" t="e">
        <f>C97+D96</f>
        <v>#N/A</v>
      </c>
      <c r="E97" s="406" t="e">
        <f t="shared" ref="E97:AB97" si="35">D97+E96</f>
        <v>#N/A</v>
      </c>
      <c r="F97" s="406" t="e">
        <f t="shared" si="35"/>
        <v>#N/A</v>
      </c>
      <c r="G97" s="406" t="e">
        <f t="shared" si="35"/>
        <v>#N/A</v>
      </c>
      <c r="H97" s="406" t="e">
        <f t="shared" si="35"/>
        <v>#N/A</v>
      </c>
      <c r="I97" s="406" t="e">
        <f t="shared" si="35"/>
        <v>#N/A</v>
      </c>
      <c r="J97" s="406" t="e">
        <f t="shared" si="35"/>
        <v>#N/A</v>
      </c>
      <c r="K97" s="406" t="e">
        <f t="shared" si="35"/>
        <v>#N/A</v>
      </c>
      <c r="L97" s="406" t="e">
        <f t="shared" si="35"/>
        <v>#N/A</v>
      </c>
      <c r="M97" s="406" t="e">
        <f t="shared" si="35"/>
        <v>#N/A</v>
      </c>
      <c r="N97" s="406" t="e">
        <f t="shared" si="35"/>
        <v>#N/A</v>
      </c>
      <c r="O97" s="406" t="e">
        <f t="shared" si="35"/>
        <v>#N/A</v>
      </c>
      <c r="P97" s="406" t="e">
        <f t="shared" si="35"/>
        <v>#N/A</v>
      </c>
      <c r="Q97" s="406" t="e">
        <f t="shared" si="35"/>
        <v>#N/A</v>
      </c>
      <c r="R97" s="406" t="e">
        <f t="shared" si="35"/>
        <v>#N/A</v>
      </c>
      <c r="S97" s="406" t="e">
        <f t="shared" si="35"/>
        <v>#N/A</v>
      </c>
      <c r="T97" s="406" t="e">
        <f t="shared" si="35"/>
        <v>#N/A</v>
      </c>
      <c r="U97" s="406" t="e">
        <f t="shared" si="35"/>
        <v>#N/A</v>
      </c>
      <c r="V97" s="406" t="e">
        <f t="shared" si="35"/>
        <v>#N/A</v>
      </c>
      <c r="W97" s="406" t="e">
        <f t="shared" si="35"/>
        <v>#N/A</v>
      </c>
      <c r="X97" s="406" t="e">
        <f t="shared" si="35"/>
        <v>#N/A</v>
      </c>
      <c r="Y97" s="406" t="e">
        <f t="shared" si="35"/>
        <v>#N/A</v>
      </c>
      <c r="Z97" s="406" t="e">
        <f t="shared" si="35"/>
        <v>#N/A</v>
      </c>
      <c r="AA97" s="406" t="e">
        <f t="shared" si="35"/>
        <v>#N/A</v>
      </c>
      <c r="AB97" s="407" t="e">
        <f t="shared" si="35"/>
        <v>#N/A</v>
      </c>
    </row>
    <row r="98" spans="1:28" ht="16.5" outlineLevel="1" thickBot="1">
      <c r="B98" s="1165"/>
      <c r="C98" s="1166"/>
      <c r="D98" s="1166"/>
      <c r="E98" s="1166"/>
      <c r="F98" s="1166"/>
      <c r="G98" s="1166"/>
      <c r="H98" s="1166"/>
      <c r="I98" s="1166"/>
      <c r="J98" s="1166"/>
      <c r="K98" s="1166"/>
      <c r="L98" s="1166"/>
      <c r="M98" s="1166"/>
      <c r="N98" s="1166"/>
      <c r="O98" s="1166"/>
      <c r="P98" s="1166"/>
      <c r="Q98" s="1166"/>
      <c r="R98" s="1166"/>
      <c r="S98" s="1166"/>
      <c r="T98" s="1166"/>
      <c r="U98" s="1166"/>
      <c r="V98" s="1166"/>
      <c r="W98" s="1166"/>
      <c r="X98" s="1166"/>
      <c r="Y98" s="1166"/>
      <c r="Z98" s="1166"/>
      <c r="AA98" s="1166"/>
      <c r="AB98" s="1166"/>
    </row>
    <row r="99" spans="1:28" ht="15.75" thickBot="1">
      <c r="B99" s="374" t="s">
        <v>4483</v>
      </c>
    </row>
    <row r="100" spans="1:28" outlineLevel="1">
      <c r="B100" s="375"/>
      <c r="C100" s="376" t="s">
        <v>227</v>
      </c>
      <c r="D100" s="376" t="s">
        <v>228</v>
      </c>
      <c r="E100" s="376" t="s">
        <v>229</v>
      </c>
      <c r="F100" s="376" t="s">
        <v>230</v>
      </c>
      <c r="G100" s="376" t="s">
        <v>231</v>
      </c>
      <c r="H100" s="376" t="s">
        <v>232</v>
      </c>
      <c r="I100" s="376" t="s">
        <v>233</v>
      </c>
      <c r="J100" s="376" t="s">
        <v>234</v>
      </c>
      <c r="K100" s="377" t="s">
        <v>235</v>
      </c>
      <c r="L100" s="377" t="s">
        <v>236</v>
      </c>
      <c r="M100" s="377" t="s">
        <v>237</v>
      </c>
      <c r="N100" s="377" t="s">
        <v>238</v>
      </c>
      <c r="O100" s="377" t="s">
        <v>239</v>
      </c>
      <c r="P100" s="377" t="s">
        <v>240</v>
      </c>
      <c r="Q100" s="377" t="s">
        <v>241</v>
      </c>
      <c r="R100" s="377" t="s">
        <v>242</v>
      </c>
      <c r="S100" s="377" t="s">
        <v>243</v>
      </c>
      <c r="T100" s="377" t="s">
        <v>244</v>
      </c>
      <c r="U100" s="377" t="s">
        <v>245</v>
      </c>
      <c r="V100" s="377" t="s">
        <v>246</v>
      </c>
      <c r="W100" s="377" t="s">
        <v>247</v>
      </c>
      <c r="X100" s="377" t="s">
        <v>248</v>
      </c>
      <c r="Y100" s="377" t="s">
        <v>249</v>
      </c>
      <c r="Z100" s="377" t="s">
        <v>250</v>
      </c>
      <c r="AA100" s="377" t="s">
        <v>251</v>
      </c>
      <c r="AB100" s="378" t="s">
        <v>252</v>
      </c>
    </row>
    <row r="101" spans="1:28" s="347" customFormat="1" ht="15.75" outlineLevel="1" thickBot="1">
      <c r="B101" s="379"/>
      <c r="C101" s="380">
        <v>0</v>
      </c>
      <c r="D101" s="380">
        <v>1</v>
      </c>
      <c r="E101" s="380">
        <v>2</v>
      </c>
      <c r="F101" s="380">
        <v>3</v>
      </c>
      <c r="G101" s="380">
        <v>4</v>
      </c>
      <c r="H101" s="380">
        <v>5</v>
      </c>
      <c r="I101" s="380">
        <v>6</v>
      </c>
      <c r="J101" s="380">
        <v>7</v>
      </c>
      <c r="K101" s="381">
        <v>8</v>
      </c>
      <c r="L101" s="381">
        <v>9</v>
      </c>
      <c r="M101" s="381">
        <v>10</v>
      </c>
      <c r="N101" s="381">
        <v>11</v>
      </c>
      <c r="O101" s="381">
        <v>12</v>
      </c>
      <c r="P101" s="381">
        <v>13</v>
      </c>
      <c r="Q101" s="381">
        <v>14</v>
      </c>
      <c r="R101" s="381">
        <v>15</v>
      </c>
      <c r="S101" s="381">
        <v>16</v>
      </c>
      <c r="T101" s="381">
        <v>17</v>
      </c>
      <c r="U101" s="381">
        <v>18</v>
      </c>
      <c r="V101" s="381">
        <v>19</v>
      </c>
      <c r="W101" s="381">
        <v>20</v>
      </c>
      <c r="X101" s="381">
        <v>21</v>
      </c>
      <c r="Y101" s="381">
        <v>22</v>
      </c>
      <c r="Z101" s="381">
        <v>23</v>
      </c>
      <c r="AA101" s="381">
        <v>24</v>
      </c>
      <c r="AB101" s="382">
        <v>25</v>
      </c>
    </row>
    <row r="102" spans="1:28" outlineLevel="1">
      <c r="A102" s="347" t="s">
        <v>253</v>
      </c>
      <c r="B102" s="383" t="s">
        <v>254</v>
      </c>
      <c r="C102" s="384" t="e">
        <f>+C82</f>
        <v>#N/A</v>
      </c>
      <c r="D102" s="384">
        <f t="shared" ref="D102:AB102" si="36">+D82</f>
        <v>0</v>
      </c>
      <c r="E102" s="384">
        <f t="shared" si="36"/>
        <v>0</v>
      </c>
      <c r="F102" s="384">
        <f t="shared" si="36"/>
        <v>0</v>
      </c>
      <c r="G102" s="384">
        <f t="shared" si="36"/>
        <v>0</v>
      </c>
      <c r="H102" s="384">
        <f t="shared" si="36"/>
        <v>0</v>
      </c>
      <c r="I102" s="384">
        <f t="shared" si="36"/>
        <v>0</v>
      </c>
      <c r="J102" s="384">
        <f t="shared" si="36"/>
        <v>0</v>
      </c>
      <c r="K102" s="384">
        <f t="shared" si="36"/>
        <v>0</v>
      </c>
      <c r="L102" s="384">
        <f t="shared" si="36"/>
        <v>0</v>
      </c>
      <c r="M102" s="384">
        <f t="shared" si="36"/>
        <v>0</v>
      </c>
      <c r="N102" s="384">
        <f t="shared" si="36"/>
        <v>0</v>
      </c>
      <c r="O102" s="384">
        <f t="shared" si="36"/>
        <v>0</v>
      </c>
      <c r="P102" s="384">
        <f t="shared" si="36"/>
        <v>0</v>
      </c>
      <c r="Q102" s="384">
        <f t="shared" si="36"/>
        <v>0</v>
      </c>
      <c r="R102" s="384">
        <f t="shared" si="36"/>
        <v>0</v>
      </c>
      <c r="S102" s="384">
        <f t="shared" si="36"/>
        <v>0</v>
      </c>
      <c r="T102" s="384">
        <f t="shared" si="36"/>
        <v>0</v>
      </c>
      <c r="U102" s="384">
        <f t="shared" si="36"/>
        <v>0</v>
      </c>
      <c r="V102" s="384">
        <f t="shared" si="36"/>
        <v>0</v>
      </c>
      <c r="W102" s="384">
        <f t="shared" si="36"/>
        <v>0</v>
      </c>
      <c r="X102" s="384">
        <f t="shared" si="36"/>
        <v>0</v>
      </c>
      <c r="Y102" s="384">
        <f t="shared" si="36"/>
        <v>0</v>
      </c>
      <c r="Z102" s="384">
        <f t="shared" si="36"/>
        <v>0</v>
      </c>
      <c r="AA102" s="384">
        <f t="shared" si="36"/>
        <v>0</v>
      </c>
      <c r="AB102" s="408">
        <f t="shared" si="36"/>
        <v>0</v>
      </c>
    </row>
    <row r="103" spans="1:28" outlineLevel="1">
      <c r="A103" s="347"/>
      <c r="B103" s="386" t="s">
        <v>255</v>
      </c>
      <c r="C103" s="384">
        <f t="shared" ref="C103:AB103" si="37">+C83</f>
        <v>0</v>
      </c>
      <c r="D103" s="384">
        <f t="shared" si="37"/>
        <v>10190.777236093543</v>
      </c>
      <c r="E103" s="384">
        <f t="shared" si="37"/>
        <v>10134.72796129503</v>
      </c>
      <c r="F103" s="384">
        <f t="shared" si="37"/>
        <v>10078.986957507906</v>
      </c>
      <c r="G103" s="384">
        <f t="shared" si="37"/>
        <v>10023.552529241613</v>
      </c>
      <c r="H103" s="384">
        <f t="shared" si="37"/>
        <v>9968.4229903307842</v>
      </c>
      <c r="I103" s="384">
        <f t="shared" si="37"/>
        <v>9913.5966638839654</v>
      </c>
      <c r="J103" s="384">
        <f t="shared" si="37"/>
        <v>9859.0718822326035</v>
      </c>
      <c r="K103" s="384">
        <f t="shared" si="37"/>
        <v>9804.846986880324</v>
      </c>
      <c r="L103" s="384">
        <f t="shared" si="37"/>
        <v>9750.9203284524829</v>
      </c>
      <c r="M103" s="384">
        <f t="shared" si="37"/>
        <v>9697.2902666459941</v>
      </c>
      <c r="N103" s="384">
        <f t="shared" si="37"/>
        <v>9643.9551701794408</v>
      </c>
      <c r="O103" s="384">
        <f t="shared" si="37"/>
        <v>9590.9134167434531</v>
      </c>
      <c r="P103" s="384">
        <f t="shared" si="37"/>
        <v>9538.1633929513646</v>
      </c>
      <c r="Q103" s="384">
        <f t="shared" si="37"/>
        <v>9485.7034942901319</v>
      </c>
      <c r="R103" s="384">
        <f t="shared" si="37"/>
        <v>9433.5321250715369</v>
      </c>
      <c r="S103" s="384">
        <f t="shared" si="37"/>
        <v>9381.6476983836437</v>
      </c>
      <c r="T103" s="384">
        <f t="shared" si="37"/>
        <v>9330.048636042533</v>
      </c>
      <c r="U103" s="384">
        <f t="shared" si="37"/>
        <v>9278.7333685442991</v>
      </c>
      <c r="V103" s="384">
        <f t="shared" si="37"/>
        <v>9227.7003350173054</v>
      </c>
      <c r="W103" s="384">
        <f t="shared" si="37"/>
        <v>9176.9479831747103</v>
      </c>
      <c r="X103" s="384">
        <f t="shared" si="37"/>
        <v>9126.4747692672499</v>
      </c>
      <c r="Y103" s="384">
        <f t="shared" si="37"/>
        <v>9076.2791580362809</v>
      </c>
      <c r="Z103" s="384">
        <f t="shared" si="37"/>
        <v>9026.3596226670816</v>
      </c>
      <c r="AA103" s="384">
        <f t="shared" si="37"/>
        <v>8976.7146447424129</v>
      </c>
      <c r="AB103" s="408">
        <f t="shared" si="37"/>
        <v>8927.3427141963293</v>
      </c>
    </row>
    <row r="104" spans="1:28" outlineLevel="1">
      <c r="A104" s="347"/>
      <c r="B104" s="386" t="s">
        <v>1428</v>
      </c>
      <c r="C104" s="384">
        <f>+C84</f>
        <v>0</v>
      </c>
      <c r="D104" s="384">
        <f>+G130</f>
        <v>384.19785245115725</v>
      </c>
      <c r="E104" s="384">
        <f>D104+D104*$D$20</f>
        <v>398.41317299185005</v>
      </c>
      <c r="F104" s="384">
        <f t="shared" ref="F104" si="38">E104+E104*$D$20</f>
        <v>413.15446039254851</v>
      </c>
      <c r="G104" s="384">
        <f t="shared" ref="G104" si="39">F104+F104*$D$20</f>
        <v>428.44117542707284</v>
      </c>
      <c r="H104" s="384">
        <f t="shared" ref="H104" si="40">G104+G104*$D$20</f>
        <v>444.29349891787456</v>
      </c>
      <c r="I104" s="384">
        <f t="shared" ref="I104" si="41">H104+H104*$D$20</f>
        <v>460.73235837783591</v>
      </c>
      <c r="J104" s="384">
        <f t="shared" ref="J104" si="42">I104+I104*$D$20</f>
        <v>477.77945563781583</v>
      </c>
      <c r="K104" s="384">
        <f t="shared" ref="K104" si="43">J104+J104*$D$20</f>
        <v>495.45729549641499</v>
      </c>
      <c r="L104" s="384">
        <f t="shared" ref="L104" si="44">K104+K104*$D$20</f>
        <v>513.7892154297823</v>
      </c>
      <c r="M104" s="384">
        <f t="shared" ref="M104" si="45">L104+L104*$D$20</f>
        <v>532.79941640068421</v>
      </c>
      <c r="N104" s="384">
        <f t="shared" ref="N104" si="46">M104+M104*$D$20</f>
        <v>552.51299480750947</v>
      </c>
      <c r="O104" s="384">
        <f t="shared" ref="O104" si="47">N104+N104*$D$20</f>
        <v>572.95597561538727</v>
      </c>
      <c r="P104" s="384">
        <f t="shared" ref="P104" si="48">O104+O104*$D$20</f>
        <v>594.15534671315663</v>
      </c>
      <c r="Q104" s="384">
        <f t="shared" ref="Q104" si="49">P104+P104*$D$20</f>
        <v>616.13909454154339</v>
      </c>
      <c r="R104" s="384">
        <f t="shared" ref="R104" si="50">Q104+Q104*$D$20</f>
        <v>638.93624103958052</v>
      </c>
      <c r="S104" s="384">
        <f t="shared" ref="S104" si="51">R104+R104*$D$20</f>
        <v>662.57688195804496</v>
      </c>
      <c r="T104" s="384">
        <f t="shared" ref="T104" si="52">S104+S104*$D$20</f>
        <v>687.0922265904926</v>
      </c>
      <c r="U104" s="384">
        <f t="shared" ref="U104" si="53">T104+T104*$D$20</f>
        <v>712.51463897434087</v>
      </c>
      <c r="V104" s="384">
        <f t="shared" ref="V104" si="54">U104+U104*$D$20</f>
        <v>738.87768061639144</v>
      </c>
      <c r="W104" s="384">
        <f t="shared" ref="W104" si="55">V104+V104*$D$20</f>
        <v>766.21615479919797</v>
      </c>
      <c r="X104" s="384">
        <f t="shared" ref="X104" si="56">W104+W104*$D$20</f>
        <v>794.56615252676829</v>
      </c>
      <c r="Y104" s="384">
        <f t="shared" ref="Y104" si="57">X104+X104*$D$20</f>
        <v>823.96510017025867</v>
      </c>
      <c r="Z104" s="384">
        <f t="shared" ref="Z104" si="58">Y104+Y104*$D$20</f>
        <v>854.45180887655829</v>
      </c>
      <c r="AA104" s="384">
        <f t="shared" ref="AA104" si="59">Z104+Z104*$D$20</f>
        <v>886.06652580499099</v>
      </c>
      <c r="AB104" s="384">
        <f t="shared" ref="AB104" si="60">AA104+AA104*$D$20</f>
        <v>918.85098725977559</v>
      </c>
    </row>
    <row r="105" spans="1:28" outlineLevel="1">
      <c r="A105" s="347" t="s">
        <v>256</v>
      </c>
      <c r="B105" s="390" t="s">
        <v>257</v>
      </c>
      <c r="C105" s="384">
        <f>+C85</f>
        <v>0</v>
      </c>
      <c r="D105" s="384">
        <f>+D104*D103</f>
        <v>3915274.7289152793</v>
      </c>
      <c r="E105" s="384">
        <f t="shared" ref="E105:AB105" si="61">+E104*E103</f>
        <v>4037809.1244687764</v>
      </c>
      <c r="F105" s="384">
        <f t="shared" si="61"/>
        <v>4164178.4177327133</v>
      </c>
      <c r="G105" s="384">
        <f t="shared" si="61"/>
        <v>4294502.6275832858</v>
      </c>
      <c r="H105" s="384">
        <f t="shared" si="61"/>
        <v>4428905.5290674465</v>
      </c>
      <c r="I105" s="384">
        <f t="shared" si="61"/>
        <v>4567514.7709579058</v>
      </c>
      <c r="J105" s="384">
        <f t="shared" si="61"/>
        <v>4710461.9969871892</v>
      </c>
      <c r="K105" s="384">
        <f t="shared" si="61"/>
        <v>4857882.9708758984</v>
      </c>
      <c r="L105" s="384">
        <f t="shared" si="61"/>
        <v>5009917.705273916</v>
      </c>
      <c r="M105" s="384">
        <f t="shared" si="61"/>
        <v>5166710.5947370213</v>
      </c>
      <c r="N105" s="384">
        <f t="shared" si="61"/>
        <v>5328410.5528652072</v>
      </c>
      <c r="O105" s="384">
        <f t="shared" si="61"/>
        <v>5495171.1537329527</v>
      </c>
      <c r="P105" s="384">
        <f t="shared" si="61"/>
        <v>5667150.7777457563</v>
      </c>
      <c r="Q105" s="384">
        <f t="shared" si="61"/>
        <v>5844512.7620614758</v>
      </c>
      <c r="R105" s="384">
        <f t="shared" si="61"/>
        <v>6027425.5557193337</v>
      </c>
      <c r="S105" s="384">
        <f t="shared" si="61"/>
        <v>6216062.8796239039</v>
      </c>
      <c r="T105" s="384">
        <f t="shared" si="61"/>
        <v>6410603.8915360523</v>
      </c>
      <c r="U105" s="384">
        <f t="shared" si="61"/>
        <v>6611233.3562275106</v>
      </c>
      <c r="V105" s="384">
        <f t="shared" si="61"/>
        <v>6818141.8209606847</v>
      </c>
      <c r="W105" s="384">
        <f t="shared" si="61"/>
        <v>7031525.7964603817</v>
      </c>
      <c r="X105" s="384">
        <f t="shared" si="61"/>
        <v>7251587.9435493043</v>
      </c>
      <c r="Y105" s="384">
        <f t="shared" si="61"/>
        <v>7478537.2656245949</v>
      </c>
      <c r="Z105" s="384">
        <f t="shared" si="61"/>
        <v>7712589.3071582159</v>
      </c>
      <c r="AA105" s="384">
        <f t="shared" si="61"/>
        <v>7953966.3584096935</v>
      </c>
      <c r="AB105" s="384">
        <f t="shared" si="61"/>
        <v>8202897.6665456621</v>
      </c>
    </row>
    <row r="106" spans="1:28" outlineLevel="1">
      <c r="A106" s="347"/>
      <c r="B106" s="392"/>
      <c r="C106" s="384">
        <f t="shared" ref="C106:AB115" si="62">+C86</f>
        <v>0</v>
      </c>
      <c r="D106" s="384">
        <f>D105/12</f>
        <v>326272.89407627325</v>
      </c>
      <c r="E106" s="384">
        <f t="shared" si="62"/>
        <v>0</v>
      </c>
      <c r="F106" s="384">
        <f t="shared" si="62"/>
        <v>0</v>
      </c>
      <c r="G106" s="384">
        <f t="shared" si="62"/>
        <v>0</v>
      </c>
      <c r="H106" s="384">
        <f t="shared" si="62"/>
        <v>0</v>
      </c>
      <c r="I106" s="384">
        <f t="shared" si="62"/>
        <v>0</v>
      </c>
      <c r="J106" s="384">
        <f t="shared" si="62"/>
        <v>0</v>
      </c>
      <c r="K106" s="384">
        <f t="shared" si="62"/>
        <v>0</v>
      </c>
      <c r="L106" s="384">
        <f t="shared" si="62"/>
        <v>0</v>
      </c>
      <c r="M106" s="384">
        <f t="shared" si="62"/>
        <v>0</v>
      </c>
      <c r="N106" s="384">
        <f t="shared" si="62"/>
        <v>0</v>
      </c>
      <c r="O106" s="384">
        <f t="shared" si="62"/>
        <v>0</v>
      </c>
      <c r="P106" s="384">
        <f t="shared" si="62"/>
        <v>0</v>
      </c>
      <c r="Q106" s="384">
        <f t="shared" si="62"/>
        <v>0</v>
      </c>
      <c r="R106" s="384">
        <f t="shared" si="62"/>
        <v>0</v>
      </c>
      <c r="S106" s="384">
        <f t="shared" si="62"/>
        <v>0</v>
      </c>
      <c r="T106" s="384">
        <f t="shared" si="62"/>
        <v>0</v>
      </c>
      <c r="U106" s="384">
        <f t="shared" si="62"/>
        <v>0</v>
      </c>
      <c r="V106" s="384">
        <f t="shared" si="62"/>
        <v>0</v>
      </c>
      <c r="W106" s="384">
        <f t="shared" si="62"/>
        <v>0</v>
      </c>
      <c r="X106" s="384">
        <f t="shared" si="62"/>
        <v>0</v>
      </c>
      <c r="Y106" s="384">
        <f t="shared" si="62"/>
        <v>0</v>
      </c>
      <c r="Z106" s="384">
        <f t="shared" si="62"/>
        <v>0</v>
      </c>
      <c r="AA106" s="384">
        <f t="shared" si="62"/>
        <v>0</v>
      </c>
      <c r="AB106" s="408">
        <f t="shared" si="62"/>
        <v>0</v>
      </c>
    </row>
    <row r="107" spans="1:28" outlineLevel="1">
      <c r="A107" s="347" t="s">
        <v>253</v>
      </c>
      <c r="B107" s="390" t="s">
        <v>258</v>
      </c>
      <c r="C107" s="384">
        <f t="shared" si="62"/>
        <v>0</v>
      </c>
      <c r="D107" s="384">
        <f t="shared" si="62"/>
        <v>0</v>
      </c>
      <c r="E107" s="384" t="e">
        <f t="shared" si="62"/>
        <v>#N/A</v>
      </c>
      <c r="F107" s="384" t="e">
        <f t="shared" si="62"/>
        <v>#N/A</v>
      </c>
      <c r="G107" s="384" t="e">
        <f t="shared" si="62"/>
        <v>#N/A</v>
      </c>
      <c r="H107" s="384" t="e">
        <f t="shared" si="62"/>
        <v>#N/A</v>
      </c>
      <c r="I107" s="384" t="e">
        <f t="shared" si="62"/>
        <v>#N/A</v>
      </c>
      <c r="J107" s="384" t="e">
        <f t="shared" si="62"/>
        <v>#N/A</v>
      </c>
      <c r="K107" s="384" t="e">
        <f t="shared" si="62"/>
        <v>#N/A</v>
      </c>
      <c r="L107" s="384" t="e">
        <f t="shared" si="62"/>
        <v>#N/A</v>
      </c>
      <c r="M107" s="384" t="e">
        <f t="shared" si="62"/>
        <v>#N/A</v>
      </c>
      <c r="N107" s="384" t="e">
        <f t="shared" si="62"/>
        <v>#N/A</v>
      </c>
      <c r="O107" s="384" t="e">
        <f t="shared" si="62"/>
        <v>#N/A</v>
      </c>
      <c r="P107" s="384" t="e">
        <f t="shared" si="62"/>
        <v>#N/A</v>
      </c>
      <c r="Q107" s="384" t="e">
        <f t="shared" si="62"/>
        <v>#N/A</v>
      </c>
      <c r="R107" s="384" t="e">
        <f t="shared" si="62"/>
        <v>#N/A</v>
      </c>
      <c r="S107" s="384" t="e">
        <f t="shared" si="62"/>
        <v>#N/A</v>
      </c>
      <c r="T107" s="384" t="e">
        <f t="shared" si="62"/>
        <v>#N/A</v>
      </c>
      <c r="U107" s="384" t="e">
        <f t="shared" si="62"/>
        <v>#N/A</v>
      </c>
      <c r="V107" s="384" t="e">
        <f t="shared" si="62"/>
        <v>#N/A</v>
      </c>
      <c r="W107" s="384" t="e">
        <f t="shared" si="62"/>
        <v>#N/A</v>
      </c>
      <c r="X107" s="384" t="e">
        <f t="shared" si="62"/>
        <v>#N/A</v>
      </c>
      <c r="Y107" s="384" t="e">
        <f t="shared" si="62"/>
        <v>#N/A</v>
      </c>
      <c r="Z107" s="384" t="e">
        <f t="shared" si="62"/>
        <v>#N/A</v>
      </c>
      <c r="AA107" s="384" t="e">
        <f t="shared" si="62"/>
        <v>#N/A</v>
      </c>
      <c r="AB107" s="408" t="e">
        <f t="shared" si="62"/>
        <v>#N/A</v>
      </c>
    </row>
    <row r="108" spans="1:28" outlineLevel="1">
      <c r="A108" s="347" t="s">
        <v>253</v>
      </c>
      <c r="B108" s="393" t="s">
        <v>221</v>
      </c>
      <c r="C108" s="384">
        <f t="shared" si="62"/>
        <v>0</v>
      </c>
      <c r="D108" s="384">
        <f t="shared" si="62"/>
        <v>-1.4999999999999999E-2</v>
      </c>
      <c r="E108" s="384">
        <f t="shared" si="62"/>
        <v>-1.5554999999999999E-2</v>
      </c>
      <c r="F108" s="384">
        <f t="shared" si="62"/>
        <v>-1.6130534999999998E-2</v>
      </c>
      <c r="G108" s="384">
        <f t="shared" si="62"/>
        <v>-1.6727364794999998E-2</v>
      </c>
      <c r="H108" s="384">
        <f t="shared" si="62"/>
        <v>-1.7346277292414999E-2</v>
      </c>
      <c r="I108" s="384">
        <f t="shared" si="62"/>
        <v>-1.7988089552234354E-2</v>
      </c>
      <c r="J108" s="384">
        <f t="shared" si="62"/>
        <v>-1.8653648865667026E-2</v>
      </c>
      <c r="K108" s="384">
        <f t="shared" si="62"/>
        <v>-1.9343833873696707E-2</v>
      </c>
      <c r="L108" s="384">
        <f t="shared" si="62"/>
        <v>-2.0059555727023483E-2</v>
      </c>
      <c r="M108" s="384">
        <f t="shared" si="62"/>
        <v>-2.080175928892335E-2</v>
      </c>
      <c r="N108" s="384">
        <f t="shared" si="62"/>
        <v>-2.1571424382613513E-2</v>
      </c>
      <c r="O108" s="384">
        <f t="shared" si="62"/>
        <v>-2.2369567084770212E-2</v>
      </c>
      <c r="P108" s="384">
        <f t="shared" si="62"/>
        <v>-2.319724106690671E-2</v>
      </c>
      <c r="Q108" s="384">
        <f t="shared" si="62"/>
        <v>-2.4055538986382258E-2</v>
      </c>
      <c r="R108" s="384">
        <f t="shared" si="62"/>
        <v>-2.4945593928878403E-2</v>
      </c>
      <c r="S108" s="384">
        <f t="shared" si="62"/>
        <v>-2.5868580904246905E-2</v>
      </c>
      <c r="T108" s="384">
        <f t="shared" si="62"/>
        <v>-2.6825718397704042E-2</v>
      </c>
      <c r="U108" s="384">
        <f t="shared" si="62"/>
        <v>-2.7818269978419092E-2</v>
      </c>
      <c r="V108" s="384">
        <f t="shared" si="62"/>
        <v>-2.8847545967620597E-2</v>
      </c>
      <c r="W108" s="384">
        <f t="shared" si="62"/>
        <v>-2.9914905168422559E-2</v>
      </c>
      <c r="X108" s="384">
        <f t="shared" si="62"/>
        <v>-3.1021756659654193E-2</v>
      </c>
      <c r="Y108" s="384">
        <f t="shared" si="62"/>
        <v>-3.2169561656061399E-2</v>
      </c>
      <c r="Z108" s="384">
        <f t="shared" si="62"/>
        <v>-3.3359835437335672E-2</v>
      </c>
      <c r="AA108" s="384">
        <f t="shared" si="62"/>
        <v>-3.4594149348517095E-2</v>
      </c>
      <c r="AB108" s="408">
        <f t="shared" si="62"/>
        <v>-3.5874132874412226E-2</v>
      </c>
    </row>
    <row r="109" spans="1:28" outlineLevel="1">
      <c r="A109" s="347" t="s">
        <v>253</v>
      </c>
      <c r="B109" s="393" t="s">
        <v>259</v>
      </c>
      <c r="C109" s="384">
        <f t="shared" si="62"/>
        <v>0</v>
      </c>
      <c r="D109" s="384">
        <f t="shared" si="62"/>
        <v>0</v>
      </c>
      <c r="E109" s="384">
        <f t="shared" si="62"/>
        <v>0</v>
      </c>
      <c r="F109" s="384">
        <f t="shared" si="62"/>
        <v>0</v>
      </c>
      <c r="G109" s="384">
        <f t="shared" si="62"/>
        <v>0</v>
      </c>
      <c r="H109" s="384">
        <f t="shared" si="62"/>
        <v>0</v>
      </c>
      <c r="I109" s="384">
        <f t="shared" si="62"/>
        <v>0</v>
      </c>
      <c r="J109" s="384">
        <f t="shared" si="62"/>
        <v>0</v>
      </c>
      <c r="K109" s="384">
        <f t="shared" si="62"/>
        <v>0</v>
      </c>
      <c r="L109" s="384">
        <f t="shared" si="62"/>
        <v>0</v>
      </c>
      <c r="M109" s="384">
        <f t="shared" si="62"/>
        <v>0</v>
      </c>
      <c r="N109" s="384">
        <f t="shared" si="62"/>
        <v>0</v>
      </c>
      <c r="O109" s="384">
        <f t="shared" si="62"/>
        <v>0</v>
      </c>
      <c r="P109" s="384">
        <f t="shared" si="62"/>
        <v>0</v>
      </c>
      <c r="Q109" s="384">
        <f t="shared" si="62"/>
        <v>0</v>
      </c>
      <c r="R109" s="384">
        <f t="shared" si="62"/>
        <v>0</v>
      </c>
      <c r="S109" s="384">
        <f t="shared" si="62"/>
        <v>0</v>
      </c>
      <c r="T109" s="384">
        <f t="shared" si="62"/>
        <v>0</v>
      </c>
      <c r="U109" s="384">
        <f t="shared" si="62"/>
        <v>0</v>
      </c>
      <c r="V109" s="384">
        <f t="shared" si="62"/>
        <v>0</v>
      </c>
      <c r="W109" s="384">
        <f t="shared" si="62"/>
        <v>0</v>
      </c>
      <c r="X109" s="384">
        <f t="shared" si="62"/>
        <v>0</v>
      </c>
      <c r="Y109" s="384">
        <f t="shared" si="62"/>
        <v>0</v>
      </c>
      <c r="Z109" s="384">
        <f t="shared" si="62"/>
        <v>0</v>
      </c>
      <c r="AA109" s="384">
        <f t="shared" si="62"/>
        <v>0</v>
      </c>
      <c r="AB109" s="408">
        <f t="shared" si="62"/>
        <v>0</v>
      </c>
    </row>
    <row r="110" spans="1:28" outlineLevel="1">
      <c r="A110" s="347"/>
      <c r="B110" s="392"/>
      <c r="C110" s="384">
        <f t="shared" si="62"/>
        <v>0</v>
      </c>
      <c r="D110" s="384">
        <f t="shared" si="62"/>
        <v>0</v>
      </c>
      <c r="E110" s="384">
        <f t="shared" si="62"/>
        <v>0</v>
      </c>
      <c r="F110" s="384">
        <f t="shared" si="62"/>
        <v>0</v>
      </c>
      <c r="G110" s="384">
        <f t="shared" si="62"/>
        <v>0</v>
      </c>
      <c r="H110" s="384">
        <f t="shared" si="62"/>
        <v>0</v>
      </c>
      <c r="I110" s="384">
        <f t="shared" si="62"/>
        <v>0</v>
      </c>
      <c r="J110" s="384">
        <f t="shared" si="62"/>
        <v>0</v>
      </c>
      <c r="K110" s="384">
        <f t="shared" si="62"/>
        <v>0</v>
      </c>
      <c r="L110" s="384">
        <f t="shared" si="62"/>
        <v>0</v>
      </c>
      <c r="M110" s="384">
        <f t="shared" si="62"/>
        <v>0</v>
      </c>
      <c r="N110" s="384">
        <f t="shared" si="62"/>
        <v>0</v>
      </c>
      <c r="O110" s="384">
        <f t="shared" si="62"/>
        <v>0</v>
      </c>
      <c r="P110" s="384">
        <f t="shared" si="62"/>
        <v>0</v>
      </c>
      <c r="Q110" s="384">
        <f t="shared" si="62"/>
        <v>0</v>
      </c>
      <c r="R110" s="384">
        <f t="shared" si="62"/>
        <v>0</v>
      </c>
      <c r="S110" s="384">
        <f t="shared" si="62"/>
        <v>0</v>
      </c>
      <c r="T110" s="384">
        <f t="shared" si="62"/>
        <v>0</v>
      </c>
      <c r="U110" s="384">
        <f t="shared" si="62"/>
        <v>0</v>
      </c>
      <c r="V110" s="384">
        <f t="shared" si="62"/>
        <v>0</v>
      </c>
      <c r="W110" s="384">
        <f t="shared" si="62"/>
        <v>0</v>
      </c>
      <c r="X110" s="384">
        <f t="shared" si="62"/>
        <v>0</v>
      </c>
      <c r="Y110" s="384">
        <f t="shared" si="62"/>
        <v>0</v>
      </c>
      <c r="Z110" s="384">
        <f t="shared" si="62"/>
        <v>0</v>
      </c>
      <c r="AA110" s="384">
        <f t="shared" si="62"/>
        <v>0</v>
      </c>
      <c r="AB110" s="408">
        <f t="shared" si="62"/>
        <v>0</v>
      </c>
    </row>
    <row r="111" spans="1:28" outlineLevel="1">
      <c r="A111" s="396" t="s">
        <v>256</v>
      </c>
      <c r="B111" s="390" t="s">
        <v>757</v>
      </c>
      <c r="C111" s="384">
        <f t="shared" si="62"/>
        <v>0</v>
      </c>
      <c r="D111" s="384">
        <f t="shared" si="62"/>
        <v>0</v>
      </c>
      <c r="E111" s="384" t="e">
        <f t="shared" si="62"/>
        <v>#N/A</v>
      </c>
      <c r="F111" s="384" t="e">
        <f t="shared" si="62"/>
        <v>#N/A</v>
      </c>
      <c r="G111" s="384" t="e">
        <f t="shared" si="62"/>
        <v>#N/A</v>
      </c>
      <c r="H111" s="384" t="e">
        <f t="shared" si="62"/>
        <v>#N/A</v>
      </c>
      <c r="I111" s="384" t="e">
        <f t="shared" si="62"/>
        <v>#N/A</v>
      </c>
      <c r="J111" s="384">
        <f t="shared" si="62"/>
        <v>0</v>
      </c>
      <c r="K111" s="384">
        <f t="shared" si="62"/>
        <v>0</v>
      </c>
      <c r="L111" s="384">
        <f t="shared" si="62"/>
        <v>0</v>
      </c>
      <c r="M111" s="384">
        <f t="shared" si="62"/>
        <v>0</v>
      </c>
      <c r="N111" s="384">
        <f t="shared" si="62"/>
        <v>0</v>
      </c>
      <c r="O111" s="384">
        <f t="shared" si="62"/>
        <v>0</v>
      </c>
      <c r="P111" s="384">
        <f t="shared" si="62"/>
        <v>0</v>
      </c>
      <c r="Q111" s="384">
        <f t="shared" si="62"/>
        <v>0</v>
      </c>
      <c r="R111" s="384">
        <f t="shared" si="62"/>
        <v>0</v>
      </c>
      <c r="S111" s="384">
        <f t="shared" si="62"/>
        <v>0</v>
      </c>
      <c r="T111" s="384">
        <f t="shared" si="62"/>
        <v>0</v>
      </c>
      <c r="U111" s="384">
        <f t="shared" si="62"/>
        <v>0</v>
      </c>
      <c r="V111" s="384">
        <f t="shared" si="62"/>
        <v>0</v>
      </c>
      <c r="W111" s="384">
        <f t="shared" si="62"/>
        <v>0</v>
      </c>
      <c r="X111" s="384">
        <f t="shared" si="62"/>
        <v>0</v>
      </c>
      <c r="Y111" s="384">
        <f t="shared" si="62"/>
        <v>0</v>
      </c>
      <c r="Z111" s="384">
        <f t="shared" si="62"/>
        <v>0</v>
      </c>
      <c r="AA111" s="384">
        <f t="shared" si="62"/>
        <v>0</v>
      </c>
      <c r="AB111" s="408">
        <f t="shared" si="62"/>
        <v>0</v>
      </c>
    </row>
    <row r="112" spans="1:28" outlineLevel="1">
      <c r="A112" s="396" t="s">
        <v>256</v>
      </c>
      <c r="B112" s="390" t="s">
        <v>758</v>
      </c>
      <c r="C112" s="384">
        <f t="shared" si="62"/>
        <v>0</v>
      </c>
      <c r="D112" s="384" t="e">
        <f t="shared" si="62"/>
        <v>#N/A</v>
      </c>
      <c r="E112" s="384" t="e">
        <f t="shared" si="62"/>
        <v>#N/A</v>
      </c>
      <c r="F112" s="384" t="e">
        <f t="shared" si="62"/>
        <v>#N/A</v>
      </c>
      <c r="G112" s="384" t="e">
        <f t="shared" si="62"/>
        <v>#N/A</v>
      </c>
      <c r="H112" s="384" t="e">
        <f t="shared" si="62"/>
        <v>#N/A</v>
      </c>
      <c r="I112" s="384">
        <f t="shared" si="62"/>
        <v>0</v>
      </c>
      <c r="J112" s="384">
        <f t="shared" si="62"/>
        <v>0</v>
      </c>
      <c r="K112" s="384">
        <f t="shared" si="62"/>
        <v>0</v>
      </c>
      <c r="L112" s="384">
        <f t="shared" si="62"/>
        <v>0</v>
      </c>
      <c r="M112" s="384">
        <f t="shared" si="62"/>
        <v>0</v>
      </c>
      <c r="N112" s="384">
        <f t="shared" si="62"/>
        <v>0</v>
      </c>
      <c r="O112" s="384">
        <f t="shared" si="62"/>
        <v>0</v>
      </c>
      <c r="P112" s="384">
        <f t="shared" si="62"/>
        <v>0</v>
      </c>
      <c r="Q112" s="384">
        <f t="shared" si="62"/>
        <v>0</v>
      </c>
      <c r="R112" s="384">
        <f t="shared" si="62"/>
        <v>0</v>
      </c>
      <c r="S112" s="384">
        <f t="shared" si="62"/>
        <v>0</v>
      </c>
      <c r="T112" s="384">
        <f t="shared" si="62"/>
        <v>0</v>
      </c>
      <c r="U112" s="384">
        <f t="shared" si="62"/>
        <v>0</v>
      </c>
      <c r="V112" s="384">
        <f t="shared" si="62"/>
        <v>0</v>
      </c>
      <c r="W112" s="384">
        <f t="shared" si="62"/>
        <v>0</v>
      </c>
      <c r="X112" s="384">
        <f t="shared" si="62"/>
        <v>0</v>
      </c>
      <c r="Y112" s="384">
        <f t="shared" si="62"/>
        <v>0</v>
      </c>
      <c r="Z112" s="384">
        <f t="shared" si="62"/>
        <v>0</v>
      </c>
      <c r="AA112" s="384">
        <f t="shared" si="62"/>
        <v>0</v>
      </c>
      <c r="AB112" s="408">
        <f t="shared" si="62"/>
        <v>0</v>
      </c>
    </row>
    <row r="113" spans="1:28" outlineLevel="1">
      <c r="A113" s="347"/>
      <c r="B113" s="392"/>
      <c r="C113" s="384">
        <f t="shared" si="62"/>
        <v>0</v>
      </c>
      <c r="D113" s="384">
        <f t="shared" si="62"/>
        <v>0</v>
      </c>
      <c r="E113" s="384">
        <f t="shared" si="62"/>
        <v>0</v>
      </c>
      <c r="F113" s="384">
        <f t="shared" si="62"/>
        <v>0</v>
      </c>
      <c r="G113" s="384">
        <f t="shared" si="62"/>
        <v>0</v>
      </c>
      <c r="H113" s="384">
        <f t="shared" si="62"/>
        <v>0</v>
      </c>
      <c r="I113" s="384">
        <f t="shared" si="62"/>
        <v>0</v>
      </c>
      <c r="J113" s="384">
        <f t="shared" si="62"/>
        <v>0</v>
      </c>
      <c r="K113" s="384">
        <f t="shared" si="62"/>
        <v>0</v>
      </c>
      <c r="L113" s="384">
        <f t="shared" si="62"/>
        <v>0</v>
      </c>
      <c r="M113" s="384">
        <f t="shared" si="62"/>
        <v>0</v>
      </c>
      <c r="N113" s="384">
        <f t="shared" si="62"/>
        <v>0</v>
      </c>
      <c r="O113" s="384">
        <f t="shared" si="62"/>
        <v>0</v>
      </c>
      <c r="P113" s="384">
        <f t="shared" si="62"/>
        <v>0</v>
      </c>
      <c r="Q113" s="384">
        <f t="shared" si="62"/>
        <v>0</v>
      </c>
      <c r="R113" s="384">
        <f t="shared" si="62"/>
        <v>0</v>
      </c>
      <c r="S113" s="384">
        <f t="shared" si="62"/>
        <v>0</v>
      </c>
      <c r="T113" s="384">
        <f t="shared" si="62"/>
        <v>0</v>
      </c>
      <c r="U113" s="384">
        <f t="shared" si="62"/>
        <v>0</v>
      </c>
      <c r="V113" s="384">
        <f t="shared" si="62"/>
        <v>0</v>
      </c>
      <c r="W113" s="384">
        <f t="shared" si="62"/>
        <v>0</v>
      </c>
      <c r="X113" s="384">
        <f t="shared" si="62"/>
        <v>0</v>
      </c>
      <c r="Y113" s="384">
        <f t="shared" si="62"/>
        <v>0</v>
      </c>
      <c r="Z113" s="384">
        <f t="shared" si="62"/>
        <v>0</v>
      </c>
      <c r="AA113" s="384">
        <f t="shared" si="62"/>
        <v>0</v>
      </c>
      <c r="AB113" s="408">
        <f t="shared" si="62"/>
        <v>0</v>
      </c>
    </row>
    <row r="114" spans="1:28" outlineLevel="1">
      <c r="A114" s="347"/>
      <c r="B114" s="390" t="s">
        <v>1674</v>
      </c>
      <c r="C114" s="384">
        <f t="shared" si="62"/>
        <v>0</v>
      </c>
      <c r="D114" s="384">
        <f t="shared" si="62"/>
        <v>0</v>
      </c>
      <c r="E114" s="384">
        <f t="shared" si="62"/>
        <v>0</v>
      </c>
      <c r="F114" s="384">
        <f t="shared" si="62"/>
        <v>0</v>
      </c>
      <c r="G114" s="384">
        <f t="shared" si="62"/>
        <v>0</v>
      </c>
      <c r="H114" s="384">
        <f t="shared" si="62"/>
        <v>0</v>
      </c>
      <c r="I114" s="384">
        <f t="shared" si="62"/>
        <v>0</v>
      </c>
      <c r="J114" s="384">
        <f t="shared" si="62"/>
        <v>0</v>
      </c>
      <c r="K114" s="384">
        <f t="shared" si="62"/>
        <v>0</v>
      </c>
      <c r="L114" s="384">
        <f t="shared" si="62"/>
        <v>0</v>
      </c>
      <c r="M114" s="384">
        <f t="shared" si="62"/>
        <v>0</v>
      </c>
      <c r="N114" s="384">
        <f t="shared" si="62"/>
        <v>0</v>
      </c>
      <c r="O114" s="384">
        <f t="shared" si="62"/>
        <v>0</v>
      </c>
      <c r="P114" s="384">
        <f t="shared" si="62"/>
        <v>0</v>
      </c>
      <c r="Q114" s="384">
        <f t="shared" si="62"/>
        <v>0</v>
      </c>
      <c r="R114" s="384">
        <f t="shared" si="62"/>
        <v>0</v>
      </c>
      <c r="S114" s="384">
        <f t="shared" si="62"/>
        <v>0</v>
      </c>
      <c r="T114" s="384">
        <f t="shared" si="62"/>
        <v>0</v>
      </c>
      <c r="U114" s="384">
        <f t="shared" si="62"/>
        <v>0</v>
      </c>
      <c r="V114" s="384">
        <f t="shared" si="62"/>
        <v>0</v>
      </c>
      <c r="W114" s="384">
        <f t="shared" si="62"/>
        <v>0</v>
      </c>
      <c r="X114" s="384">
        <f t="shared" si="62"/>
        <v>0</v>
      </c>
      <c r="Y114" s="384">
        <f t="shared" si="62"/>
        <v>0</v>
      </c>
      <c r="Z114" s="384">
        <f t="shared" si="62"/>
        <v>0</v>
      </c>
      <c r="AA114" s="384">
        <f t="shared" si="62"/>
        <v>0</v>
      </c>
      <c r="AB114" s="408">
        <f t="shared" si="62"/>
        <v>0</v>
      </c>
    </row>
    <row r="115" spans="1:28" ht="15.75" outlineLevel="1" thickBot="1">
      <c r="A115" s="347"/>
      <c r="B115" s="398"/>
      <c r="C115" s="384">
        <f t="shared" si="62"/>
        <v>0</v>
      </c>
      <c r="D115" s="384">
        <f t="shared" si="62"/>
        <v>0</v>
      </c>
      <c r="E115" s="384">
        <f t="shared" si="62"/>
        <v>0</v>
      </c>
      <c r="F115" s="384">
        <f t="shared" si="62"/>
        <v>0</v>
      </c>
      <c r="G115" s="384">
        <f t="shared" si="62"/>
        <v>0</v>
      </c>
      <c r="H115" s="384">
        <f t="shared" si="62"/>
        <v>0</v>
      </c>
      <c r="I115" s="384">
        <f t="shared" si="62"/>
        <v>0</v>
      </c>
      <c r="J115" s="384">
        <f t="shared" si="62"/>
        <v>0</v>
      </c>
      <c r="K115" s="384">
        <f t="shared" si="62"/>
        <v>0</v>
      </c>
      <c r="L115" s="384">
        <f t="shared" si="62"/>
        <v>0</v>
      </c>
      <c r="M115" s="384">
        <f t="shared" si="62"/>
        <v>0</v>
      </c>
      <c r="N115" s="384">
        <f t="shared" si="62"/>
        <v>0</v>
      </c>
      <c r="O115" s="384">
        <f t="shared" si="62"/>
        <v>0</v>
      </c>
      <c r="P115" s="384">
        <f t="shared" si="62"/>
        <v>0</v>
      </c>
      <c r="Q115" s="384">
        <f t="shared" si="62"/>
        <v>0</v>
      </c>
      <c r="R115" s="384">
        <f t="shared" si="62"/>
        <v>0</v>
      </c>
      <c r="S115" s="384">
        <f t="shared" si="62"/>
        <v>0</v>
      </c>
      <c r="T115" s="384">
        <f t="shared" si="62"/>
        <v>0</v>
      </c>
      <c r="U115" s="384">
        <f t="shared" si="62"/>
        <v>0</v>
      </c>
      <c r="V115" s="384">
        <f t="shared" si="62"/>
        <v>0</v>
      </c>
      <c r="W115" s="384">
        <f t="shared" si="62"/>
        <v>0</v>
      </c>
      <c r="X115" s="384">
        <f>+X95</f>
        <v>0</v>
      </c>
      <c r="Y115" s="384">
        <f>+Y95</f>
        <v>0</v>
      </c>
      <c r="Z115" s="384">
        <f>+Z95</f>
        <v>0</v>
      </c>
      <c r="AA115" s="384">
        <f>+AA95</f>
        <v>0</v>
      </c>
      <c r="AB115" s="408">
        <f>+AB95</f>
        <v>0</v>
      </c>
    </row>
    <row r="116" spans="1:28" s="401" customFormat="1" ht="15.75" outlineLevel="1">
      <c r="B116" s="402" t="s">
        <v>260</v>
      </c>
      <c r="C116" s="403" t="e">
        <f>+C102+C114</f>
        <v>#N/A</v>
      </c>
      <c r="D116" s="403" t="e">
        <f t="shared" ref="D116:AB116" si="63">D102+D105+D107+D108+D109+D111+D112+D114</f>
        <v>#N/A</v>
      </c>
      <c r="E116" s="403" t="e">
        <f t="shared" si="63"/>
        <v>#N/A</v>
      </c>
      <c r="F116" s="403" t="e">
        <f t="shared" si="63"/>
        <v>#N/A</v>
      </c>
      <c r="G116" s="403" t="e">
        <f t="shared" si="63"/>
        <v>#N/A</v>
      </c>
      <c r="H116" s="403" t="e">
        <f t="shared" si="63"/>
        <v>#N/A</v>
      </c>
      <c r="I116" s="403" t="e">
        <f t="shared" si="63"/>
        <v>#N/A</v>
      </c>
      <c r="J116" s="403" t="e">
        <f t="shared" si="63"/>
        <v>#N/A</v>
      </c>
      <c r="K116" s="403" t="e">
        <f t="shared" si="63"/>
        <v>#N/A</v>
      </c>
      <c r="L116" s="403" t="e">
        <f t="shared" si="63"/>
        <v>#N/A</v>
      </c>
      <c r="M116" s="403" t="e">
        <f t="shared" si="63"/>
        <v>#N/A</v>
      </c>
      <c r="N116" s="403" t="e">
        <f t="shared" si="63"/>
        <v>#N/A</v>
      </c>
      <c r="O116" s="403" t="e">
        <f t="shared" si="63"/>
        <v>#N/A</v>
      </c>
      <c r="P116" s="403" t="e">
        <f t="shared" si="63"/>
        <v>#N/A</v>
      </c>
      <c r="Q116" s="403" t="e">
        <f t="shared" si="63"/>
        <v>#N/A</v>
      </c>
      <c r="R116" s="403" t="e">
        <f t="shared" si="63"/>
        <v>#N/A</v>
      </c>
      <c r="S116" s="403" t="e">
        <f t="shared" si="63"/>
        <v>#N/A</v>
      </c>
      <c r="T116" s="403" t="e">
        <f t="shared" si="63"/>
        <v>#N/A</v>
      </c>
      <c r="U116" s="403" t="e">
        <f t="shared" si="63"/>
        <v>#N/A</v>
      </c>
      <c r="V116" s="403" t="e">
        <f t="shared" si="63"/>
        <v>#N/A</v>
      </c>
      <c r="W116" s="403" t="e">
        <f t="shared" si="63"/>
        <v>#N/A</v>
      </c>
      <c r="X116" s="403" t="e">
        <f t="shared" si="63"/>
        <v>#N/A</v>
      </c>
      <c r="Y116" s="403" t="e">
        <f t="shared" si="63"/>
        <v>#N/A</v>
      </c>
      <c r="Z116" s="403" t="e">
        <f t="shared" si="63"/>
        <v>#N/A</v>
      </c>
      <c r="AA116" s="403" t="e">
        <f t="shared" si="63"/>
        <v>#N/A</v>
      </c>
      <c r="AB116" s="404" t="e">
        <f t="shared" si="63"/>
        <v>#N/A</v>
      </c>
    </row>
    <row r="117" spans="1:28" ht="16.5" outlineLevel="1" thickBot="1">
      <c r="B117" s="405" t="s">
        <v>261</v>
      </c>
      <c r="C117" s="406" t="e">
        <f>C116</f>
        <v>#N/A</v>
      </c>
      <c r="D117" s="406" t="e">
        <f>C117+D116</f>
        <v>#N/A</v>
      </c>
      <c r="E117" s="406" t="e">
        <f t="shared" ref="E117" si="64">D117+E116</f>
        <v>#N/A</v>
      </c>
      <c r="F117" s="406" t="e">
        <f t="shared" ref="F117" si="65">E117+F116</f>
        <v>#N/A</v>
      </c>
      <c r="G117" s="406" t="e">
        <f t="shared" ref="G117" si="66">F117+G116</f>
        <v>#N/A</v>
      </c>
      <c r="H117" s="406" t="e">
        <f t="shared" ref="H117" si="67">G117+H116</f>
        <v>#N/A</v>
      </c>
      <c r="I117" s="406" t="e">
        <f t="shared" ref="I117" si="68">H117+I116</f>
        <v>#N/A</v>
      </c>
      <c r="J117" s="406" t="e">
        <f t="shared" ref="J117" si="69">I117+J116</f>
        <v>#N/A</v>
      </c>
      <c r="K117" s="406" t="e">
        <f t="shared" ref="K117" si="70">J117+K116</f>
        <v>#N/A</v>
      </c>
      <c r="L117" s="406" t="e">
        <f t="shared" ref="L117" si="71">K117+L116</f>
        <v>#N/A</v>
      </c>
      <c r="M117" s="406" t="e">
        <f t="shared" ref="M117" si="72">L117+M116</f>
        <v>#N/A</v>
      </c>
      <c r="N117" s="406" t="e">
        <f t="shared" ref="N117" si="73">M117+N116</f>
        <v>#N/A</v>
      </c>
      <c r="O117" s="406" t="e">
        <f t="shared" ref="O117" si="74">N117+O116</f>
        <v>#N/A</v>
      </c>
      <c r="P117" s="406" t="e">
        <f t="shared" ref="P117" si="75">O117+P116</f>
        <v>#N/A</v>
      </c>
      <c r="Q117" s="406" t="e">
        <f t="shared" ref="Q117" si="76">P117+Q116</f>
        <v>#N/A</v>
      </c>
      <c r="R117" s="406" t="e">
        <f t="shared" ref="R117" si="77">Q117+R116</f>
        <v>#N/A</v>
      </c>
      <c r="S117" s="406" t="e">
        <f t="shared" ref="S117" si="78">R117+S116</f>
        <v>#N/A</v>
      </c>
      <c r="T117" s="406" t="e">
        <f t="shared" ref="T117" si="79">S117+T116</f>
        <v>#N/A</v>
      </c>
      <c r="U117" s="406" t="e">
        <f t="shared" ref="U117" si="80">T117+U116</f>
        <v>#N/A</v>
      </c>
      <c r="V117" s="406" t="e">
        <f t="shared" ref="V117" si="81">U117+V116</f>
        <v>#N/A</v>
      </c>
      <c r="W117" s="406" t="e">
        <f t="shared" ref="W117" si="82">V117+W116</f>
        <v>#N/A</v>
      </c>
      <c r="X117" s="406" t="e">
        <f t="shared" ref="X117" si="83">W117+X116</f>
        <v>#N/A</v>
      </c>
      <c r="Y117" s="406" t="e">
        <f t="shared" ref="Y117" si="84">X117+Y116</f>
        <v>#N/A</v>
      </c>
      <c r="Z117" s="406" t="e">
        <f t="shared" ref="Z117" si="85">Y117+Z116</f>
        <v>#N/A</v>
      </c>
      <c r="AA117" s="406" t="e">
        <f t="shared" ref="AA117" si="86">Z117+AA116</f>
        <v>#N/A</v>
      </c>
      <c r="AB117" s="407" t="e">
        <f t="shared" ref="AB117" si="87">AA117+AB116</f>
        <v>#N/A</v>
      </c>
    </row>
    <row r="118" spans="1:28" ht="15.75" outlineLevel="1">
      <c r="B118" s="1165"/>
      <c r="C118" s="1166"/>
      <c r="D118" s="1166"/>
      <c r="E118" s="1166"/>
      <c r="F118" s="1166"/>
      <c r="G118" s="1166"/>
      <c r="H118" s="1166"/>
      <c r="I118" s="1166"/>
      <c r="J118" s="1166"/>
      <c r="K118" s="1166"/>
      <c r="L118" s="1166"/>
      <c r="M118" s="1166"/>
      <c r="N118" s="1166"/>
      <c r="O118" s="1166"/>
      <c r="P118" s="1166"/>
      <c r="Q118" s="1166"/>
      <c r="R118" s="1166"/>
      <c r="S118" s="1166"/>
      <c r="T118" s="1166"/>
      <c r="U118" s="1166"/>
      <c r="V118" s="1166"/>
      <c r="W118" s="1166"/>
      <c r="X118" s="1166"/>
      <c r="Y118" s="1166"/>
      <c r="Z118" s="1166"/>
      <c r="AA118" s="1166"/>
      <c r="AB118" s="1166"/>
    </row>
    <row r="119" spans="1:28" ht="16.5" thickBot="1">
      <c r="B119" s="409"/>
      <c r="C119" s="410"/>
      <c r="D119" s="410"/>
      <c r="E119" s="410"/>
      <c r="F119" s="410"/>
      <c r="G119" s="410">
        <v>0</v>
      </c>
      <c r="H119" s="410"/>
      <c r="I119" s="410"/>
      <c r="J119" s="410"/>
      <c r="K119" s="410"/>
      <c r="L119" s="410"/>
      <c r="M119" s="410"/>
      <c r="N119" s="410"/>
      <c r="O119" s="410"/>
      <c r="P119" s="410"/>
      <c r="Q119" s="410"/>
      <c r="R119" s="410"/>
      <c r="S119" s="410"/>
      <c r="T119" s="410"/>
      <c r="U119" s="410"/>
      <c r="V119" s="410"/>
      <c r="W119" s="410"/>
      <c r="X119" s="410"/>
      <c r="Y119" s="410"/>
      <c r="Z119" s="410"/>
      <c r="AA119" s="410"/>
      <c r="AB119" s="410"/>
    </row>
    <row r="120" spans="1:28" ht="16.5" thickBot="1">
      <c r="B120" s="411" t="s">
        <v>1676</v>
      </c>
      <c r="C120" s="412" t="s">
        <v>8</v>
      </c>
      <c r="I120" s="413" t="s">
        <v>1677</v>
      </c>
      <c r="M120" s="414" t="e">
        <f>+IRR(C48:M48)</f>
        <v>#VALUE!</v>
      </c>
    </row>
    <row r="121" spans="1:28" ht="16.5" thickBot="1">
      <c r="B121" s="411" t="s">
        <v>1678</v>
      </c>
      <c r="C121" s="412" t="s">
        <v>1679</v>
      </c>
      <c r="F121" s="1179" t="s">
        <v>1680</v>
      </c>
      <c r="G121" s="415" t="e">
        <f>+IRR(C48:M48)</f>
        <v>#VALUE!</v>
      </c>
      <c r="H121" s="416">
        <v>0.2</v>
      </c>
      <c r="I121" s="1170" t="e">
        <f>+H121-G121</f>
        <v>#VALUE!</v>
      </c>
    </row>
    <row r="122" spans="1:28" ht="15.75" thickBot="1">
      <c r="F122" s="832" t="s">
        <v>2940</v>
      </c>
      <c r="G122" s="1168" t="e">
        <f>+IRR(C76:O76)</f>
        <v>#VALUE!</v>
      </c>
      <c r="H122" s="1169">
        <v>0.2</v>
      </c>
      <c r="I122" s="1171" t="e">
        <f>+H122-G122</f>
        <v>#VALUE!</v>
      </c>
    </row>
    <row r="123" spans="1:28" ht="15.75" thickBot="1">
      <c r="B123" s="1259" t="s">
        <v>266</v>
      </c>
      <c r="C123" s="1260"/>
      <c r="F123" s="832" t="s">
        <v>1681</v>
      </c>
      <c r="G123" s="1168" t="e">
        <f>+IRR(C96:R96)</f>
        <v>#VALUE!</v>
      </c>
      <c r="H123" s="1169">
        <v>0.2</v>
      </c>
      <c r="I123" s="1171" t="e">
        <f t="shared" ref="I123" si="88">+H123-G123</f>
        <v>#VALUE!</v>
      </c>
    </row>
    <row r="124" spans="1:28" ht="15.95" customHeight="1" thickBot="1">
      <c r="B124" s="419" t="s">
        <v>262</v>
      </c>
      <c r="C124" s="420" t="e">
        <f>+C34</f>
        <v>#N/A</v>
      </c>
      <c r="D124" s="421"/>
      <c r="E124" s="422"/>
      <c r="F124" s="1167" t="s">
        <v>4484</v>
      </c>
      <c r="G124" s="418" t="e">
        <f>+IRR(C116:W116)</f>
        <v>#VALUE!</v>
      </c>
      <c r="H124" s="1180">
        <v>0.19</v>
      </c>
      <c r="I124" s="1172" t="e">
        <f>+H124-G124</f>
        <v>#VALUE!</v>
      </c>
    </row>
    <row r="125" spans="1:28" ht="15.95" customHeight="1" thickBot="1">
      <c r="B125" s="426" t="s">
        <v>764</v>
      </c>
      <c r="C125" s="427">
        <f>+D27</f>
        <v>0.12</v>
      </c>
      <c r="E125" s="422"/>
      <c r="F125" s="423"/>
      <c r="G125" s="424"/>
      <c r="H125" s="425"/>
      <c r="I125" s="417"/>
    </row>
    <row r="126" spans="1:28" ht="17.25" thickBot="1">
      <c r="B126" s="429" t="s">
        <v>263</v>
      </c>
      <c r="C126" s="430">
        <f>+AVERAGE((D37:AB37))</f>
        <v>11303489.164526341</v>
      </c>
      <c r="F126" s="1173" t="s">
        <v>1682</v>
      </c>
      <c r="G126" s="1173" t="s">
        <v>1683</v>
      </c>
      <c r="H126" s="1173" t="s">
        <v>1684</v>
      </c>
    </row>
    <row r="127" spans="1:28" ht="18">
      <c r="B127" s="434" t="s">
        <v>264</v>
      </c>
      <c r="C127" s="435" t="e">
        <f>C48+NPV(D27,D48:AB48)</f>
        <v>#N/A</v>
      </c>
      <c r="F127" s="1174" t="s">
        <v>1685</v>
      </c>
      <c r="G127" s="1175">
        <v>747.70786301420617</v>
      </c>
      <c r="H127" s="433">
        <f>+($D$17-G127)/$D$17</f>
        <v>0.33976531052496262</v>
      </c>
    </row>
    <row r="128" spans="1:28" ht="18">
      <c r="B128" s="434" t="s">
        <v>1687</v>
      </c>
      <c r="C128" s="435" t="e">
        <f>+(-C124-NPV(D27,D39:AB39)-NPV(D27,D44:H44)-NPV(D27,E43:I43)/(1+D27))/NPV(D27,D35:AB35)</f>
        <v>#N/A</v>
      </c>
      <c r="F128" s="1176" t="s">
        <v>1784</v>
      </c>
      <c r="G128" s="452">
        <v>700.97778657832112</v>
      </c>
      <c r="H128" s="438">
        <f>+($D$17-G128)/$D$17</f>
        <v>0.38102850840068853</v>
      </c>
    </row>
    <row r="129" spans="2:8" ht="18">
      <c r="B129" s="434" t="s">
        <v>1689</v>
      </c>
      <c r="C129" s="442" t="e">
        <f>IF(C120="Sí","N/A",IRR(C48:AB48))</f>
        <v>#VALUE!</v>
      </c>
      <c r="F129" s="1176" t="s">
        <v>1686</v>
      </c>
      <c r="G129" s="452">
        <v>659.22466386246629</v>
      </c>
      <c r="H129" s="438">
        <f>+($D$17-G129)/$D$17</f>
        <v>0.4178969985885358</v>
      </c>
    </row>
    <row r="130" spans="2:8" ht="18.75" thickBot="1">
      <c r="B130" s="443" t="s">
        <v>1690</v>
      </c>
      <c r="C130" s="444" t="str">
        <f>+IF(C120="Sí",MIRR(C49:AB49,C136,C125),"N/A")</f>
        <v>N/A</v>
      </c>
      <c r="F130" s="1177" t="s">
        <v>1688</v>
      </c>
      <c r="G130" s="1178">
        <v>384.19785245115725</v>
      </c>
      <c r="H130" s="441">
        <f>+($D$17-G130)/$D$17</f>
        <v>0.66074885345261303</v>
      </c>
    </row>
    <row r="131" spans="2:8" ht="16.5" thickBot="1">
      <c r="B131" s="445" t="s">
        <v>265</v>
      </c>
      <c r="C131" s="446">
        <f>+COUNTIF(D49:AB49,"&lt;0")</f>
        <v>0</v>
      </c>
    </row>
    <row r="132" spans="2:8" ht="16.5" thickBot="1">
      <c r="B132" s="333"/>
      <c r="F132" s="428" t="s">
        <v>1682</v>
      </c>
      <c r="G132" s="428" t="s">
        <v>1691</v>
      </c>
    </row>
    <row r="133" spans="2:8" ht="18.75" thickBot="1">
      <c r="B133" s="1259" t="s">
        <v>1674</v>
      </c>
      <c r="C133" s="1260"/>
      <c r="F133" s="431" t="s">
        <v>1685</v>
      </c>
      <c r="G133" s="432">
        <f>+'PPA Datos Salida'!D17</f>
        <v>2767115.3678408731</v>
      </c>
      <c r="H133" s="822"/>
    </row>
    <row r="134" spans="2:8" ht="18">
      <c r="B134" s="419" t="s">
        <v>1692</v>
      </c>
      <c r="C134" s="447">
        <v>120</v>
      </c>
      <c r="F134" s="436" t="s">
        <v>1784</v>
      </c>
      <c r="G134" s="437">
        <f>+'PPA Datos Salida'!E17</f>
        <v>3243331.1670246017</v>
      </c>
      <c r="H134" s="822"/>
    </row>
    <row r="135" spans="2:8" ht="18.75" thickBot="1">
      <c r="B135" s="426" t="s">
        <v>1693</v>
      </c>
      <c r="C135" s="448">
        <v>1.2999999999999999E-2</v>
      </c>
      <c r="F135" s="439" t="s">
        <v>1686</v>
      </c>
      <c r="G135" s="440">
        <f>+'PPA Datos Salida'!F17</f>
        <v>6471564.9085789155</v>
      </c>
      <c r="H135" s="822"/>
    </row>
    <row r="136" spans="2:8" ht="15.75">
      <c r="B136" s="429" t="s">
        <v>1694</v>
      </c>
      <c r="C136" s="449">
        <f>+(1+C135)^12-1</f>
        <v>0.16765177626913008</v>
      </c>
    </row>
    <row r="137" spans="2:8" ht="15.75">
      <c r="B137" s="434" t="s">
        <v>1695</v>
      </c>
      <c r="C137" s="450" t="e">
        <f>+C124</f>
        <v>#N/A</v>
      </c>
    </row>
    <row r="138" spans="2:8" ht="15.75">
      <c r="B138" s="443" t="s">
        <v>1696</v>
      </c>
      <c r="C138" s="453" t="e">
        <f>+PMT(C135,C134,-C137)</f>
        <v>#N/A</v>
      </c>
    </row>
    <row r="139" spans="2:8" ht="18.75" thickBot="1">
      <c r="B139" s="445" t="s">
        <v>1697</v>
      </c>
      <c r="C139" s="454" t="e">
        <f>+C138*12</f>
        <v>#N/A</v>
      </c>
      <c r="F139" s="451"/>
      <c r="G139" s="452"/>
    </row>
    <row r="141" spans="2:8">
      <c r="B141" s="332" t="s">
        <v>1679</v>
      </c>
    </row>
    <row r="142" spans="2:8">
      <c r="B142" s="332" t="s">
        <v>8</v>
      </c>
    </row>
  </sheetData>
  <protectedRanges>
    <protectedRange algorithmName="SHA-512" hashValue="x0beZpojJRRI7F7n2B9O22acJf89Ye5gBSv7yyM7nqmpdqREiuc2p2jQE5R+ToALvkKoFWaf2XjnIIpoq12S3A==" saltValue="a5pfbG6pQVMGcj8OI947+w==" spinCount="100000" sqref="C120:C121" name="Financiación y Beneficios"/>
    <protectedRange algorithmName="SHA-512" hashValue="/JbDeJSA3kBEoHV11vyZB7RNykQhz8KAqZGxgUI7E5wzcY/Z/BaO4Ej8TGGWndNU3PM9tH0x+zytAfVC8SPm0A==" saltValue="lawrl7RquAjJcmiceWET/w==" spinCount="100000" sqref="C134:C137" name="Financiación"/>
  </protectedRanges>
  <scenarios current="2" sqref="J51">
    <scenario name="Modelo PPA Varios Años" locked="1" count="1" user="Simón García Orrego" comment="Creado por Simón García Orrego el 28/09/2021">
      <inputCells r="D36" val="389.747212357619" numFmtId="175"/>
    </scenario>
    <scenario name="eschentarios" locked="1" count="1" user="Simón García Orrego" comment="Creado por Simón García Orrego el 28/09/2021">
      <inputCells r="D36" val="252" numFmtId="175"/>
    </scenario>
    <scenario name="sssdasd" locked="1" count="1" user="Simón García Orrego" comment="Creado por Simón García Orrego el 28/09/2021">
      <inputCells r="D36" val="gggg" numFmtId="175"/>
    </scenario>
  </scenarios>
  <mergeCells count="2">
    <mergeCell ref="B123:C123"/>
    <mergeCell ref="B133:C133"/>
  </mergeCells>
  <dataValidations disablePrompts="1" count="1">
    <dataValidation type="list" allowBlank="1" showInputMessage="1" showErrorMessage="1" sqref="C120:C121" xr:uid="{3B36C1EC-51F6-43C6-8844-FA3FDF87F8E0}">
      <formula1>$B$141:$B$142</formula1>
    </dataValidation>
  </dataValidations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IrMenu">
                <anchor moveWithCells="1" sizeWithCells="1">
                  <from>
                    <xdr:col>9</xdr:col>
                    <xdr:colOff>142875</xdr:colOff>
                    <xdr:row>2</xdr:row>
                    <xdr:rowOff>28575</xdr:rowOff>
                  </from>
                  <to>
                    <xdr:col>10</xdr:col>
                    <xdr:colOff>676275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08B30-0A91-4C9F-AA3C-F02B12A9F764}">
  <sheetPr codeName="Hoja31"/>
  <dimension ref="A1:X23"/>
  <sheetViews>
    <sheetView topLeftCell="A16" workbookViewId="0">
      <selection activeCell="E24" sqref="E24"/>
    </sheetView>
  </sheetViews>
  <sheetFormatPr baseColWidth="10" defaultRowHeight="14.25"/>
  <cols>
    <col min="2" max="2" width="25.75" customWidth="1"/>
    <col min="3" max="5" width="15.25" bestFit="1" customWidth="1"/>
    <col min="6" max="7" width="14.25" bestFit="1" customWidth="1"/>
    <col min="8" max="11" width="13.625" bestFit="1" customWidth="1"/>
    <col min="12" max="23" width="14.625" bestFit="1" customWidth="1"/>
  </cols>
  <sheetData>
    <row r="1" spans="1:24">
      <c r="B1" t="s">
        <v>4483</v>
      </c>
    </row>
    <row r="2" spans="1:24">
      <c r="C2" t="s">
        <v>227</v>
      </c>
      <c r="D2" t="s">
        <v>228</v>
      </c>
      <c r="E2" t="s">
        <v>229</v>
      </c>
      <c r="F2" t="s">
        <v>230</v>
      </c>
      <c r="G2" t="s">
        <v>231</v>
      </c>
      <c r="H2" t="s">
        <v>232</v>
      </c>
      <c r="I2" t="s">
        <v>233</v>
      </c>
      <c r="J2" t="s">
        <v>234</v>
      </c>
      <c r="K2" t="s">
        <v>235</v>
      </c>
      <c r="L2" t="s">
        <v>236</v>
      </c>
      <c r="M2" t="s">
        <v>237</v>
      </c>
      <c r="N2" t="s">
        <v>238</v>
      </c>
      <c r="O2" t="s">
        <v>239</v>
      </c>
      <c r="P2" t="s">
        <v>240</v>
      </c>
      <c r="Q2" t="s">
        <v>241</v>
      </c>
      <c r="R2" t="s">
        <v>242</v>
      </c>
      <c r="S2" t="s">
        <v>243</v>
      </c>
      <c r="T2" t="s">
        <v>244</v>
      </c>
      <c r="U2" t="s">
        <v>245</v>
      </c>
      <c r="V2" t="s">
        <v>246</v>
      </c>
      <c r="W2" t="s">
        <v>247</v>
      </c>
    </row>
    <row r="3" spans="1:24">
      <c r="C3" s="1182">
        <v>0</v>
      </c>
      <c r="D3" s="1182">
        <v>1</v>
      </c>
      <c r="E3" s="1182">
        <v>2</v>
      </c>
      <c r="F3" s="1182">
        <v>3</v>
      </c>
      <c r="G3" s="1182">
        <v>4</v>
      </c>
      <c r="H3" s="1182">
        <v>5</v>
      </c>
      <c r="I3" s="1182">
        <v>6</v>
      </c>
      <c r="J3" s="1182">
        <v>7</v>
      </c>
      <c r="K3" s="1182">
        <v>8</v>
      </c>
      <c r="L3" s="1182">
        <v>9</v>
      </c>
      <c r="M3" s="1182">
        <v>10</v>
      </c>
      <c r="N3" s="1182">
        <v>11</v>
      </c>
      <c r="O3" s="1182">
        <v>12</v>
      </c>
      <c r="P3" s="1182">
        <v>13</v>
      </c>
      <c r="Q3" s="1182">
        <v>14</v>
      </c>
      <c r="R3" s="1182">
        <v>15</v>
      </c>
      <c r="S3" s="1182">
        <v>16</v>
      </c>
      <c r="T3" s="1182">
        <v>17</v>
      </c>
      <c r="U3" s="1182">
        <v>18</v>
      </c>
      <c r="V3" s="1182">
        <v>19</v>
      </c>
      <c r="W3" s="1182">
        <v>20</v>
      </c>
      <c r="X3" s="1181"/>
    </row>
    <row r="4" spans="1:24">
      <c r="A4" t="s">
        <v>253</v>
      </c>
      <c r="B4" t="s">
        <v>254</v>
      </c>
      <c r="C4" s="1182">
        <v>-170000000</v>
      </c>
      <c r="D4" s="1182">
        <v>0</v>
      </c>
      <c r="E4" s="1182">
        <v>0</v>
      </c>
      <c r="F4" s="1182">
        <v>0</v>
      </c>
      <c r="G4" s="1182">
        <v>0</v>
      </c>
      <c r="H4" s="1182">
        <v>0</v>
      </c>
      <c r="I4" s="1182">
        <v>0</v>
      </c>
      <c r="J4" s="1182">
        <v>0</v>
      </c>
      <c r="K4" s="1182">
        <v>0</v>
      </c>
      <c r="L4" s="1182">
        <v>0</v>
      </c>
      <c r="M4" s="1182">
        <v>0</v>
      </c>
      <c r="N4" s="1182">
        <v>0</v>
      </c>
      <c r="O4" s="1182">
        <v>0</v>
      </c>
      <c r="P4" s="1182">
        <v>0</v>
      </c>
      <c r="Q4" s="1182">
        <v>0</v>
      </c>
      <c r="R4" s="1182">
        <v>0</v>
      </c>
      <c r="S4" s="1182">
        <v>0</v>
      </c>
      <c r="T4" s="1182">
        <v>0</v>
      </c>
      <c r="U4" s="1182">
        <v>0</v>
      </c>
      <c r="V4" s="1182">
        <v>0</v>
      </c>
      <c r="W4" s="1182">
        <v>0</v>
      </c>
      <c r="X4" s="1181"/>
    </row>
    <row r="5" spans="1:24">
      <c r="B5" t="s">
        <v>255</v>
      </c>
      <c r="C5" s="1182">
        <v>0</v>
      </c>
      <c r="D5" s="1182">
        <v>48417.112936380043</v>
      </c>
      <c r="E5" s="1182">
        <v>48150.818815229955</v>
      </c>
      <c r="F5" s="1182">
        <v>47885.989311746191</v>
      </c>
      <c r="G5" s="1182">
        <v>47622.616370531585</v>
      </c>
      <c r="H5" s="1182">
        <v>47360.691980493662</v>
      </c>
      <c r="I5" s="1182">
        <v>47100.20817460095</v>
      </c>
      <c r="J5" s="1182">
        <v>46841.157029640643</v>
      </c>
      <c r="K5" s="1182">
        <v>46583.530665977618</v>
      </c>
      <c r="L5" s="1182">
        <v>46327.321247314743</v>
      </c>
      <c r="M5" s="1182">
        <v>46072.520980454516</v>
      </c>
      <c r="N5" s="1182">
        <v>45819.122115062019</v>
      </c>
      <c r="O5" s="1182">
        <v>45567.116943429181</v>
      </c>
      <c r="P5" s="1182">
        <v>45316.497800240322</v>
      </c>
      <c r="Q5" s="1182">
        <v>45067.257062338998</v>
      </c>
      <c r="R5" s="1182">
        <v>44819.387148496135</v>
      </c>
      <c r="S5" s="1182">
        <v>44572.880519179409</v>
      </c>
      <c r="T5" s="1182">
        <v>44327.729676323921</v>
      </c>
      <c r="U5" s="1182">
        <v>44083.927163104141</v>
      </c>
      <c r="V5" s="1182">
        <v>43841.465563707068</v>
      </c>
      <c r="W5" s="1182">
        <v>43600.337503106683</v>
      </c>
      <c r="X5" s="1181"/>
    </row>
    <row r="6" spans="1:24">
      <c r="B6" t="s">
        <v>1428</v>
      </c>
      <c r="C6" s="1182">
        <v>0</v>
      </c>
      <c r="D6" s="1182">
        <v>490.46304651111819</v>
      </c>
      <c r="E6" s="1182">
        <v>508.61017923202957</v>
      </c>
      <c r="F6" s="1182">
        <v>527.4287558636147</v>
      </c>
      <c r="G6" s="1182">
        <v>546.94361983056842</v>
      </c>
      <c r="H6" s="1182">
        <v>567.18053376429941</v>
      </c>
      <c r="I6" s="1182">
        <v>588.16621351357844</v>
      </c>
      <c r="J6" s="1182">
        <v>609.92836341358088</v>
      </c>
      <c r="K6" s="1182">
        <v>632.49571285988338</v>
      </c>
      <c r="L6" s="1182">
        <v>655.89805423569908</v>
      </c>
      <c r="M6" s="1182">
        <v>680.16628224241992</v>
      </c>
      <c r="N6" s="1182">
        <v>705.33243468538944</v>
      </c>
      <c r="O6" s="1182">
        <v>731.42973476874886</v>
      </c>
      <c r="P6" s="1182">
        <v>758.49263495519256</v>
      </c>
      <c r="Q6" s="1182">
        <v>786.55686244853473</v>
      </c>
      <c r="R6" s="1182">
        <v>815.65946635913053</v>
      </c>
      <c r="S6" s="1182">
        <v>845.83886661441841</v>
      </c>
      <c r="T6" s="1182">
        <v>877.13490467915187</v>
      </c>
      <c r="U6" s="1182">
        <v>909.58889615228054</v>
      </c>
      <c r="V6" s="1182">
        <v>943.24368530991489</v>
      </c>
      <c r="W6" s="1182">
        <v>978.14370166638173</v>
      </c>
      <c r="X6" s="1181"/>
    </row>
    <row r="7" spans="1:24">
      <c r="A7" t="s">
        <v>256</v>
      </c>
      <c r="B7" s="17" t="s">
        <v>4485</v>
      </c>
      <c r="C7" s="1182">
        <v>0</v>
      </c>
      <c r="D7" s="1182">
        <v>23746804.714049827</v>
      </c>
      <c r="E7" s="1182">
        <v>24489996.587783091</v>
      </c>
      <c r="F7" s="1182">
        <v>25256447.765992645</v>
      </c>
      <c r="G7" s="1182">
        <v>26046886.183501031</v>
      </c>
      <c r="H7" s="1182">
        <v>26862062.55694297</v>
      </c>
      <c r="I7" s="1182">
        <v>27702751.097756334</v>
      </c>
      <c r="J7" s="1182">
        <v>28569750.247487266</v>
      </c>
      <c r="K7" s="1182">
        <v>29463883.436107751</v>
      </c>
      <c r="L7" s="1182">
        <v>30385999.8640659</v>
      </c>
      <c r="M7" s="1182">
        <v>31336975.308811639</v>
      </c>
      <c r="N7" s="1182">
        <v>32317712.956563864</v>
      </c>
      <c r="O7" s="1182">
        <v>33329144.260108966</v>
      </c>
      <c r="P7" s="1182">
        <v>34372229.823445469</v>
      </c>
      <c r="Q7" s="1182">
        <v>35447960.314114928</v>
      </c>
      <c r="R7" s="1182">
        <v>36557357.404085629</v>
      </c>
      <c r="S7" s="1182">
        <v>37701474.740082599</v>
      </c>
      <c r="T7" s="1182">
        <v>38881398.944285594</v>
      </c>
      <c r="U7" s="1182">
        <v>40098250.646345429</v>
      </c>
      <c r="V7" s="1182">
        <v>41353185.547698781</v>
      </c>
      <c r="W7" s="1182">
        <v>42647395.519192338</v>
      </c>
      <c r="X7" s="1181"/>
    </row>
    <row r="8" spans="1:24">
      <c r="C8" s="1182">
        <v>0</v>
      </c>
      <c r="D8" s="1182"/>
      <c r="E8" s="1182">
        <v>0</v>
      </c>
      <c r="F8" s="1182">
        <v>0</v>
      </c>
      <c r="G8" s="1182">
        <v>0</v>
      </c>
      <c r="H8" s="1182">
        <v>0</v>
      </c>
      <c r="I8" s="1182">
        <v>0</v>
      </c>
      <c r="J8" s="1182">
        <v>0</v>
      </c>
      <c r="K8" s="1182">
        <v>0</v>
      </c>
      <c r="L8" s="1182">
        <v>0</v>
      </c>
      <c r="M8" s="1182">
        <v>0</v>
      </c>
      <c r="N8" s="1182">
        <v>0</v>
      </c>
      <c r="O8" s="1182">
        <v>0</v>
      </c>
      <c r="P8" s="1182">
        <v>0</v>
      </c>
      <c r="Q8" s="1182">
        <v>0</v>
      </c>
      <c r="R8" s="1182">
        <v>0</v>
      </c>
      <c r="S8" s="1182">
        <v>0</v>
      </c>
      <c r="T8" s="1182">
        <v>0</v>
      </c>
      <c r="U8" s="1182">
        <v>0</v>
      </c>
      <c r="V8" s="1182">
        <v>0</v>
      </c>
      <c r="W8" s="1182">
        <v>0</v>
      </c>
      <c r="X8" s="1181"/>
    </row>
    <row r="9" spans="1:24">
      <c r="A9" t="s">
        <v>253</v>
      </c>
      <c r="B9" t="s">
        <v>258</v>
      </c>
      <c r="C9" s="1182">
        <v>0</v>
      </c>
      <c r="D9" s="1182">
        <f>-D7*0.1</f>
        <v>-2374680.4714049827</v>
      </c>
      <c r="E9" s="1182">
        <f t="shared" ref="E9:W9" si="0">-E7*0.1</f>
        <v>-2448999.6587783094</v>
      </c>
      <c r="F9" s="1182">
        <f t="shared" si="0"/>
        <v>-2525644.7765992647</v>
      </c>
      <c r="G9" s="1182">
        <f t="shared" si="0"/>
        <v>-2604688.6183501035</v>
      </c>
      <c r="H9" s="1182">
        <f t="shared" si="0"/>
        <v>-2686206.2556942971</v>
      </c>
      <c r="I9" s="1182">
        <f t="shared" si="0"/>
        <v>-2770275.1097756336</v>
      </c>
      <c r="J9" s="1182">
        <f t="shared" si="0"/>
        <v>-2856975.0247487267</v>
      </c>
      <c r="K9" s="1182">
        <f t="shared" si="0"/>
        <v>-2946388.3436107752</v>
      </c>
      <c r="L9" s="1182">
        <f t="shared" si="0"/>
        <v>-3038599.9864065903</v>
      </c>
      <c r="M9" s="1182">
        <f>-M7*0.1</f>
        <v>-3133697.5308811641</v>
      </c>
      <c r="N9" s="1182">
        <f t="shared" si="0"/>
        <v>-3231771.2956563868</v>
      </c>
      <c r="O9" s="1182">
        <f t="shared" si="0"/>
        <v>-3332914.4260108969</v>
      </c>
      <c r="P9" s="1182">
        <f t="shared" si="0"/>
        <v>-3437222.9823445473</v>
      </c>
      <c r="Q9" s="1182">
        <f t="shared" si="0"/>
        <v>-3544796.0314114932</v>
      </c>
      <c r="R9" s="1182">
        <f t="shared" si="0"/>
        <v>-3655735.7404085631</v>
      </c>
      <c r="S9" s="1182">
        <f t="shared" si="0"/>
        <v>-3770147.4740082603</v>
      </c>
      <c r="T9" s="1182">
        <f t="shared" si="0"/>
        <v>-3888139.8944285596</v>
      </c>
      <c r="U9" s="1182">
        <f t="shared" si="0"/>
        <v>-4009825.0646345429</v>
      </c>
      <c r="V9" s="1182">
        <f t="shared" si="0"/>
        <v>-4135318.5547698783</v>
      </c>
      <c r="W9" s="1182">
        <f t="shared" si="0"/>
        <v>-4264739.551919234</v>
      </c>
      <c r="X9" s="1181"/>
    </row>
    <row r="10" spans="1:24">
      <c r="B10" s="17" t="s">
        <v>4487</v>
      </c>
      <c r="C10" s="1182"/>
      <c r="D10" s="1182">
        <f>--$C$4*0.01</f>
        <v>-1700000</v>
      </c>
      <c r="E10" s="1182">
        <f t="shared" ref="E10:M10" si="1">--$C$4*0.01</f>
        <v>-1700000</v>
      </c>
      <c r="F10" s="1182">
        <f t="shared" si="1"/>
        <v>-1700000</v>
      </c>
      <c r="G10" s="1182">
        <f t="shared" si="1"/>
        <v>-1700000</v>
      </c>
      <c r="H10" s="1182">
        <f t="shared" si="1"/>
        <v>-1700000</v>
      </c>
      <c r="I10" s="1182">
        <f t="shared" si="1"/>
        <v>-1700000</v>
      </c>
      <c r="J10" s="1182">
        <f t="shared" si="1"/>
        <v>-1700000</v>
      </c>
      <c r="K10" s="1182">
        <f t="shared" si="1"/>
        <v>-1700000</v>
      </c>
      <c r="L10" s="1182">
        <f t="shared" si="1"/>
        <v>-1700000</v>
      </c>
      <c r="M10" s="1182">
        <f t="shared" si="1"/>
        <v>-1700000</v>
      </c>
      <c r="N10" s="1182"/>
      <c r="O10" s="1182"/>
      <c r="P10" s="1182"/>
      <c r="Q10" s="1182"/>
      <c r="R10" s="1182"/>
      <c r="S10" s="1182"/>
      <c r="T10" s="1182"/>
      <c r="U10" s="1182"/>
      <c r="V10" s="1182"/>
      <c r="W10" s="1182"/>
      <c r="X10" s="1181"/>
    </row>
    <row r="11" spans="1:24">
      <c r="A11" t="s">
        <v>256</v>
      </c>
      <c r="B11" t="s">
        <v>757</v>
      </c>
      <c r="C11" s="1182">
        <v>0</v>
      </c>
      <c r="D11" s="1182">
        <v>0</v>
      </c>
      <c r="E11" s="1182">
        <f>-$C$4/2/10</f>
        <v>8500000</v>
      </c>
      <c r="F11" s="1182">
        <f t="shared" ref="F11:N11" si="2">-$C$4/2/10</f>
        <v>8500000</v>
      </c>
      <c r="G11" s="1182">
        <f t="shared" si="2"/>
        <v>8500000</v>
      </c>
      <c r="H11" s="1182">
        <f t="shared" si="2"/>
        <v>8500000</v>
      </c>
      <c r="I11" s="1182">
        <f t="shared" si="2"/>
        <v>8500000</v>
      </c>
      <c r="J11" s="1182">
        <f t="shared" si="2"/>
        <v>8500000</v>
      </c>
      <c r="K11" s="1182">
        <f t="shared" si="2"/>
        <v>8500000</v>
      </c>
      <c r="L11" s="1182">
        <f t="shared" si="2"/>
        <v>8500000</v>
      </c>
      <c r="M11" s="1182">
        <f t="shared" si="2"/>
        <v>8500000</v>
      </c>
      <c r="N11" s="1182">
        <f t="shared" si="2"/>
        <v>8500000</v>
      </c>
      <c r="O11" s="1182"/>
      <c r="P11" s="1182">
        <v>0</v>
      </c>
      <c r="Q11" s="1182">
        <v>0</v>
      </c>
      <c r="R11" s="1182">
        <v>0</v>
      </c>
      <c r="S11" s="1182">
        <v>0</v>
      </c>
      <c r="T11" s="1182">
        <v>0</v>
      </c>
      <c r="U11" s="1182">
        <v>0</v>
      </c>
      <c r="V11" s="1182">
        <v>0</v>
      </c>
      <c r="W11" s="1182">
        <v>0</v>
      </c>
      <c r="X11" s="1181"/>
    </row>
    <row r="12" spans="1:24">
      <c r="A12" t="s">
        <v>256</v>
      </c>
      <c r="C12" s="1182">
        <v>0</v>
      </c>
      <c r="D12" s="1182"/>
      <c r="E12" s="1182"/>
      <c r="F12" s="1182"/>
      <c r="G12" s="1182"/>
      <c r="H12" s="1182"/>
      <c r="I12" s="1182">
        <v>0</v>
      </c>
      <c r="J12" s="1182">
        <v>0</v>
      </c>
      <c r="K12" s="1182">
        <v>0</v>
      </c>
      <c r="L12" s="1182">
        <v>0</v>
      </c>
      <c r="M12" s="1182">
        <v>0</v>
      </c>
      <c r="N12" s="1182">
        <v>0</v>
      </c>
      <c r="O12" s="1182">
        <v>0</v>
      </c>
      <c r="P12" s="1182">
        <v>0</v>
      </c>
      <c r="Q12" s="1182">
        <v>0</v>
      </c>
      <c r="R12" s="1182">
        <v>0</v>
      </c>
      <c r="S12" s="1182">
        <v>0</v>
      </c>
      <c r="T12" s="1182">
        <v>0</v>
      </c>
      <c r="U12" s="1182">
        <v>0</v>
      </c>
      <c r="V12" s="1182">
        <v>0</v>
      </c>
      <c r="W12" s="1182">
        <v>0</v>
      </c>
      <c r="X12" s="1181"/>
    </row>
    <row r="13" spans="1:24">
      <c r="C13" s="1182">
        <v>0</v>
      </c>
      <c r="D13" s="1182">
        <v>0</v>
      </c>
      <c r="E13" s="1182">
        <v>0</v>
      </c>
      <c r="F13" s="1182">
        <v>0</v>
      </c>
      <c r="G13" s="1182">
        <v>0</v>
      </c>
      <c r="H13" s="1182">
        <v>0</v>
      </c>
      <c r="I13" s="1182">
        <v>0</v>
      </c>
      <c r="J13" s="1182">
        <v>0</v>
      </c>
      <c r="K13" s="1182">
        <v>0</v>
      </c>
      <c r="L13" s="1182">
        <v>0</v>
      </c>
      <c r="M13" s="1182">
        <v>0</v>
      </c>
      <c r="N13" s="1182">
        <v>0</v>
      </c>
      <c r="O13" s="1182">
        <v>0</v>
      </c>
      <c r="P13" s="1182">
        <v>0</v>
      </c>
      <c r="Q13" s="1182">
        <v>0</v>
      </c>
      <c r="R13" s="1182">
        <v>0</v>
      </c>
      <c r="S13" s="1182">
        <v>0</v>
      </c>
      <c r="T13" s="1182">
        <v>0</v>
      </c>
      <c r="U13" s="1182">
        <v>0</v>
      </c>
      <c r="V13" s="1182">
        <v>0</v>
      </c>
      <c r="W13" s="1182">
        <v>0</v>
      </c>
      <c r="X13" s="1181"/>
    </row>
    <row r="14" spans="1:24">
      <c r="C14" s="1182"/>
      <c r="D14" s="1182"/>
      <c r="E14" s="1182"/>
      <c r="F14" s="1182"/>
      <c r="G14" s="1182"/>
      <c r="H14" s="1182"/>
      <c r="I14" s="1182"/>
      <c r="J14" s="1182"/>
      <c r="K14" s="1182"/>
      <c r="L14" s="1182"/>
      <c r="M14" s="1182"/>
      <c r="N14" s="1182"/>
      <c r="O14" s="1182"/>
      <c r="P14" s="1182"/>
      <c r="Q14" s="1182"/>
      <c r="R14" s="1182"/>
      <c r="S14" s="1182"/>
      <c r="T14" s="1182"/>
      <c r="U14" s="1182"/>
      <c r="V14" s="1182"/>
      <c r="W14" s="1182"/>
      <c r="X14" s="1181"/>
    </row>
    <row r="15" spans="1:24">
      <c r="C15" s="1182">
        <v>0</v>
      </c>
      <c r="D15" s="1182">
        <v>0</v>
      </c>
      <c r="E15" s="1182">
        <v>0</v>
      </c>
      <c r="F15" s="1182">
        <v>0</v>
      </c>
      <c r="G15" s="1182">
        <v>0</v>
      </c>
      <c r="H15" s="1182">
        <v>0</v>
      </c>
      <c r="I15" s="1182">
        <v>0</v>
      </c>
      <c r="J15" s="1182">
        <v>0</v>
      </c>
      <c r="K15" s="1182">
        <v>0</v>
      </c>
      <c r="L15" s="1182">
        <v>0</v>
      </c>
      <c r="M15" s="1182">
        <v>0</v>
      </c>
      <c r="N15" s="1182">
        <v>0</v>
      </c>
      <c r="O15" s="1182">
        <v>0</v>
      </c>
      <c r="P15" s="1182">
        <v>0</v>
      </c>
      <c r="Q15" s="1182">
        <v>0</v>
      </c>
      <c r="R15" s="1182">
        <v>0</v>
      </c>
      <c r="S15" s="1182">
        <v>0</v>
      </c>
      <c r="T15" s="1182">
        <v>0</v>
      </c>
      <c r="U15" s="1182">
        <v>0</v>
      </c>
      <c r="V15" s="1182">
        <v>0</v>
      </c>
      <c r="W15" s="1182">
        <v>0</v>
      </c>
      <c r="X15" s="1181"/>
    </row>
    <row r="16" spans="1:24">
      <c r="B16" t="s">
        <v>260</v>
      </c>
      <c r="C16" s="1182">
        <f>+SUM(C4:C12)</f>
        <v>-170000000</v>
      </c>
      <c r="D16" s="1182">
        <f t="shared" ref="D16:W16" si="3">+SUM(D4:D12)</f>
        <v>19721031.818627737</v>
      </c>
      <c r="E16" s="1182">
        <f t="shared" si="3"/>
        <v>28889656.357999243</v>
      </c>
      <c r="F16" s="1182">
        <f t="shared" si="3"/>
        <v>29579216.407460988</v>
      </c>
      <c r="G16" s="1182">
        <f t="shared" si="3"/>
        <v>30290367.125141289</v>
      </c>
      <c r="H16" s="1182">
        <f t="shared" si="3"/>
        <v>31023784.173762932</v>
      </c>
      <c r="I16" s="1182">
        <f t="shared" si="3"/>
        <v>31780164.362368815</v>
      </c>
      <c r="J16" s="1182">
        <f t="shared" si="3"/>
        <v>32560226.30813159</v>
      </c>
      <c r="K16" s="1182">
        <f t="shared" si="3"/>
        <v>33364711.118875813</v>
      </c>
      <c r="L16" s="1182">
        <f t="shared" si="3"/>
        <v>34194383.096960858</v>
      </c>
      <c r="M16" s="1182">
        <f t="shared" si="3"/>
        <v>35050030.465193167</v>
      </c>
      <c r="N16" s="1182">
        <f t="shared" si="3"/>
        <v>37632466.115457222</v>
      </c>
      <c r="O16" s="1182">
        <f t="shared" si="3"/>
        <v>30042528.380776267</v>
      </c>
      <c r="P16" s="1182">
        <f t="shared" si="3"/>
        <v>30981081.831536122</v>
      </c>
      <c r="Q16" s="1182">
        <f t="shared" si="3"/>
        <v>31949018.096628226</v>
      </c>
      <c r="R16" s="1182">
        <f t="shared" si="3"/>
        <v>32947256.710291922</v>
      </c>
      <c r="S16" s="1182">
        <f t="shared" si="3"/>
        <v>33976745.985460132</v>
      </c>
      <c r="T16" s="1182">
        <f t="shared" si="3"/>
        <v>35038463.914438039</v>
      </c>
      <c r="U16" s="1182">
        <f t="shared" si="3"/>
        <v>36133419.09777014</v>
      </c>
      <c r="V16" s="1182">
        <f t="shared" si="3"/>
        <v>37262651.702177919</v>
      </c>
      <c r="W16" s="1182">
        <f t="shared" si="3"/>
        <v>38427234.448477872</v>
      </c>
      <c r="X16" s="1181"/>
    </row>
    <row r="17" spans="2:24">
      <c r="B17" t="s">
        <v>261</v>
      </c>
      <c r="C17" s="1182">
        <f>+C16</f>
        <v>-170000000</v>
      </c>
      <c r="D17" s="1182">
        <f>+C17+D16</f>
        <v>-150278968.18137226</v>
      </c>
      <c r="E17" s="1182">
        <f t="shared" ref="E17:W17" si="4">+D17+E16</f>
        <v>-121389311.82337302</v>
      </c>
      <c r="F17" s="1182">
        <f t="shared" si="4"/>
        <v>-91810095.415912032</v>
      </c>
      <c r="G17" s="1182">
        <f t="shared" si="4"/>
        <v>-61519728.290770739</v>
      </c>
      <c r="H17" s="1182">
        <f t="shared" si="4"/>
        <v>-30495944.117007807</v>
      </c>
      <c r="I17" s="1182">
        <f t="shared" si="4"/>
        <v>1284220.2453610078</v>
      </c>
      <c r="J17" s="1182">
        <f t="shared" si="4"/>
        <v>33844446.553492598</v>
      </c>
      <c r="K17" s="1182">
        <f t="shared" si="4"/>
        <v>67209157.672368407</v>
      </c>
      <c r="L17" s="1182">
        <f t="shared" si="4"/>
        <v>101403540.76932926</v>
      </c>
      <c r="M17" s="1182">
        <f t="shared" si="4"/>
        <v>136453571.23452243</v>
      </c>
      <c r="N17" s="1182">
        <f t="shared" si="4"/>
        <v>174086037.34997964</v>
      </c>
      <c r="O17" s="1182">
        <f t="shared" si="4"/>
        <v>204128565.7307559</v>
      </c>
      <c r="P17" s="1182">
        <f t="shared" si="4"/>
        <v>235109647.56229201</v>
      </c>
      <c r="Q17" s="1182">
        <f t="shared" si="4"/>
        <v>267058665.65892023</v>
      </c>
      <c r="R17" s="1182">
        <f t="shared" si="4"/>
        <v>300005922.36921215</v>
      </c>
      <c r="S17" s="1182">
        <f t="shared" si="4"/>
        <v>333982668.35467231</v>
      </c>
      <c r="T17" s="1182">
        <f t="shared" si="4"/>
        <v>369021132.26911032</v>
      </c>
      <c r="U17" s="1182">
        <f t="shared" si="4"/>
        <v>405154551.36688048</v>
      </c>
      <c r="V17" s="1182">
        <f t="shared" si="4"/>
        <v>442417203.06905842</v>
      </c>
      <c r="W17" s="1182">
        <f t="shared" si="4"/>
        <v>480844437.51753628</v>
      </c>
      <c r="X17" s="1181"/>
    </row>
    <row r="18" spans="2:24">
      <c r="C18" s="1182"/>
      <c r="E18" s="1182"/>
      <c r="F18" s="1182"/>
      <c r="G18" s="1182"/>
      <c r="H18" s="1182"/>
      <c r="I18" s="1182"/>
      <c r="J18" s="1182"/>
      <c r="K18" s="1182"/>
      <c r="L18" s="1182"/>
      <c r="M18" s="1182"/>
      <c r="N18" s="1182"/>
      <c r="O18" s="1182"/>
      <c r="P18" s="1182"/>
      <c r="Q18" s="1182"/>
      <c r="R18" s="1182"/>
      <c r="S18" s="1182"/>
      <c r="T18" s="1182"/>
      <c r="U18" s="1182"/>
      <c r="V18" s="1182"/>
      <c r="W18" s="1182"/>
      <c r="X18" s="1181"/>
    </row>
    <row r="19" spans="2:24">
      <c r="C19" s="1183"/>
      <c r="D19" s="1183"/>
      <c r="E19" s="1183"/>
      <c r="F19" s="1183"/>
      <c r="G19" s="1183"/>
      <c r="H19" s="1183"/>
      <c r="I19" s="1183"/>
      <c r="J19" s="1183"/>
      <c r="K19" s="1183"/>
      <c r="L19" s="1183"/>
      <c r="M19" s="1183"/>
      <c r="N19" s="1183"/>
      <c r="O19" s="1183"/>
      <c r="P19" s="1183"/>
      <c r="Q19" s="1183"/>
      <c r="R19" s="1183"/>
      <c r="S19" s="1183"/>
      <c r="T19" s="1183"/>
      <c r="U19" s="1183"/>
      <c r="V19" s="1183"/>
      <c r="W19" s="1183"/>
    </row>
    <row r="21" spans="2:24">
      <c r="B21" s="17" t="s">
        <v>4486</v>
      </c>
      <c r="C21" s="1183">
        <f>-C4</f>
        <v>170000000</v>
      </c>
    </row>
    <row r="22" spans="2:24">
      <c r="B22" s="17" t="s">
        <v>2522</v>
      </c>
      <c r="C22" s="307">
        <f>+IRR(C16:W16)</f>
        <v>0.16780633934335087</v>
      </c>
    </row>
    <row r="23" spans="2:24">
      <c r="B23" s="17" t="s">
        <v>4488</v>
      </c>
      <c r="C23" s="1182">
        <f>+AVERAGE(D16:W16)</f>
        <v>32542221.875876807</v>
      </c>
      <c r="D23" s="1184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1:M39"/>
  <sheetViews>
    <sheetView zoomScale="85" zoomScaleNormal="85" workbookViewId="0">
      <selection activeCell="H4" sqref="H4"/>
    </sheetView>
  </sheetViews>
  <sheetFormatPr baseColWidth="10" defaultColWidth="11" defaultRowHeight="14.25"/>
  <cols>
    <col min="1" max="2" width="11" style="894"/>
    <col min="3" max="3" width="25.5" style="894" bestFit="1" customWidth="1"/>
    <col min="4" max="4" width="17.125" style="894" bestFit="1" customWidth="1"/>
    <col min="5" max="5" width="13.625" style="894" bestFit="1" customWidth="1"/>
    <col min="6" max="6" width="14.375" style="894" customWidth="1"/>
    <col min="7" max="7" width="10.625" style="894" customWidth="1"/>
    <col min="8" max="8" width="27.625" style="894" customWidth="1"/>
    <col min="9" max="9" width="14.5" style="894" customWidth="1"/>
    <col min="10" max="10" width="14.5" style="894" bestFit="1" customWidth="1"/>
    <col min="11" max="16384" width="11" style="894"/>
  </cols>
  <sheetData>
    <row r="1" spans="2:13" ht="15" thickBot="1"/>
    <row r="2" spans="2:13" ht="15">
      <c r="B2" s="898"/>
      <c r="C2" s="899"/>
      <c r="D2" s="899"/>
      <c r="E2" s="899"/>
      <c r="F2" s="899"/>
      <c r="G2" s="899"/>
      <c r="H2" s="899"/>
      <c r="I2" s="899"/>
      <c r="J2" s="900"/>
    </row>
    <row r="3" spans="2:13" ht="21">
      <c r="B3" s="901"/>
      <c r="C3" s="902" t="s">
        <v>119</v>
      </c>
      <c r="D3" s="136"/>
      <c r="E3" s="136"/>
      <c r="F3" s="136"/>
      <c r="G3" s="136"/>
      <c r="H3" s="903"/>
      <c r="I3" s="893"/>
      <c r="J3" s="904"/>
    </row>
    <row r="4" spans="2:13" ht="15.75" thickBot="1">
      <c r="B4" s="901"/>
      <c r="C4" s="136"/>
      <c r="D4" s="136"/>
      <c r="E4" s="136"/>
      <c r="F4" s="136"/>
      <c r="G4" s="136"/>
      <c r="H4" s="136"/>
      <c r="I4" s="136"/>
      <c r="J4" s="904"/>
    </row>
    <row r="5" spans="2:13" ht="17.25">
      <c r="B5" s="901"/>
      <c r="C5" s="932" t="s">
        <v>1795</v>
      </c>
      <c r="D5" s="933" t="s">
        <v>138</v>
      </c>
      <c r="E5" s="136"/>
      <c r="F5" s="932" t="s">
        <v>139</v>
      </c>
      <c r="G5" s="1270" t="s">
        <v>140</v>
      </c>
      <c r="H5" s="1271"/>
      <c r="I5" s="933" t="s">
        <v>141</v>
      </c>
      <c r="J5" s="904"/>
    </row>
    <row r="6" spans="2:13" ht="63" customHeight="1">
      <c r="B6" s="901"/>
      <c r="C6" s="905" t="s">
        <v>1796</v>
      </c>
      <c r="D6" s="906">
        <f>(SUM('Datos de Entrada (On Grid)'!D25:D36)/COUNTA('Datos de Entrada (On Grid)'!D25:D36))*12</f>
        <v>10200</v>
      </c>
      <c r="E6" s="136"/>
      <c r="F6" s="124"/>
      <c r="G6" s="1272" t="str">
        <f>VLOOKUP('Datos de Entrada (On Grid)'!G20,'Datos Equipos'!B9:L24,2,FALSE)</f>
        <v>Panel solar Monocristalino  HalfCell (585W)</v>
      </c>
      <c r="H6" s="1273"/>
      <c r="I6" s="907">
        <f>+'Calculos (On Grid)'!B23</f>
        <v>14</v>
      </c>
      <c r="J6" s="908"/>
    </row>
    <row r="7" spans="2:13" ht="69.75" customHeight="1">
      <c r="B7" s="901"/>
      <c r="C7" s="905" t="s">
        <v>143</v>
      </c>
      <c r="D7" s="909">
        <f>+I6*'Calculos (On Grid)'!B10*'Calculos (On Grid)'!B9*'Calculos (On Grid)'!B8*'Calculos (On Grid)'!B7*'Calculos (On Grid)'!B5*365/1000</f>
        <v>10190.777236093543</v>
      </c>
      <c r="E7" s="136"/>
      <c r="F7" s="124"/>
      <c r="G7" s="1272" t="str">
        <f>VLOOKUP('Datos de Entrada (On Grid)'!G22,'Datos Equipos'!B28:K77,2,FALSE)</f>
        <v>Inversor Híbrido 8 kW Split phase</v>
      </c>
      <c r="H7" s="1273"/>
      <c r="I7" s="907">
        <f>+'Calculos (On Grid)'!C26</f>
        <v>1</v>
      </c>
      <c r="J7" s="910"/>
      <c r="M7" s="895"/>
    </row>
    <row r="8" spans="2:13" ht="66.95" customHeight="1">
      <c r="B8" s="901"/>
      <c r="C8" s="905" t="s">
        <v>144</v>
      </c>
      <c r="D8" s="911">
        <f>D7/D6</f>
        <v>0.99909580746015125</v>
      </c>
      <c r="E8" s="136"/>
      <c r="F8" s="125"/>
      <c r="G8" s="1272" t="s">
        <v>149</v>
      </c>
      <c r="H8" s="1273"/>
      <c r="I8" s="907">
        <v>1</v>
      </c>
      <c r="J8" s="904"/>
      <c r="M8" s="896"/>
    </row>
    <row r="9" spans="2:13" ht="60.95" customHeight="1">
      <c r="B9" s="901"/>
      <c r="C9" s="905" t="s">
        <v>1797</v>
      </c>
      <c r="D9" s="906">
        <f>+I6*3</f>
        <v>42</v>
      </c>
      <c r="E9" s="136"/>
      <c r="F9" s="125"/>
      <c r="G9" s="1272" t="s">
        <v>150</v>
      </c>
      <c r="H9" s="1273"/>
      <c r="I9" s="907">
        <v>1</v>
      </c>
      <c r="J9" s="904"/>
      <c r="M9" s="897"/>
    </row>
    <row r="10" spans="2:13" ht="69.75" customHeight="1">
      <c r="B10" s="901"/>
      <c r="C10" s="905" t="s">
        <v>1798</v>
      </c>
      <c r="D10" s="912">
        <f>'Datos de Entrada (On Grid)'!D22*D6</f>
        <v>11551377.600000001</v>
      </c>
      <c r="E10" s="136"/>
      <c r="F10" s="125"/>
      <c r="G10" s="1272" t="s">
        <v>151</v>
      </c>
      <c r="H10" s="1273"/>
      <c r="I10" s="907">
        <v>1</v>
      </c>
      <c r="J10" s="904"/>
      <c r="M10" s="895"/>
    </row>
    <row r="11" spans="2:13" ht="43.5" customHeight="1" thickBot="1">
      <c r="B11" s="901"/>
      <c r="C11" s="913" t="s">
        <v>147</v>
      </c>
      <c r="D11" s="914">
        <f>+'Datos de Entrada (On Grid)'!D52</f>
        <v>10386839.637494193</v>
      </c>
      <c r="E11" s="136"/>
      <c r="F11" s="126"/>
      <c r="G11" s="1274" t="s">
        <v>152</v>
      </c>
      <c r="H11" s="1275"/>
      <c r="I11" s="915">
        <v>1</v>
      </c>
      <c r="J11" s="904"/>
      <c r="M11" s="895"/>
    </row>
    <row r="12" spans="2:13" ht="16.5" thickBot="1">
      <c r="B12" s="901"/>
      <c r="C12" s="916" t="s">
        <v>1451</v>
      </c>
      <c r="D12" s="917">
        <f>+'Datos de Entrada (On Grid)'!D22</f>
        <v>1132.4880000000001</v>
      </c>
      <c r="E12" s="136"/>
      <c r="F12" s="136"/>
      <c r="G12" s="136"/>
      <c r="H12" s="918" t="s">
        <v>916</v>
      </c>
      <c r="I12" s="919" t="e">
        <f>+'Calculos (On Grid)'!D94+'Calculos (On Grid)'!F95</f>
        <v>#N/A</v>
      </c>
      <c r="J12" s="910"/>
      <c r="M12" s="895"/>
    </row>
    <row r="13" spans="2:13" ht="15.75" customHeight="1">
      <c r="B13" s="901"/>
      <c r="C13" s="920"/>
      <c r="D13" s="303"/>
      <c r="E13" s="136"/>
      <c r="F13" s="136"/>
      <c r="G13" s="136"/>
      <c r="H13" s="921" t="s">
        <v>153</v>
      </c>
      <c r="I13" s="922" t="e">
        <f>+'Calculos (On Grid)'!E94</f>
        <v>#N/A</v>
      </c>
      <c r="J13" s="910"/>
      <c r="M13" s="897"/>
    </row>
    <row r="14" spans="2:13" ht="16.5" customHeight="1" thickBot="1">
      <c r="B14" s="901"/>
      <c r="C14" s="136"/>
      <c r="D14" s="303"/>
      <c r="E14" s="136"/>
      <c r="F14" s="136"/>
      <c r="G14" s="136"/>
      <c r="H14" s="923" t="s">
        <v>112</v>
      </c>
      <c r="I14" s="924" t="e">
        <f>+'Calculos (On Grid)'!F96</f>
        <v>#N/A</v>
      </c>
      <c r="J14" s="925"/>
    </row>
    <row r="15" spans="2:13" ht="15.75" customHeight="1" thickBot="1">
      <c r="B15" s="901"/>
      <c r="C15" s="76"/>
      <c r="D15" s="76"/>
      <c r="E15" s="76"/>
      <c r="F15" s="136"/>
      <c r="G15" s="136"/>
      <c r="H15" s="294"/>
      <c r="I15" s="294"/>
      <c r="J15" s="926"/>
    </row>
    <row r="16" spans="2:13" ht="21" customHeight="1" thickBot="1">
      <c r="B16" s="901"/>
      <c r="C16" s="76"/>
      <c r="D16" s="76"/>
      <c r="E16" s="76"/>
      <c r="F16" s="1267" t="s">
        <v>1440</v>
      </c>
      <c r="G16" s="1268"/>
      <c r="H16" s="1268"/>
      <c r="I16" s="1269"/>
      <c r="J16" s="927"/>
    </row>
    <row r="17" spans="2:10" ht="21" customHeight="1">
      <c r="B17" s="901"/>
      <c r="C17" s="76"/>
      <c r="D17" s="76"/>
      <c r="E17" s="76"/>
      <c r="F17" s="1261" t="s">
        <v>1441</v>
      </c>
      <c r="G17" s="1262"/>
      <c r="H17" s="312">
        <f>+'Calculos (On Grid)'!B24/1000</f>
        <v>8.19</v>
      </c>
      <c r="I17" s="313" t="s">
        <v>187</v>
      </c>
      <c r="J17" s="904"/>
    </row>
    <row r="18" spans="2:10" ht="21" customHeight="1">
      <c r="B18" s="901"/>
      <c r="C18" s="76"/>
      <c r="D18" s="76"/>
      <c r="E18" s="76"/>
      <c r="F18" s="1263" t="s">
        <v>1442</v>
      </c>
      <c r="G18" s="1264"/>
      <c r="H18" s="314">
        <f>+I6</f>
        <v>14</v>
      </c>
      <c r="I18" s="315" t="s">
        <v>1443</v>
      </c>
      <c r="J18" s="904"/>
    </row>
    <row r="19" spans="2:10" ht="21" customHeight="1">
      <c r="B19" s="901"/>
      <c r="C19" s="76"/>
      <c r="D19" s="76"/>
      <c r="E19" s="76"/>
      <c r="F19" s="1263" t="s">
        <v>1445</v>
      </c>
      <c r="G19" s="1264"/>
      <c r="H19" s="316">
        <f>+'Datos de Entrada (On Grid)'!D52</f>
        <v>10386839.637494193</v>
      </c>
      <c r="I19" s="315" t="s">
        <v>1446</v>
      </c>
      <c r="J19" s="904"/>
    </row>
    <row r="20" spans="2:10" ht="21" customHeight="1">
      <c r="B20" s="901"/>
      <c r="C20" s="76"/>
      <c r="D20" s="76"/>
      <c r="E20" s="76"/>
      <c r="F20" s="1263" t="s">
        <v>1447</v>
      </c>
      <c r="G20" s="1264"/>
      <c r="H20" s="314">
        <f>+D9</f>
        <v>42</v>
      </c>
      <c r="I20" s="315" t="s">
        <v>1469</v>
      </c>
      <c r="J20" s="904"/>
    </row>
    <row r="21" spans="2:10" ht="21" customHeight="1" thickBot="1">
      <c r="B21" s="901"/>
      <c r="C21" s="294"/>
      <c r="D21" s="294"/>
      <c r="E21" s="928"/>
      <c r="F21" s="1265" t="s">
        <v>1448</v>
      </c>
      <c r="G21" s="1266"/>
      <c r="H21" s="826">
        <f>0.504*D7/1000</f>
        <v>5.1361517269911454</v>
      </c>
      <c r="I21" s="317" t="s">
        <v>1449</v>
      </c>
      <c r="J21" s="904"/>
    </row>
    <row r="22" spans="2:10" ht="21" customHeight="1">
      <c r="B22" s="901"/>
      <c r="C22" s="294"/>
      <c r="D22" s="294"/>
      <c r="E22" s="928"/>
      <c r="F22" s="903"/>
      <c r="G22" s="903"/>
      <c r="H22" s="829"/>
      <c r="I22" s="830"/>
      <c r="J22" s="904"/>
    </row>
    <row r="23" spans="2:10" ht="21" customHeight="1">
      <c r="B23" s="901"/>
      <c r="C23" s="294"/>
      <c r="D23" s="294"/>
      <c r="E23" s="928"/>
      <c r="F23" s="136"/>
      <c r="G23" s="136"/>
      <c r="H23" s="136"/>
      <c r="I23" s="136"/>
      <c r="J23" s="904"/>
    </row>
    <row r="24" spans="2:10" ht="21" customHeight="1">
      <c r="B24" s="901"/>
      <c r="C24" s="294"/>
      <c r="D24" s="294"/>
      <c r="E24" s="928"/>
      <c r="F24" s="136"/>
      <c r="G24" s="136"/>
      <c r="H24" s="136"/>
      <c r="I24" s="136"/>
      <c r="J24" s="904"/>
    </row>
    <row r="25" spans="2:10" ht="15" thickBot="1">
      <c r="B25" s="929"/>
      <c r="C25" s="930"/>
      <c r="D25" s="930"/>
      <c r="E25" s="930"/>
      <c r="F25" s="930"/>
      <c r="G25" s="930"/>
      <c r="H25" s="930"/>
      <c r="I25" s="930"/>
      <c r="J25" s="931"/>
    </row>
    <row r="36" ht="15" customHeight="1"/>
    <row r="37" ht="15" customHeight="1"/>
    <row r="38" ht="15" customHeight="1"/>
    <row r="39" ht="15.75" customHeight="1"/>
  </sheetData>
  <mergeCells count="13">
    <mergeCell ref="F16:I16"/>
    <mergeCell ref="G5:H5"/>
    <mergeCell ref="G6:H6"/>
    <mergeCell ref="G7:H7"/>
    <mergeCell ref="G8:H8"/>
    <mergeCell ref="G9:H9"/>
    <mergeCell ref="G10:H10"/>
    <mergeCell ref="G11:H11"/>
    <mergeCell ref="F17:G17"/>
    <mergeCell ref="F18:G18"/>
    <mergeCell ref="F19:G19"/>
    <mergeCell ref="F20:G20"/>
    <mergeCell ref="F21:G21"/>
  </mergeCells>
  <conditionalFormatting sqref="I3">
    <cfRule type="beginsWith" dxfId="18" priority="1" operator="beginsWith" text="Cumple">
      <formula>LEFT((I3),LEN("Cumple"))=("Cumple")</formula>
    </cfRule>
  </conditionalFormatting>
  <conditionalFormatting sqref="I3">
    <cfRule type="beginsWith" dxfId="17" priority="2" operator="beginsWith" text="No Cumple">
      <formula>LEFT((I3),LEN("No Cumple"))=("No Cumple")</formula>
    </cfRule>
  </conditionalFormatting>
  <pageMargins left="0.7" right="0.7" top="0.75" bottom="0.75" header="0.3" footer="0.3"/>
  <pageSetup orientation="portrait" horizontalDpi="4294967292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IrMenu">
                <anchor moveWithCells="1" sizeWithCells="1">
                  <from>
                    <xdr:col>4</xdr:col>
                    <xdr:colOff>981075</xdr:colOff>
                    <xdr:row>2</xdr:row>
                    <xdr:rowOff>76200</xdr:rowOff>
                  </from>
                  <to>
                    <xdr:col>6</xdr:col>
                    <xdr:colOff>600075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generar_wordEPC">
                <anchor moveWithCells="1" sizeWithCells="1">
                  <from>
                    <xdr:col>1</xdr:col>
                    <xdr:colOff>542925</xdr:colOff>
                    <xdr:row>12</xdr:row>
                    <xdr:rowOff>152400</xdr:rowOff>
                  </from>
                  <to>
                    <xdr:col>4</xdr:col>
                    <xdr:colOff>381000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generar_wordlight">
                <anchor moveWithCells="1" sizeWithCells="1">
                  <from>
                    <xdr:col>1</xdr:col>
                    <xdr:colOff>542925</xdr:colOff>
                    <xdr:row>15</xdr:row>
                    <xdr:rowOff>161925</xdr:rowOff>
                  </from>
                  <to>
                    <xdr:col>4</xdr:col>
                    <xdr:colOff>381000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generar_wordPPA">
                <anchor moveWithCells="1" sizeWithCells="1">
                  <from>
                    <xdr:col>1</xdr:col>
                    <xdr:colOff>542925</xdr:colOff>
                    <xdr:row>17</xdr:row>
                    <xdr:rowOff>161925</xdr:rowOff>
                  </from>
                  <to>
                    <xdr:col>4</xdr:col>
                    <xdr:colOff>381000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generar_wordEPCFIN">
                <anchor moveWithCells="1" sizeWithCells="1">
                  <from>
                    <xdr:col>1</xdr:col>
                    <xdr:colOff>542925</xdr:colOff>
                    <xdr:row>19</xdr:row>
                    <xdr:rowOff>171450</xdr:rowOff>
                  </from>
                  <to>
                    <xdr:col>4</xdr:col>
                    <xdr:colOff>381000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BC955-79A8-4BC7-A18A-340809AD51BD}">
  <sheetPr codeName="Hoja20"/>
  <dimension ref="C1:J31"/>
  <sheetViews>
    <sheetView zoomScale="70" zoomScaleNormal="70" workbookViewId="0">
      <selection activeCell="F18" sqref="F18"/>
    </sheetView>
  </sheetViews>
  <sheetFormatPr baseColWidth="10" defaultColWidth="11" defaultRowHeight="15"/>
  <cols>
    <col min="1" max="2" width="11" style="333"/>
    <col min="3" max="3" width="23.5" style="333" bestFit="1" customWidth="1"/>
    <col min="4" max="5" width="12" style="333" bestFit="1" customWidth="1"/>
    <col min="6" max="6" width="12.375" style="333" bestFit="1" customWidth="1"/>
    <col min="7" max="8" width="11" style="333"/>
    <col min="9" max="9" width="10.5" style="333" bestFit="1" customWidth="1"/>
    <col min="10" max="16384" width="11" style="333"/>
  </cols>
  <sheetData>
    <row r="1" spans="3:10" ht="15.75" thickBot="1"/>
    <row r="2" spans="3:10">
      <c r="C2" s="334" t="s">
        <v>1667</v>
      </c>
      <c r="D2" s="335" t="s">
        <v>187</v>
      </c>
      <c r="E2" s="455">
        <f>+'PPA Calculos'!D2</f>
        <v>8.19</v>
      </c>
    </row>
    <row r="3" spans="3:10">
      <c r="C3" s="341" t="s">
        <v>1669</v>
      </c>
      <c r="D3" s="342" t="s">
        <v>1668</v>
      </c>
      <c r="E3" s="456">
        <f>+'PPA Calculos'!D3</f>
        <v>8</v>
      </c>
    </row>
    <row r="4" spans="3:10">
      <c r="C4" s="341" t="s">
        <v>1670</v>
      </c>
      <c r="D4" s="342" t="s">
        <v>1671</v>
      </c>
      <c r="E4" s="457">
        <f>+'PPA Calculos'!D4</f>
        <v>4.4184833333333327</v>
      </c>
    </row>
    <row r="5" spans="3:10">
      <c r="C5" s="341" t="s">
        <v>211</v>
      </c>
      <c r="D5" s="342" t="s">
        <v>212</v>
      </c>
      <c r="E5" s="458">
        <f>+'PPA Calculos'!D5</f>
        <v>10190.777236093543</v>
      </c>
    </row>
    <row r="6" spans="3:10">
      <c r="C6" s="352" t="s">
        <v>1698</v>
      </c>
      <c r="D6" s="353" t="s">
        <v>214</v>
      </c>
      <c r="E6" s="459">
        <f>+'Datos de Salida (On grid)'!D8</f>
        <v>0.99909580746015125</v>
      </c>
      <c r="F6" s="333" t="s">
        <v>1699</v>
      </c>
    </row>
    <row r="7" spans="3:10" ht="15.75" thickBot="1">
      <c r="C7" s="344" t="s">
        <v>213</v>
      </c>
      <c r="D7" s="345" t="s">
        <v>214</v>
      </c>
      <c r="E7" s="460">
        <f>+'PPA Calculos'!D6</f>
        <v>5.4999999999999997E-3</v>
      </c>
    </row>
    <row r="8" spans="3:10" ht="15.75" thickBot="1"/>
    <row r="9" spans="3:10" ht="16.5" thickBot="1">
      <c r="C9" s="1276" t="s">
        <v>1700</v>
      </c>
      <c r="D9" s="1277"/>
      <c r="E9" s="1277"/>
      <c r="F9" s="1278"/>
    </row>
    <row r="10" spans="3:10" ht="16.5" thickBot="1">
      <c r="C10" s="1279" t="s">
        <v>1701</v>
      </c>
      <c r="D10" s="1281" t="s">
        <v>1702</v>
      </c>
      <c r="E10" s="1282"/>
      <c r="F10" s="1283"/>
    </row>
    <row r="11" spans="3:10" ht="16.5" thickBot="1">
      <c r="C11" s="1280"/>
      <c r="D11" s="461">
        <v>10</v>
      </c>
      <c r="E11" s="461">
        <v>12</v>
      </c>
      <c r="F11" s="462">
        <v>15</v>
      </c>
      <c r="I11" s="463"/>
      <c r="J11" s="463"/>
    </row>
    <row r="12" spans="3:10" ht="17.25" thickBot="1">
      <c r="C12" s="464" t="str">
        <f>+_xlfn.CONCAT(E2," ",D2)</f>
        <v>8,19 kWp</v>
      </c>
      <c r="D12" s="465">
        <f>+'PPA Calculos'!G127</f>
        <v>747.70786301420617</v>
      </c>
      <c r="E12" s="466">
        <f>+'PPA Calculos'!G128</f>
        <v>700.97778657832112</v>
      </c>
      <c r="F12" s="467">
        <f>+'PPA Calculos'!G130</f>
        <v>384.19785245115725</v>
      </c>
      <c r="I12" s="468"/>
      <c r="J12" s="468"/>
    </row>
    <row r="13" spans="3:10" ht="16.5" thickBot="1">
      <c r="C13" s="469"/>
      <c r="D13" s="469"/>
      <c r="E13" s="469"/>
      <c r="F13" s="469"/>
      <c r="I13" s="470"/>
    </row>
    <row r="14" spans="3:10" ht="16.5" thickBot="1">
      <c r="C14" s="1276" t="s">
        <v>1703</v>
      </c>
      <c r="D14" s="1277"/>
      <c r="E14" s="1277"/>
      <c r="F14" s="1278"/>
      <c r="I14" s="470"/>
    </row>
    <row r="15" spans="3:10" ht="16.5" thickBot="1">
      <c r="C15" s="1279" t="s">
        <v>1701</v>
      </c>
      <c r="D15" s="1281" t="s">
        <v>1702</v>
      </c>
      <c r="E15" s="1282"/>
      <c r="F15" s="1283"/>
      <c r="I15" s="471"/>
    </row>
    <row r="16" spans="3:10" ht="16.5" thickBot="1">
      <c r="C16" s="1280"/>
      <c r="D16" s="461">
        <v>10</v>
      </c>
      <c r="E16" s="461">
        <v>12</v>
      </c>
      <c r="F16" s="462">
        <v>15</v>
      </c>
    </row>
    <row r="17" spans="3:10" ht="17.25" thickBot="1">
      <c r="C17" s="464" t="str">
        <f>+_xlfn.CONCAT($E$2," ",$D$2)</f>
        <v>8,19 kWp</v>
      </c>
      <c r="D17" s="465">
        <f>+'PPA Calculos'!$D$5*(($E$24-D12)*('PPA Calculos'!$D$18)+(1-'PPA Calculos'!$D$18)*(('Datos de Entrada (On Grid)'!$D$19*0.9-'PPA Datos Salida'!$D12)))</f>
        <v>2767115.3678408731</v>
      </c>
      <c r="E17" s="466">
        <f>+'PPA Calculos'!$D$5*(($E$24-E12)*('PPA Calculos'!$D$18)+(1-'PPA Calculos'!$D$18)*(('Datos de Entrada (On Grid)'!$D$19*0.9-'PPA Datos Salida'!E12)))</f>
        <v>3243331.1670246017</v>
      </c>
      <c r="F17" s="467">
        <f>+'PPA Calculos'!$D$5*(($E$24-F12)*('PPA Calculos'!$D$18)+(1-'PPA Calculos'!$D$18)*(('Datos de Entrada (On Grid)'!$D$19*0.9-'PPA Datos Salida'!$F12)))</f>
        <v>6471564.9085789155</v>
      </c>
    </row>
    <row r="18" spans="3:10" ht="17.25" thickBot="1">
      <c r="C18" s="472"/>
      <c r="D18" s="473"/>
      <c r="E18" s="473"/>
      <c r="F18" s="473"/>
    </row>
    <row r="19" spans="3:10" ht="16.5" thickBot="1">
      <c r="C19" s="1276" t="s">
        <v>1704</v>
      </c>
      <c r="D19" s="1277"/>
      <c r="E19" s="1277"/>
      <c r="F19" s="1278"/>
    </row>
    <row r="20" spans="3:10" ht="16.5" thickBot="1">
      <c r="C20" s="1279" t="s">
        <v>1701</v>
      </c>
      <c r="D20" s="1281" t="s">
        <v>1702</v>
      </c>
      <c r="E20" s="1282"/>
      <c r="F20" s="1283"/>
    </row>
    <row r="21" spans="3:10" ht="16.5" thickBot="1">
      <c r="C21" s="1280"/>
      <c r="D21" s="461">
        <v>10</v>
      </c>
      <c r="E21" s="461">
        <v>12</v>
      </c>
      <c r="F21" s="462">
        <v>15</v>
      </c>
      <c r="I21" s="463"/>
      <c r="J21" s="463"/>
    </row>
    <row r="22" spans="3:10" ht="17.25" thickBot="1">
      <c r="C22" s="464" t="str">
        <f>+_xlfn.CONCAT($E$2," ",$D$2)</f>
        <v>8,19 kWp</v>
      </c>
      <c r="D22" s="465">
        <f>+$D$12*$E$5/12</f>
        <v>634977.0224711101</v>
      </c>
      <c r="E22" s="466">
        <f>+$E$12*$E$5/12</f>
        <v>595292.37253913272</v>
      </c>
      <c r="F22" s="467">
        <f>+$F$12*$E$5/12</f>
        <v>326272.89407627325</v>
      </c>
      <c r="I22" s="468"/>
      <c r="J22" s="468"/>
    </row>
    <row r="23" spans="3:10" ht="17.25" thickBot="1">
      <c r="C23" s="472"/>
      <c r="D23" s="473"/>
      <c r="E23" s="473"/>
      <c r="F23" s="473"/>
    </row>
    <row r="24" spans="3:10" ht="16.5" thickBot="1">
      <c r="C24" s="1284" t="s">
        <v>1705</v>
      </c>
      <c r="D24" s="1285"/>
      <c r="E24" s="1286">
        <f>+'PPA Calculos'!D17</f>
        <v>1132.4880000000001</v>
      </c>
      <c r="F24" s="1287"/>
    </row>
    <row r="29" spans="3:10" ht="15.75">
      <c r="I29" s="452"/>
    </row>
    <row r="30" spans="3:10" ht="15.75">
      <c r="I30" s="452"/>
    </row>
    <row r="31" spans="3:10" ht="15.75">
      <c r="I31" s="452"/>
    </row>
  </sheetData>
  <mergeCells count="11">
    <mergeCell ref="C19:F19"/>
    <mergeCell ref="C20:C21"/>
    <mergeCell ref="D20:F20"/>
    <mergeCell ref="C24:D24"/>
    <mergeCell ref="E24:F24"/>
    <mergeCell ref="C9:F9"/>
    <mergeCell ref="C10:C11"/>
    <mergeCell ref="D10:F10"/>
    <mergeCell ref="C14:F14"/>
    <mergeCell ref="C15:C16"/>
    <mergeCell ref="D15:F15"/>
  </mergeCells>
  <pageMargins left="0.7" right="0.7" top="0.75" bottom="0.75" header="0.3" footer="0.3"/>
  <pageSetup paperSize="9" orientation="portrait" horizontalDpi="4294967293" verticalDpi="4294967293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68FC0-DCE6-4B27-BF5D-DEFCDC327A3C}">
  <sheetPr codeName="Hoja30"/>
  <dimension ref="B1:C9"/>
  <sheetViews>
    <sheetView zoomScaleNormal="100" workbookViewId="0">
      <selection activeCell="K18" sqref="K18"/>
    </sheetView>
  </sheetViews>
  <sheetFormatPr baseColWidth="10" defaultColWidth="11" defaultRowHeight="14.25"/>
  <cols>
    <col min="1" max="2" width="11" style="76"/>
    <col min="3" max="3" width="16.625" style="76" bestFit="1" customWidth="1"/>
    <col min="4" max="16384" width="11" style="76"/>
  </cols>
  <sheetData>
    <row r="1" spans="2:3" ht="15">
      <c r="B1" s="116" t="s">
        <v>187</v>
      </c>
      <c r="C1" s="116" t="s">
        <v>216</v>
      </c>
    </row>
    <row r="2" spans="2:3">
      <c r="B2" s="107">
        <v>2.34</v>
      </c>
      <c r="C2" s="934">
        <v>6056658.9357674047</v>
      </c>
    </row>
    <row r="3" spans="2:3">
      <c r="B3" s="107">
        <v>5.2649999999999997</v>
      </c>
      <c r="C3" s="934">
        <v>4462645.5682435259</v>
      </c>
    </row>
    <row r="4" spans="2:3">
      <c r="B4" s="107">
        <v>12.87</v>
      </c>
      <c r="C4" s="934">
        <v>4139714.7060548617</v>
      </c>
    </row>
    <row r="5" spans="2:3">
      <c r="B5" s="107">
        <v>25.155000000000001</v>
      </c>
      <c r="C5" s="934">
        <v>4109588.5121149886</v>
      </c>
    </row>
    <row r="6" spans="2:3">
      <c r="B6" s="107">
        <v>62.01</v>
      </c>
      <c r="C6" s="934">
        <v>4075838.790325982</v>
      </c>
    </row>
    <row r="7" spans="2:3">
      <c r="B7" s="107">
        <v>123.435</v>
      </c>
      <c r="C7" s="934">
        <v>4007760.1720611528</v>
      </c>
    </row>
    <row r="8" spans="2:3" ht="15.75">
      <c r="B8" s="936"/>
      <c r="C8" s="935"/>
    </row>
    <row r="9" spans="2:3">
      <c r="B9" s="935"/>
      <c r="C9" s="935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930FE-402B-46C9-ACFA-2D73A1763482}">
  <sheetPr codeName="Hoja21"/>
  <dimension ref="A1:AK48"/>
  <sheetViews>
    <sheetView topLeftCell="K10" zoomScale="60" zoomScaleNormal="60" workbookViewId="0">
      <selection activeCell="R45" sqref="R45"/>
    </sheetView>
  </sheetViews>
  <sheetFormatPr baseColWidth="10" defaultColWidth="11" defaultRowHeight="15" outlineLevelRow="1"/>
  <cols>
    <col min="1" max="1" width="11" style="333"/>
    <col min="2" max="2" width="28.875" style="333" bestFit="1" customWidth="1"/>
    <col min="3" max="3" width="6.875" style="333" bestFit="1" customWidth="1"/>
    <col min="4" max="4" width="12.5" style="333" bestFit="1" customWidth="1"/>
    <col min="5" max="5" width="14.625" style="333" bestFit="1" customWidth="1"/>
    <col min="6" max="7" width="12.5" style="333" bestFit="1" customWidth="1"/>
    <col min="8" max="11" width="13.5" style="333" bestFit="1" customWidth="1"/>
    <col min="12" max="12" width="13" style="333" bestFit="1" customWidth="1"/>
    <col min="13" max="14" width="14.125" style="333" bestFit="1" customWidth="1"/>
    <col min="15" max="18" width="13" style="333" bestFit="1" customWidth="1"/>
    <col min="19" max="28" width="14.5" style="333" bestFit="1" customWidth="1"/>
    <col min="29" max="36" width="11" style="333"/>
    <col min="37" max="37" width="21.375" style="333" customWidth="1"/>
    <col min="38" max="16384" width="11" style="333"/>
  </cols>
  <sheetData>
    <row r="1" spans="1:37" ht="15.75" thickBot="1"/>
    <row r="2" spans="1:37" ht="15.75" thickBot="1">
      <c r="B2" s="374" t="s">
        <v>1706</v>
      </c>
      <c r="C2" s="363"/>
    </row>
    <row r="3" spans="1:37" outlineLevel="1">
      <c r="B3" s="375"/>
      <c r="C3" s="376" t="s">
        <v>227</v>
      </c>
      <c r="D3" s="376" t="s">
        <v>228</v>
      </c>
      <c r="E3" s="376" t="s">
        <v>229</v>
      </c>
      <c r="F3" s="376" t="s">
        <v>230</v>
      </c>
      <c r="G3" s="376" t="s">
        <v>231</v>
      </c>
      <c r="H3" s="376" t="s">
        <v>232</v>
      </c>
      <c r="I3" s="376" t="s">
        <v>233</v>
      </c>
      <c r="J3" s="376" t="s">
        <v>234</v>
      </c>
      <c r="K3" s="376" t="s">
        <v>235</v>
      </c>
      <c r="L3" s="376" t="s">
        <v>236</v>
      </c>
      <c r="M3" s="376" t="s">
        <v>237</v>
      </c>
      <c r="N3" s="376" t="s">
        <v>238</v>
      </c>
      <c r="O3" s="376" t="s">
        <v>239</v>
      </c>
      <c r="P3" s="376" t="s">
        <v>240</v>
      </c>
      <c r="Q3" s="376" t="s">
        <v>241</v>
      </c>
      <c r="R3" s="376" t="s">
        <v>242</v>
      </c>
      <c r="S3" s="376" t="s">
        <v>243</v>
      </c>
      <c r="T3" s="376" t="s">
        <v>244</v>
      </c>
      <c r="U3" s="376" t="s">
        <v>245</v>
      </c>
      <c r="V3" s="376" t="s">
        <v>246</v>
      </c>
      <c r="W3" s="376" t="s">
        <v>247</v>
      </c>
      <c r="X3" s="376" t="s">
        <v>248</v>
      </c>
      <c r="Y3" s="376" t="s">
        <v>249</v>
      </c>
      <c r="Z3" s="376" t="s">
        <v>250</v>
      </c>
      <c r="AA3" s="376" t="s">
        <v>251</v>
      </c>
      <c r="AB3" s="500" t="s">
        <v>252</v>
      </c>
    </row>
    <row r="4" spans="1:37" s="347" customFormat="1" ht="15.75" outlineLevel="1" thickBot="1">
      <c r="B4" s="379"/>
      <c r="C4" s="380">
        <v>0</v>
      </c>
      <c r="D4" s="380">
        <v>1</v>
      </c>
      <c r="E4" s="380">
        <v>2</v>
      </c>
      <c r="F4" s="380">
        <v>3</v>
      </c>
      <c r="G4" s="380">
        <v>4</v>
      </c>
      <c r="H4" s="380">
        <v>5</v>
      </c>
      <c r="I4" s="380">
        <v>6</v>
      </c>
      <c r="J4" s="380">
        <v>7</v>
      </c>
      <c r="K4" s="380">
        <v>8</v>
      </c>
      <c r="L4" s="380">
        <v>9</v>
      </c>
      <c r="M4" s="380">
        <v>10</v>
      </c>
      <c r="N4" s="380">
        <v>11</v>
      </c>
      <c r="O4" s="380">
        <v>12</v>
      </c>
      <c r="P4" s="380">
        <v>13</v>
      </c>
      <c r="Q4" s="380">
        <v>14</v>
      </c>
      <c r="R4" s="380">
        <v>15</v>
      </c>
      <c r="S4" s="380">
        <v>16</v>
      </c>
      <c r="T4" s="380">
        <v>17</v>
      </c>
      <c r="U4" s="380">
        <v>18</v>
      </c>
      <c r="V4" s="380">
        <v>19</v>
      </c>
      <c r="W4" s="380">
        <v>20</v>
      </c>
      <c r="X4" s="380">
        <v>21</v>
      </c>
      <c r="Y4" s="380">
        <v>22</v>
      </c>
      <c r="Z4" s="380">
        <v>23</v>
      </c>
      <c r="AA4" s="380">
        <v>24</v>
      </c>
      <c r="AB4" s="501">
        <v>25</v>
      </c>
    </row>
    <row r="5" spans="1:37" outlineLevel="1">
      <c r="A5" s="347" t="s">
        <v>253</v>
      </c>
      <c r="B5" s="383" t="s">
        <v>254</v>
      </c>
      <c r="C5" s="384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385"/>
      <c r="R5" s="385"/>
      <c r="S5" s="385"/>
      <c r="T5" s="385"/>
      <c r="U5" s="385"/>
      <c r="V5" s="385"/>
      <c r="W5" s="385"/>
      <c r="X5" s="385"/>
      <c r="Y5" s="385"/>
      <c r="Z5" s="385"/>
      <c r="AA5" s="385"/>
      <c r="AB5" s="339"/>
    </row>
    <row r="6" spans="1:37" outlineLevel="1">
      <c r="A6" s="347"/>
      <c r="B6" s="386" t="s">
        <v>1707</v>
      </c>
      <c r="C6" s="369"/>
      <c r="D6" s="387">
        <f>+'PPA Calculos'!D35</f>
        <v>10190.777236093543</v>
      </c>
      <c r="E6" s="387">
        <f>+'PPA Calculos'!E35</f>
        <v>10134.72796129503</v>
      </c>
      <c r="F6" s="387">
        <f>+'PPA Calculos'!F35</f>
        <v>10078.986957507906</v>
      </c>
      <c r="G6" s="387">
        <f>+'PPA Calculos'!G35</f>
        <v>10023.552529241613</v>
      </c>
      <c r="H6" s="387">
        <f>+'PPA Calculos'!H35</f>
        <v>9968.4229903307842</v>
      </c>
      <c r="I6" s="387">
        <f>+'PPA Calculos'!I35</f>
        <v>9913.5966638839654</v>
      </c>
      <c r="J6" s="387">
        <f>+'PPA Calculos'!J35</f>
        <v>9859.0718822326035</v>
      </c>
      <c r="K6" s="387">
        <f>+'PPA Calculos'!K35</f>
        <v>9804.846986880324</v>
      </c>
      <c r="L6" s="387">
        <f>+'PPA Calculos'!L35</f>
        <v>9750.9203284524829</v>
      </c>
      <c r="M6" s="387">
        <f>+'PPA Calculos'!M35</f>
        <v>9697.2902666459941</v>
      </c>
      <c r="N6" s="387">
        <f>+'PPA Calculos'!N35</f>
        <v>9643.9551701794408</v>
      </c>
      <c r="O6" s="387">
        <f>+'PPA Calculos'!O35</f>
        <v>9590.9134167434531</v>
      </c>
      <c r="P6" s="387">
        <f>+'PPA Calculos'!P35</f>
        <v>9538.1633929513646</v>
      </c>
      <c r="Q6" s="387">
        <f>+'PPA Calculos'!Q35</f>
        <v>9485.7034942901319</v>
      </c>
      <c r="R6" s="387">
        <f>+'PPA Calculos'!R35</f>
        <v>9433.5321250715369</v>
      </c>
      <c r="S6" s="387">
        <f>+'PPA Calculos'!S35</f>
        <v>9381.6476983836437</v>
      </c>
      <c r="T6" s="387">
        <f>+'PPA Calculos'!T35</f>
        <v>9330.048636042533</v>
      </c>
      <c r="U6" s="387">
        <f>+'PPA Calculos'!U35</f>
        <v>9278.7333685442991</v>
      </c>
      <c r="V6" s="387">
        <f>+'PPA Calculos'!V35</f>
        <v>9227.7003350173054</v>
      </c>
      <c r="W6" s="387">
        <f>+'PPA Calculos'!W35</f>
        <v>9176.9479831747103</v>
      </c>
      <c r="X6" s="387">
        <f>+'PPA Calculos'!X35</f>
        <v>9126.4747692672499</v>
      </c>
      <c r="Y6" s="387">
        <f>+'PPA Calculos'!Y35</f>
        <v>9076.2791580362809</v>
      </c>
      <c r="Z6" s="387">
        <f>+'PPA Calculos'!Z35</f>
        <v>9026.3596226670816</v>
      </c>
      <c r="AA6" s="387">
        <f>+'PPA Calculos'!AA35</f>
        <v>8976.7146447424129</v>
      </c>
      <c r="AB6" s="387">
        <f>+'PPA Calculos'!AB35</f>
        <v>8927.3427141963293</v>
      </c>
    </row>
    <row r="7" spans="1:37" outlineLevel="1">
      <c r="A7" s="347"/>
      <c r="B7" s="386" t="s">
        <v>2253</v>
      </c>
      <c r="C7" s="369"/>
      <c r="D7" s="769">
        <f>+'PPA Datos Salida'!$E$24*(1+'PPA Calculos'!$D$21)^(D4-1)</f>
        <v>1132.4880000000001</v>
      </c>
      <c r="E7" s="769">
        <f>+'PPA Datos Salida'!$E$24*(1+'PPA Calculos'!$D$21)^(E4-1)</f>
        <v>1211.7621600000002</v>
      </c>
      <c r="F7" s="769">
        <f>+'PPA Datos Salida'!$E$24*(1+'PPA Calculos'!$D$21)^(F4-1)</f>
        <v>1296.5855112000002</v>
      </c>
      <c r="G7" s="769">
        <f>+'PPA Datos Salida'!$E$24*(1+'PPA Calculos'!$D$21)^(G4-1)</f>
        <v>1387.3464969840002</v>
      </c>
      <c r="H7" s="769">
        <f>+'PPA Datos Salida'!$E$24*(1+'PPA Calculos'!$D$21)^(H4-1)</f>
        <v>1484.46075177288</v>
      </c>
      <c r="I7" s="769">
        <f>+'PPA Datos Salida'!$E$24*(1+'PPA Calculos'!$D$21)^(I4-1)</f>
        <v>1588.373004396982</v>
      </c>
      <c r="J7" s="769">
        <f>+'PPA Datos Salida'!$E$24*(1+'PPA Calculos'!$D$21)^(J4-1)</f>
        <v>1699.5591147047705</v>
      </c>
      <c r="K7" s="769">
        <f>+'PPA Datos Salida'!$E$24*(1+'PPA Calculos'!$D$21)^(K4-1)</f>
        <v>1818.5282527341046</v>
      </c>
      <c r="L7" s="769">
        <f>+'PPA Datos Salida'!$E$24*(1+'PPA Calculos'!$D$21)^(L4-1)</f>
        <v>1945.8252304254918</v>
      </c>
      <c r="M7" s="769">
        <f>+'PPA Datos Salida'!$E$24*(1+'PPA Calculos'!$D$21)^(M4-1)</f>
        <v>2082.0329965552764</v>
      </c>
      <c r="N7" s="769">
        <f>+'PPA Datos Salida'!$E$24*(1+'PPA Calculos'!$D$21)^(N4-1)</f>
        <v>2227.7753063141458</v>
      </c>
      <c r="O7" s="769">
        <f>+'PPA Datos Salida'!$E$24*(1+'PPA Calculos'!$D$21)^(O4-1)</f>
        <v>2383.719577756136</v>
      </c>
      <c r="P7" s="769">
        <f>+'PPA Datos Salida'!$E$24*(1+'PPA Calculos'!$D$21)^(P4-1)</f>
        <v>2550.5799481990653</v>
      </c>
      <c r="Q7" s="769">
        <f>+'PPA Datos Salida'!$E$24*(1+'PPA Calculos'!$D$21)^(Q4-1)</f>
        <v>2729.1205445730002</v>
      </c>
      <c r="R7" s="769">
        <f>+'PPA Datos Salida'!$E$24*(1+'PPA Calculos'!$D$21)^(R4-1)</f>
        <v>2920.1589826931099</v>
      </c>
      <c r="S7" s="769">
        <f>+'PPA Datos Salida'!$E$24*(1+'PPA Calculos'!$D$21)^(S4-1)</f>
        <v>3124.5701114816279</v>
      </c>
      <c r="T7" s="769">
        <f>+'PPA Datos Salida'!$E$24*(1+'PPA Calculos'!$D$21)^(T4-1)</f>
        <v>3343.2900192853413</v>
      </c>
      <c r="U7" s="769">
        <f>+'PPA Datos Salida'!$E$24*(1+'PPA Calculos'!$D$21)^(U4-1)</f>
        <v>3577.3203206353155</v>
      </c>
      <c r="V7" s="769">
        <f>+'PPA Datos Salida'!$E$24*(1+'PPA Calculos'!$D$21)^(V4-1)</f>
        <v>3827.7327430797877</v>
      </c>
      <c r="W7" s="769">
        <f>+'PPA Datos Salida'!$E$24*(1+'PPA Calculos'!$D$21)^(W4-1)</f>
        <v>4095.6740350953728</v>
      </c>
      <c r="X7" s="769">
        <f>+'PPA Datos Salida'!$E$24*(1+'PPA Calculos'!$D$21)^(X4-1)</f>
        <v>4382.3712175520486</v>
      </c>
      <c r="Y7" s="769">
        <f>+'PPA Datos Salida'!$E$24*(1+'PPA Calculos'!$D$21)^(Y4-1)</f>
        <v>4689.137202780692</v>
      </c>
      <c r="Z7" s="769">
        <f>+'PPA Datos Salida'!$E$24*(1+'PPA Calculos'!$D$21)^(Z4-1)</f>
        <v>5017.3768069753405</v>
      </c>
      <c r="AA7" s="769">
        <f>+'PPA Datos Salida'!$E$24*(1+'PPA Calculos'!$D$21)^(AA4-1)</f>
        <v>5368.5931834636149</v>
      </c>
      <c r="AB7" s="769">
        <f>+'PPA Datos Salida'!$E$24*(1+'PPA Calculos'!$D$21)^(AB4-1)</f>
        <v>5744.3947063060677</v>
      </c>
    </row>
    <row r="8" spans="1:37" outlineLevel="1">
      <c r="A8" s="347"/>
      <c r="B8" s="386" t="s">
        <v>2254</v>
      </c>
      <c r="C8" s="369"/>
      <c r="D8" s="769">
        <f>+'PPA Datos Salida'!$D$12*(1+'PPA Calculos'!$D$20)^(D4-1)</f>
        <v>747.70786301420617</v>
      </c>
      <c r="E8" s="769">
        <f>+'PPA Datos Salida'!$D$12*(1+'PPA Calculos'!$D$20)^(E4-1)</f>
        <v>775.37305394573173</v>
      </c>
      <c r="F8" s="769">
        <f>+'PPA Datos Salida'!$D$12*(1+'PPA Calculos'!$D$20)^(F4-1)</f>
        <v>804.0618569417237</v>
      </c>
      <c r="G8" s="769">
        <f>+'PPA Datos Salida'!$D$12*(1+'PPA Calculos'!$D$20)^(G4-1)</f>
        <v>833.81214564856748</v>
      </c>
      <c r="H8" s="769">
        <f>+'PPA Datos Salida'!$D$12*(1+'PPA Calculos'!$D$20)^(H4-1)</f>
        <v>864.66319503756438</v>
      </c>
      <c r="I8" s="769">
        <f>+'PPA Datos Salida'!$D$12*(1+'PPA Calculos'!$D$20)^(I4-1)</f>
        <v>896.65573325395428</v>
      </c>
      <c r="J8" s="769">
        <f>+'PPA Datos Salida'!$D$12*(1+'PPA Calculos'!$D$20)^(J4-1)</f>
        <v>929.83199538435042</v>
      </c>
      <c r="K8" s="769">
        <f>+'PPA Datos Salida'!$D$12*(1+'PPA Calculos'!$D$20)^(K4-1)</f>
        <v>964.23577921357139</v>
      </c>
      <c r="L8" s="769">
        <f>+'PPA Datos Salida'!$D$12*(1+'PPA Calculos'!$D$20)^(L4-1)</f>
        <v>999.9125030444734</v>
      </c>
      <c r="M8" s="769">
        <f>+'PPA Datos Salida'!$D$12*(1+'PPA Calculos'!$D$20)^(M4-1)</f>
        <v>1036.9092656571188</v>
      </c>
      <c r="N8" s="769"/>
      <c r="O8" s="769"/>
      <c r="P8" s="769"/>
      <c r="Q8" s="769"/>
      <c r="R8" s="769"/>
      <c r="S8" s="769"/>
      <c r="T8" s="769"/>
      <c r="U8" s="769"/>
      <c r="V8" s="769"/>
      <c r="W8" s="769"/>
      <c r="X8" s="769"/>
      <c r="Y8" s="769"/>
      <c r="Z8" s="769"/>
      <c r="AA8" s="769"/>
      <c r="AB8" s="769"/>
    </row>
    <row r="9" spans="1:37" outlineLevel="1">
      <c r="A9" s="347"/>
      <c r="B9" s="386" t="s">
        <v>1708</v>
      </c>
      <c r="C9" s="369"/>
      <c r="D9" s="770">
        <f>+D7-D8</f>
        <v>384.78013698579389</v>
      </c>
      <c r="E9" s="770">
        <f>+E7-E8</f>
        <v>436.3891060542685</v>
      </c>
      <c r="F9" s="770">
        <f t="shared" ref="F9:AB9" si="0">+F7-F8</f>
        <v>492.52365425827645</v>
      </c>
      <c r="G9" s="770">
        <f t="shared" si="0"/>
        <v>553.53435133543269</v>
      </c>
      <c r="H9" s="770">
        <f t="shared" si="0"/>
        <v>619.79755673531565</v>
      </c>
      <c r="I9" s="770">
        <f t="shared" si="0"/>
        <v>691.71727114302769</v>
      </c>
      <c r="J9" s="770">
        <f t="shared" si="0"/>
        <v>769.72711932042012</v>
      </c>
      <c r="K9" s="770">
        <f t="shared" si="0"/>
        <v>854.29247352053324</v>
      </c>
      <c r="L9" s="770">
        <f t="shared" si="0"/>
        <v>945.91272738101839</v>
      </c>
      <c r="M9" s="770">
        <f t="shared" si="0"/>
        <v>1045.1237308981576</v>
      </c>
      <c r="N9" s="770">
        <f t="shared" si="0"/>
        <v>2227.7753063141458</v>
      </c>
      <c r="O9" s="770">
        <f t="shared" si="0"/>
        <v>2383.719577756136</v>
      </c>
      <c r="P9" s="770">
        <f t="shared" si="0"/>
        <v>2550.5799481990653</v>
      </c>
      <c r="Q9" s="770">
        <f t="shared" si="0"/>
        <v>2729.1205445730002</v>
      </c>
      <c r="R9" s="770">
        <f t="shared" si="0"/>
        <v>2920.1589826931099</v>
      </c>
      <c r="S9" s="770">
        <f t="shared" si="0"/>
        <v>3124.5701114816279</v>
      </c>
      <c r="T9" s="770">
        <f t="shared" si="0"/>
        <v>3343.2900192853413</v>
      </c>
      <c r="U9" s="770">
        <f t="shared" si="0"/>
        <v>3577.3203206353155</v>
      </c>
      <c r="V9" s="770">
        <f t="shared" si="0"/>
        <v>3827.7327430797877</v>
      </c>
      <c r="W9" s="770">
        <f t="shared" si="0"/>
        <v>4095.6740350953728</v>
      </c>
      <c r="X9" s="770">
        <f t="shared" si="0"/>
        <v>4382.3712175520486</v>
      </c>
      <c r="Y9" s="770">
        <f t="shared" si="0"/>
        <v>4689.137202780692</v>
      </c>
      <c r="Z9" s="770">
        <f t="shared" si="0"/>
        <v>5017.3768069753405</v>
      </c>
      <c r="AA9" s="770">
        <f t="shared" si="0"/>
        <v>5368.5931834636149</v>
      </c>
      <c r="AB9" s="770">
        <f t="shared" si="0"/>
        <v>5744.3947063060677</v>
      </c>
    </row>
    <row r="10" spans="1:37" outlineLevel="1">
      <c r="A10" s="347"/>
      <c r="B10" s="386" t="s">
        <v>2255</v>
      </c>
      <c r="C10" s="369"/>
      <c r="D10" s="770">
        <f>+'Datos de Entrada (On Grid)'!$D$19*(1+'Flujo de caja'!$D$24)^(D4-1)-0.1*'Datos de Entrada (On Grid)'!$D$19*(1+'Flujo de caja'!$D$23)^(D4-1)</f>
        <v>849.36599999999999</v>
      </c>
      <c r="E10" s="770">
        <f>+'Datos de Entrada (On Grid)'!$D$19*(1+'Flujo de caja'!$D$24)^(E4-1)-0.1*'Datos de Entrada (On Grid)'!$D$19*(1+'Flujo de caja'!$D$23)^(E4-1)</f>
        <v>911.93596200000002</v>
      </c>
      <c r="F10" s="770">
        <f>+'Datos de Entrada (On Grid)'!$D$19*(1+'Flujo de caja'!$D$24)^(F4-1)-0.1*'Datos de Entrada (On Grid)'!$D$19*(1+'Flujo de caja'!$D$23)^(F4-1)</f>
        <v>979.00105199400002</v>
      </c>
      <c r="G10" s="770">
        <f>+'Datos de Entrada (On Grid)'!$D$19*(1+'Flujo de caja'!$D$24)^(G4-1)-0.1*'Datos de Entrada (On Grid)'!$D$19*(1+'Flujo de caja'!$D$23)^(G4-1)</f>
        <v>1050.8801924757781</v>
      </c>
      <c r="H10" s="770">
        <f>+'Datos de Entrada (On Grid)'!$D$19*(1+'Flujo de caja'!$D$24)^(H4-1)-0.1*'Datos de Entrada (On Grid)'!$D$19*(1+'Flujo de caja'!$D$23)^(H4-1)</f>
        <v>1127.914788264442</v>
      </c>
      <c r="I10" s="770">
        <f>+'Datos de Entrada (On Grid)'!$D$19*(1+'Flujo de caja'!$D$24)^(I4-1)-0.1*'Datos de Entrada (On Grid)'!$D$19*(1+'Flujo de caja'!$D$23)^(I4-1)</f>
        <v>1210.4703061039806</v>
      </c>
      <c r="J10" s="770">
        <f>+'Datos de Entrada (On Grid)'!$D$19*(1+'Flujo de caja'!$D$24)^(J4-1)-0.1*'Datos de Entrada (On Grid)'!$D$19*(1+'Flujo de caja'!$D$23)^(J4-1)</f>
        <v>1298.9379650507447</v>
      </c>
      <c r="K10" s="770">
        <f>+'Datos de Entrada (On Grid)'!$D$19*(1+'Flujo de caja'!$D$24)^(K4-1)-0.1*'Datos de Entrada (On Grid)'!$D$19*(1+'Flujo de caja'!$D$23)^(K4-1)</f>
        <v>1393.7365454120036</v>
      </c>
      <c r="L10" s="770">
        <f>+'Datos de Entrada (On Grid)'!$D$19*(1+'Flujo de caja'!$D$24)^(L4-1)-0.1*'Datos de Entrada (On Grid)'!$D$19*(1+'Flujo de caja'!$D$23)^(L4-1)</f>
        <v>1495.3143245424355</v>
      </c>
      <c r="M10" s="770">
        <f>+'Datos de Entrada (On Grid)'!$D$19*(1+'Flujo de caja'!$D$24)^(M4-1)-0.1*'Datos de Entrada (On Grid)'!$D$19*(1+'Flujo de caja'!$D$23)^(M4-1)</f>
        <v>1604.1511483872068</v>
      </c>
      <c r="N10" s="770">
        <f>+'Datos de Entrada (On Grid)'!$D$19*(1+'Flujo de caja'!$D$24)^(N4-1)-0.1*'Datos de Entrada (On Grid)'!$D$19*(1+'Flujo de caja'!$D$23)^(N4-1)</f>
        <v>1720.7606482828037</v>
      </c>
      <c r="O10" s="770">
        <f>+'Datos de Entrada (On Grid)'!$D$19*(1+'Flujo de caja'!$D$24)^(O4-1)-0.1*'Datos de Entrada (On Grid)'!$D$19*(1+'Flujo de caja'!$D$23)^(O4-1)</f>
        <v>1845.6926131929067</v>
      </c>
      <c r="P10" s="770">
        <f>+'Datos de Entrada (On Grid)'!$D$19*(1+'Flujo de caja'!$D$24)^(P4-1)-0.1*'Datos de Entrada (On Grid)'!$D$19*(1+'Flujo de caja'!$D$23)^(P4-1)</f>
        <v>1979.5355282693372</v>
      </c>
      <c r="Q10" s="770">
        <f>+'Datos de Entrada (On Grid)'!$D$19*(1+'Flujo de caja'!$D$24)^(Q4-1)-0.1*'Datos de Entrada (On Grid)'!$D$19*(1+'Flujo de caja'!$D$23)^(Q4-1)</f>
        <v>2122.9192913907773</v>
      </c>
      <c r="R10" s="770">
        <f>+'Datos de Entrada (On Grid)'!$D$19*(1+'Flujo de caja'!$D$24)^(R4-1)-0.1*'Datos de Entrada (On Grid)'!$D$19*(1+'Flujo de caja'!$D$23)^(R4-1)</f>
        <v>2276.5181201479932</v>
      </c>
      <c r="S10" s="770">
        <f>+'Datos de Entrada (On Grid)'!$D$19*(1+'Flujo de caja'!$D$24)^(S4-1)-0.1*'Datos de Entrada (On Grid)'!$D$19*(1+'Flujo de caja'!$D$23)^(S4-1)</f>
        <v>2441.0536626175299</v>
      </c>
      <c r="T10" s="770">
        <f>+'Datos de Entrada (On Grid)'!$D$19*(1+'Flujo de caja'!$D$24)^(T4-1)-0.1*'Datos de Entrada (On Grid)'!$D$19*(1+'Flujo de caja'!$D$23)^(T4-1)</f>
        <v>2617.298326200123</v>
      </c>
      <c r="U10" s="770">
        <f>+'Datos de Entrada (On Grid)'!$D$19*(1+'Flujo de caja'!$D$24)^(U4-1)-0.1*'Datos de Entrada (On Grid)'!$D$19*(1+'Flujo de caja'!$D$23)^(U4-1)</f>
        <v>2806.0788397998745</v>
      </c>
      <c r="V10" s="770">
        <f>+'Datos de Entrada (On Grid)'!$D$19*(1+'Flujo de caja'!$D$24)^(V4-1)-0.1*'Datos de Entrada (On Grid)'!$D$19*(1+'Flujo de caja'!$D$23)^(V4-1)</f>
        <v>3008.2800656899412</v>
      </c>
      <c r="W10" s="770">
        <f>+'Datos de Entrada (On Grid)'!$D$19*(1+'Flujo de caja'!$D$24)^(W4-1)-0.1*'Datos de Entrada (On Grid)'!$D$19*(1+'Flujo de caja'!$D$23)^(W4-1)</f>
        <v>3224.8490785551635</v>
      </c>
      <c r="X10" s="770">
        <f>+'Datos de Entrada (On Grid)'!$D$19*(1+'Flujo de caja'!$D$24)^(X4-1)-0.1*'Datos de Entrada (On Grid)'!$D$19*(1+'Flujo de caja'!$D$23)^(X4-1)</f>
        <v>3456.799530426827</v>
      </c>
      <c r="Y10" s="770">
        <f>+'Datos de Entrada (On Grid)'!$D$19*(1+'Flujo de caja'!$D$24)^(Y4-1)-0.1*'Datos de Entrada (On Grid)'!$D$19*(1+'Flujo de caja'!$D$23)^(Y4-1)</f>
        <v>3705.2163215353012</v>
      </c>
      <c r="Z10" s="770">
        <f>+'Datos de Entrada (On Grid)'!$D$19*(1+'Flujo de caja'!$D$24)^(Z4-1)-0.1*'Datos de Entrada (On Grid)'!$D$19*(1+'Flujo de caja'!$D$23)^(Z4-1)</f>
        <v>3971.2605985085761</v>
      </c>
      <c r="AA10" s="770">
        <f>+'Datos de Entrada (On Grid)'!$D$19*(1+'Flujo de caja'!$D$24)^(AA4-1)-0.1*'Datos de Entrada (On Grid)'!$D$19*(1+'Flujo de caja'!$D$23)^(AA4-1)</f>
        <v>4256.1751028452154</v>
      </c>
      <c r="AB10" s="770">
        <f>+'Datos de Entrada (On Grid)'!$D$19*(1+'Flujo de caja'!$D$24)^(AB4-1)-0.1*'Datos de Entrada (On Grid)'!$D$19*(1+'Flujo de caja'!$D$23)^(AB4-1)</f>
        <v>4561.2898941957383</v>
      </c>
    </row>
    <row r="11" spans="1:37" outlineLevel="1">
      <c r="A11" s="347" t="s">
        <v>256</v>
      </c>
      <c r="B11" s="390" t="s">
        <v>257</v>
      </c>
      <c r="C11" s="369"/>
      <c r="D11" s="387">
        <f>D6*('Flujo de caja'!$D$21*D9+(1-'Flujo de caja'!$D$21)*(D10-D8))</f>
        <v>2767115.3678408731</v>
      </c>
      <c r="E11" s="387">
        <f>E6*('Flujo de caja'!$D$21*E9+(1-'Flujo de caja'!$D$21)*(E10-E8))</f>
        <v>3207222.0941729844</v>
      </c>
      <c r="F11" s="387">
        <f>F6*('Flujo de caja'!$D$21*F9+(1-'Flujo de caja'!$D$21)*(F10-F8))</f>
        <v>3683767.638635511</v>
      </c>
      <c r="G11" s="387">
        <f>G6*('Flujo de caja'!$D$21*G9+(1-'Flujo de caja'!$D$21)*(G10-G8))</f>
        <v>4199345.5763272047</v>
      </c>
      <c r="H11" s="387">
        <f>H6*('Flujo de caja'!$D$21*H9+(1-'Flujo de caja'!$D$21)*(H10-H8))</f>
        <v>4756723.8220123071</v>
      </c>
      <c r="I11" s="387">
        <f>I6*('Flujo de caja'!$D$21*I9+(1-'Flujo de caja'!$D$21)*(I10-I8))</f>
        <v>5358856.0599263413</v>
      </c>
      <c r="J11" s="387">
        <f>J6*('Flujo de caja'!$D$21*J9+(1-'Flujo de caja'!$D$21)*(J10-J8))</f>
        <v>6008893.9142911714</v>
      </c>
      <c r="K11" s="387">
        <f>K6*('Flujo de caja'!$D$21*K9+(1-'Flujo de caja'!$D$21)*(K10-K8))</f>
        <v>6710199.9082767991</v>
      </c>
      <c r="L11" s="387">
        <f>L6*('Flujo de caja'!$D$21*L9+(1-'Flujo de caja'!$D$21)*(L10-L8))</f>
        <v>7466361.2622156488</v>
      </c>
      <c r="M11" s="387">
        <f>M6*('Flujo de caja'!$D$21*M9+(1-'Flujo de caja'!$D$21)*(M10-M8))</f>
        <v>8281204.5851406436</v>
      </c>
      <c r="N11" s="387">
        <f>N6*('Flujo de caja'!$D$21*N9+(1-'Flujo de caja'!$D$21)*(N10-N8))</f>
        <v>19528714.530255143</v>
      </c>
      <c r="O11" s="387">
        <f>O6*('Flujo de caja'!$D$21*O9+(1-'Flujo de caja'!$D$21)*(O10-O8))</f>
        <v>20797980.066855673</v>
      </c>
      <c r="P11" s="387">
        <f>P6*('Flujo de caja'!$D$21*P9+(1-'Flujo de caja'!$D$21)*(P10-P8))</f>
        <v>22149162.299938958</v>
      </c>
      <c r="Q11" s="387">
        <f>Q6*('Flujo de caja'!$D$21*Q9+(1-'Flujo de caja'!$D$21)*(Q10-Q8))</f>
        <v>23587530.147773627</v>
      </c>
      <c r="R11" s="387">
        <f>R6*('Flujo de caja'!$D$21*R9+(1-'Flujo de caja'!$D$21)*(R10-R8))</f>
        <v>25118690.872020427</v>
      </c>
      <c r="S11" s="387">
        <f>S6*('Flujo de caja'!$D$21*S9+(1-'Flujo de caja'!$D$21)*(S10-S8))</f>
        <v>26748611.787102651</v>
      </c>
      <c r="T11" s="387">
        <f>T6*('Flujo de caja'!$D$21*T9+(1-'Flujo de caja'!$D$21)*(T10-T8))</f>
        <v>28483643.361988634</v>
      </c>
      <c r="U11" s="387">
        <f>U6*('Flujo de caja'!$D$21*U9+(1-'Flujo de caja'!$D$21)*(U10-U8))</f>
        <v>30330543.803677157</v>
      </c>
      <c r="V11" s="387">
        <f>V6*('Flujo de caja'!$D$21*V9+(1-'Flujo de caja'!$D$21)*(V10-V8))</f>
        <v>32296505.217401616</v>
      </c>
      <c r="W11" s="387">
        <f>W6*('Flujo de caja'!$D$21*W9+(1-'Flujo de caja'!$D$21)*(W10-W8))</f>
        <v>34389181.444661565</v>
      </c>
      <c r="X11" s="387">
        <f>X6*('Flujo de caja'!$D$21*X9+(1-'Flujo de caja'!$D$21)*(X10-X8))</f>
        <v>36616717.686673194</v>
      </c>
      <c r="Y11" s="387">
        <f>Y6*('Flujo de caja'!$D$21*Y9+(1-'Flujo de caja'!$D$21)*(Y10-Y8))</f>
        <v>38987782.02772925</v>
      </c>
      <c r="Z11" s="387">
        <f>Z6*('Flujo de caja'!$D$21*Z9+(1-'Flujo de caja'!$D$21)*(Z10-Z8))</f>
        <v>41511598.980299704</v>
      </c>
      <c r="AA11" s="387">
        <f>AA6*('Flujo de caja'!$D$21*AA9+(1-'Flujo de caja'!$D$21)*(AA10-AA8))</f>
        <v>44197985.181516752</v>
      </c>
      <c r="AB11" s="387">
        <f>AB6*('Flujo de caja'!$D$21*AB9+(1-'Flujo de caja'!$D$21)*(AB10-AB8))</f>
        <v>47057387.378999926</v>
      </c>
    </row>
    <row r="12" spans="1:37" outlineLevel="1">
      <c r="A12" s="347"/>
      <c r="B12" s="392"/>
      <c r="C12" s="369"/>
      <c r="D12" s="369"/>
      <c r="E12" s="369"/>
      <c r="F12" s="369"/>
      <c r="G12" s="369"/>
      <c r="H12" s="369"/>
      <c r="I12" s="369"/>
      <c r="J12" s="369"/>
      <c r="K12" s="369"/>
      <c r="L12" s="369"/>
      <c r="M12" s="369"/>
      <c r="N12" s="369"/>
      <c r="O12" s="369"/>
      <c r="P12" s="369"/>
      <c r="Q12" s="369"/>
      <c r="R12" s="369"/>
      <c r="S12" s="369"/>
      <c r="T12" s="369"/>
      <c r="U12" s="369"/>
      <c r="V12" s="369"/>
      <c r="W12" s="369"/>
      <c r="X12" s="369"/>
      <c r="Y12" s="369"/>
      <c r="Z12" s="369"/>
      <c r="AA12" s="369"/>
      <c r="AB12" s="370"/>
    </row>
    <row r="13" spans="1:37" outlineLevel="1">
      <c r="A13" s="347" t="s">
        <v>253</v>
      </c>
      <c r="B13" s="390" t="s">
        <v>258</v>
      </c>
      <c r="C13" s="369"/>
      <c r="D13" s="387"/>
      <c r="E13" s="387"/>
      <c r="F13" s="387"/>
      <c r="G13" s="387"/>
      <c r="H13" s="387"/>
      <c r="I13" s="387"/>
      <c r="J13" s="387"/>
      <c r="K13" s="387"/>
      <c r="L13" s="387"/>
      <c r="M13" s="387"/>
      <c r="N13" s="387" t="e">
        <f>+'PPA Calculos'!N39</f>
        <v>#N/A</v>
      </c>
      <c r="O13" s="387" t="e">
        <f>+'PPA Calculos'!O39</f>
        <v>#N/A</v>
      </c>
      <c r="P13" s="387" t="e">
        <f>+'PPA Calculos'!P39</f>
        <v>#N/A</v>
      </c>
      <c r="Q13" s="387" t="e">
        <f>+'PPA Calculos'!Q39</f>
        <v>#N/A</v>
      </c>
      <c r="R13" s="387" t="e">
        <f>+'PPA Calculos'!R39</f>
        <v>#N/A</v>
      </c>
      <c r="S13" s="387" t="e">
        <f>+'PPA Calculos'!S39</f>
        <v>#N/A</v>
      </c>
      <c r="T13" s="387" t="e">
        <f>+'PPA Calculos'!T39</f>
        <v>#N/A</v>
      </c>
      <c r="U13" s="387" t="e">
        <f>+'PPA Calculos'!U39</f>
        <v>#N/A</v>
      </c>
      <c r="V13" s="387" t="e">
        <f>+'PPA Calculos'!V39</f>
        <v>#N/A</v>
      </c>
      <c r="W13" s="387" t="e">
        <f>+'PPA Calculos'!W39</f>
        <v>#N/A</v>
      </c>
      <c r="X13" s="387" t="e">
        <f>+'PPA Calculos'!X39</f>
        <v>#N/A</v>
      </c>
      <c r="Y13" s="387" t="e">
        <f>+'PPA Calculos'!Y39</f>
        <v>#N/A</v>
      </c>
      <c r="Z13" s="387" t="e">
        <f>+'PPA Calculos'!Z39</f>
        <v>#N/A</v>
      </c>
      <c r="AA13" s="387" t="e">
        <f>+'PPA Calculos'!AA39</f>
        <v>#N/A</v>
      </c>
      <c r="AB13" s="387" t="e">
        <f>+'PPA Calculos'!AB39</f>
        <v>#N/A</v>
      </c>
    </row>
    <row r="14" spans="1:37" ht="15.75" outlineLevel="1" thickBot="1">
      <c r="A14" s="347"/>
      <c r="B14" s="398"/>
      <c r="C14" s="399"/>
      <c r="D14" s="399"/>
      <c r="E14" s="399"/>
      <c r="F14" s="399"/>
      <c r="G14" s="399"/>
      <c r="H14" s="399"/>
      <c r="I14" s="399"/>
      <c r="J14" s="399"/>
      <c r="K14" s="399"/>
      <c r="L14" s="399"/>
      <c r="M14" s="399"/>
      <c r="N14" s="399"/>
      <c r="O14" s="399"/>
      <c r="P14" s="399"/>
      <c r="Q14" s="399"/>
      <c r="R14" s="399"/>
      <c r="S14" s="399"/>
      <c r="T14" s="399"/>
      <c r="U14" s="399"/>
      <c r="V14" s="399"/>
      <c r="W14" s="399"/>
      <c r="X14" s="399"/>
      <c r="Y14" s="399"/>
      <c r="Z14" s="399"/>
      <c r="AA14" s="399"/>
      <c r="AB14" s="400"/>
    </row>
    <row r="15" spans="1:37" s="401" customFormat="1" ht="15.75" outlineLevel="1">
      <c r="B15" s="402" t="s">
        <v>260</v>
      </c>
      <c r="C15" s="403"/>
      <c r="D15" s="403">
        <f>SUM(D11:D14)</f>
        <v>2767115.3678408731</v>
      </c>
      <c r="E15" s="403">
        <f t="shared" ref="E15:AB15" si="1">SUM(E11:E14)</f>
        <v>3207222.0941729844</v>
      </c>
      <c r="F15" s="403">
        <f t="shared" si="1"/>
        <v>3683767.638635511</v>
      </c>
      <c r="G15" s="403">
        <f t="shared" si="1"/>
        <v>4199345.5763272047</v>
      </c>
      <c r="H15" s="403">
        <f t="shared" si="1"/>
        <v>4756723.8220123071</v>
      </c>
      <c r="I15" s="403">
        <f t="shared" si="1"/>
        <v>5358856.0599263413</v>
      </c>
      <c r="J15" s="403">
        <f t="shared" si="1"/>
        <v>6008893.9142911714</v>
      </c>
      <c r="K15" s="403">
        <f t="shared" si="1"/>
        <v>6710199.9082767991</v>
      </c>
      <c r="L15" s="403">
        <f t="shared" si="1"/>
        <v>7466361.2622156488</v>
      </c>
      <c r="M15" s="403">
        <f t="shared" si="1"/>
        <v>8281204.5851406436</v>
      </c>
      <c r="N15" s="403" t="e">
        <f t="shared" si="1"/>
        <v>#N/A</v>
      </c>
      <c r="O15" s="403" t="e">
        <f t="shared" si="1"/>
        <v>#N/A</v>
      </c>
      <c r="P15" s="403" t="e">
        <f t="shared" si="1"/>
        <v>#N/A</v>
      </c>
      <c r="Q15" s="403" t="e">
        <f t="shared" si="1"/>
        <v>#N/A</v>
      </c>
      <c r="R15" s="403" t="e">
        <f t="shared" si="1"/>
        <v>#N/A</v>
      </c>
      <c r="S15" s="403" t="e">
        <f t="shared" si="1"/>
        <v>#N/A</v>
      </c>
      <c r="T15" s="403" t="e">
        <f t="shared" si="1"/>
        <v>#N/A</v>
      </c>
      <c r="U15" s="403" t="e">
        <f t="shared" si="1"/>
        <v>#N/A</v>
      </c>
      <c r="V15" s="403" t="e">
        <f t="shared" si="1"/>
        <v>#N/A</v>
      </c>
      <c r="W15" s="403" t="e">
        <f t="shared" si="1"/>
        <v>#N/A</v>
      </c>
      <c r="X15" s="403" t="e">
        <f t="shared" si="1"/>
        <v>#N/A</v>
      </c>
      <c r="Y15" s="403" t="e">
        <f t="shared" si="1"/>
        <v>#N/A</v>
      </c>
      <c r="Z15" s="403" t="e">
        <f t="shared" si="1"/>
        <v>#N/A</v>
      </c>
      <c r="AA15" s="403" t="e">
        <f t="shared" si="1"/>
        <v>#N/A</v>
      </c>
      <c r="AB15" s="403" t="e">
        <f t="shared" si="1"/>
        <v>#N/A</v>
      </c>
    </row>
    <row r="16" spans="1:37" ht="16.5" outlineLevel="1" thickBot="1">
      <c r="B16" s="405" t="s">
        <v>261</v>
      </c>
      <c r="C16" s="406"/>
      <c r="D16" s="406">
        <f>C16+D15</f>
        <v>2767115.3678408731</v>
      </c>
      <c r="E16" s="406">
        <f t="shared" ref="E16:AB16" si="2">D16+E15</f>
        <v>5974337.4620138574</v>
      </c>
      <c r="F16" s="406">
        <f t="shared" si="2"/>
        <v>9658105.100649368</v>
      </c>
      <c r="G16" s="406">
        <f t="shared" si="2"/>
        <v>13857450.676976573</v>
      </c>
      <c r="H16" s="406">
        <f t="shared" si="2"/>
        <v>18614174.498988882</v>
      </c>
      <c r="I16" s="406">
        <f t="shared" si="2"/>
        <v>23973030.558915224</v>
      </c>
      <c r="J16" s="406">
        <f t="shared" si="2"/>
        <v>29981924.473206393</v>
      </c>
      <c r="K16" s="406">
        <f t="shared" si="2"/>
        <v>36692124.38148319</v>
      </c>
      <c r="L16" s="406">
        <f t="shared" si="2"/>
        <v>44158485.643698841</v>
      </c>
      <c r="M16" s="406">
        <f t="shared" si="2"/>
        <v>52439690.228839487</v>
      </c>
      <c r="N16" s="406" t="e">
        <f t="shared" si="2"/>
        <v>#N/A</v>
      </c>
      <c r="O16" s="406" t="e">
        <f t="shared" si="2"/>
        <v>#N/A</v>
      </c>
      <c r="P16" s="406" t="e">
        <f t="shared" si="2"/>
        <v>#N/A</v>
      </c>
      <c r="Q16" s="406" t="e">
        <f t="shared" si="2"/>
        <v>#N/A</v>
      </c>
      <c r="R16" s="406" t="e">
        <f t="shared" si="2"/>
        <v>#N/A</v>
      </c>
      <c r="S16" s="406" t="e">
        <f t="shared" si="2"/>
        <v>#N/A</v>
      </c>
      <c r="T16" s="406" t="e">
        <f t="shared" si="2"/>
        <v>#N/A</v>
      </c>
      <c r="U16" s="406" t="e">
        <f t="shared" si="2"/>
        <v>#N/A</v>
      </c>
      <c r="V16" s="406" t="e">
        <f t="shared" si="2"/>
        <v>#N/A</v>
      </c>
      <c r="W16" s="406" t="e">
        <f t="shared" si="2"/>
        <v>#N/A</v>
      </c>
      <c r="X16" s="406" t="e">
        <f t="shared" si="2"/>
        <v>#N/A</v>
      </c>
      <c r="Y16" s="406" t="e">
        <f t="shared" si="2"/>
        <v>#N/A</v>
      </c>
      <c r="Z16" s="406" t="e">
        <f t="shared" si="2"/>
        <v>#N/A</v>
      </c>
      <c r="AA16" s="406" t="e">
        <f t="shared" si="2"/>
        <v>#N/A</v>
      </c>
      <c r="AB16" s="407" t="e">
        <f t="shared" si="2"/>
        <v>#N/A</v>
      </c>
      <c r="AK16" s="766" t="s">
        <v>2213</v>
      </c>
    </row>
    <row r="17" spans="1:37" ht="16.5" thickBot="1">
      <c r="B17" s="332"/>
      <c r="AK17" s="767" t="e">
        <f>+AB16</f>
        <v>#N/A</v>
      </c>
    </row>
    <row r="18" spans="1:37" ht="15.75" thickBot="1">
      <c r="B18" s="374" t="s">
        <v>2941</v>
      </c>
    </row>
    <row r="19" spans="1:37" outlineLevel="1">
      <c r="B19" s="375"/>
      <c r="C19" s="376" t="s">
        <v>227</v>
      </c>
      <c r="D19" s="376" t="s">
        <v>228</v>
      </c>
      <c r="E19" s="376" t="s">
        <v>229</v>
      </c>
      <c r="F19" s="376" t="s">
        <v>230</v>
      </c>
      <c r="G19" s="376" t="s">
        <v>231</v>
      </c>
      <c r="H19" s="376" t="s">
        <v>232</v>
      </c>
      <c r="I19" s="376" t="s">
        <v>233</v>
      </c>
      <c r="J19" s="376" t="s">
        <v>234</v>
      </c>
      <c r="K19" s="376" t="s">
        <v>235</v>
      </c>
      <c r="L19" s="376" t="s">
        <v>236</v>
      </c>
      <c r="M19" s="376" t="s">
        <v>237</v>
      </c>
      <c r="N19" s="376" t="s">
        <v>238</v>
      </c>
      <c r="O19" s="376" t="s">
        <v>239</v>
      </c>
      <c r="P19" s="376" t="s">
        <v>240</v>
      </c>
      <c r="Q19" s="376" t="s">
        <v>241</v>
      </c>
      <c r="R19" s="376" t="s">
        <v>242</v>
      </c>
      <c r="S19" s="376" t="s">
        <v>243</v>
      </c>
      <c r="T19" s="376" t="s">
        <v>244</v>
      </c>
      <c r="U19" s="376" t="s">
        <v>245</v>
      </c>
      <c r="V19" s="376" t="s">
        <v>246</v>
      </c>
      <c r="W19" s="376" t="s">
        <v>247</v>
      </c>
      <c r="X19" s="376" t="s">
        <v>248</v>
      </c>
      <c r="Y19" s="376" t="s">
        <v>249</v>
      </c>
      <c r="Z19" s="376" t="s">
        <v>250</v>
      </c>
      <c r="AA19" s="376" t="s">
        <v>251</v>
      </c>
      <c r="AB19" s="500" t="s">
        <v>252</v>
      </c>
    </row>
    <row r="20" spans="1:37" s="347" customFormat="1" ht="15.75" outlineLevel="1" thickBot="1">
      <c r="B20" s="379"/>
      <c r="C20" s="380">
        <v>0</v>
      </c>
      <c r="D20" s="380">
        <v>1</v>
      </c>
      <c r="E20" s="380">
        <v>2</v>
      </c>
      <c r="F20" s="380">
        <v>3</v>
      </c>
      <c r="G20" s="380">
        <v>4</v>
      </c>
      <c r="H20" s="380">
        <v>5</v>
      </c>
      <c r="I20" s="380">
        <v>6</v>
      </c>
      <c r="J20" s="380">
        <v>7</v>
      </c>
      <c r="K20" s="380">
        <v>8</v>
      </c>
      <c r="L20" s="380">
        <v>9</v>
      </c>
      <c r="M20" s="380">
        <v>10</v>
      </c>
      <c r="N20" s="380">
        <v>11</v>
      </c>
      <c r="O20" s="380">
        <v>12</v>
      </c>
      <c r="P20" s="380">
        <v>13</v>
      </c>
      <c r="Q20" s="380">
        <v>14</v>
      </c>
      <c r="R20" s="380">
        <v>15</v>
      </c>
      <c r="S20" s="380">
        <v>16</v>
      </c>
      <c r="T20" s="380">
        <v>17</v>
      </c>
      <c r="U20" s="380">
        <v>18</v>
      </c>
      <c r="V20" s="380">
        <v>19</v>
      </c>
      <c r="W20" s="380">
        <v>20</v>
      </c>
      <c r="X20" s="380">
        <v>21</v>
      </c>
      <c r="Y20" s="380">
        <v>22</v>
      </c>
      <c r="Z20" s="380">
        <v>23</v>
      </c>
      <c r="AA20" s="380">
        <v>24</v>
      </c>
      <c r="AB20" s="501">
        <v>25</v>
      </c>
    </row>
    <row r="21" spans="1:37" outlineLevel="1">
      <c r="A21" s="347" t="s">
        <v>253</v>
      </c>
      <c r="B21" s="383" t="s">
        <v>254</v>
      </c>
      <c r="C21" s="384"/>
      <c r="D21" s="384">
        <f t="shared" ref="D21:AB21" si="3">+D5</f>
        <v>0</v>
      </c>
      <c r="E21" s="384">
        <f t="shared" si="3"/>
        <v>0</v>
      </c>
      <c r="F21" s="384">
        <f t="shared" si="3"/>
        <v>0</v>
      </c>
      <c r="G21" s="384">
        <f t="shared" si="3"/>
        <v>0</v>
      </c>
      <c r="H21" s="384">
        <f t="shared" si="3"/>
        <v>0</v>
      </c>
      <c r="I21" s="384">
        <f t="shared" si="3"/>
        <v>0</v>
      </c>
      <c r="J21" s="384">
        <f t="shared" si="3"/>
        <v>0</v>
      </c>
      <c r="K21" s="384">
        <f t="shared" si="3"/>
        <v>0</v>
      </c>
      <c r="L21" s="384">
        <f t="shared" si="3"/>
        <v>0</v>
      </c>
      <c r="M21" s="384">
        <f t="shared" si="3"/>
        <v>0</v>
      </c>
      <c r="N21" s="384">
        <f t="shared" si="3"/>
        <v>0</v>
      </c>
      <c r="O21" s="384">
        <f t="shared" si="3"/>
        <v>0</v>
      </c>
      <c r="P21" s="384">
        <f t="shared" si="3"/>
        <v>0</v>
      </c>
      <c r="Q21" s="384">
        <f t="shared" si="3"/>
        <v>0</v>
      </c>
      <c r="R21" s="384">
        <f t="shared" si="3"/>
        <v>0</v>
      </c>
      <c r="S21" s="384">
        <f t="shared" si="3"/>
        <v>0</v>
      </c>
      <c r="T21" s="384">
        <f t="shared" si="3"/>
        <v>0</v>
      </c>
      <c r="U21" s="384">
        <f t="shared" si="3"/>
        <v>0</v>
      </c>
      <c r="V21" s="384">
        <f t="shared" si="3"/>
        <v>0</v>
      </c>
      <c r="W21" s="384">
        <f t="shared" si="3"/>
        <v>0</v>
      </c>
      <c r="X21" s="384">
        <f t="shared" si="3"/>
        <v>0</v>
      </c>
      <c r="Y21" s="384">
        <f t="shared" si="3"/>
        <v>0</v>
      </c>
      <c r="Z21" s="384">
        <f t="shared" si="3"/>
        <v>0</v>
      </c>
      <c r="AA21" s="384">
        <f t="shared" si="3"/>
        <v>0</v>
      </c>
      <c r="AB21" s="384">
        <f t="shared" si="3"/>
        <v>0</v>
      </c>
    </row>
    <row r="22" spans="1:37" outlineLevel="1">
      <c r="A22" s="347"/>
      <c r="B22" s="386" t="s">
        <v>1707</v>
      </c>
      <c r="C22" s="384"/>
      <c r="D22" s="384">
        <f t="shared" ref="D22:AB22" si="4">+D6</f>
        <v>10190.777236093543</v>
      </c>
      <c r="E22" s="384">
        <f t="shared" si="4"/>
        <v>10134.72796129503</v>
      </c>
      <c r="F22" s="384">
        <f t="shared" si="4"/>
        <v>10078.986957507906</v>
      </c>
      <c r="G22" s="384">
        <f t="shared" si="4"/>
        <v>10023.552529241613</v>
      </c>
      <c r="H22" s="384">
        <f t="shared" si="4"/>
        <v>9968.4229903307842</v>
      </c>
      <c r="I22" s="384">
        <f t="shared" si="4"/>
        <v>9913.5966638839654</v>
      </c>
      <c r="J22" s="384">
        <f t="shared" si="4"/>
        <v>9859.0718822326035</v>
      </c>
      <c r="K22" s="384">
        <f t="shared" si="4"/>
        <v>9804.846986880324</v>
      </c>
      <c r="L22" s="384">
        <f t="shared" si="4"/>
        <v>9750.9203284524829</v>
      </c>
      <c r="M22" s="384">
        <f t="shared" si="4"/>
        <v>9697.2902666459941</v>
      </c>
      <c r="N22" s="384">
        <f t="shared" si="4"/>
        <v>9643.9551701794408</v>
      </c>
      <c r="O22" s="384">
        <f t="shared" si="4"/>
        <v>9590.9134167434531</v>
      </c>
      <c r="P22" s="384">
        <f t="shared" si="4"/>
        <v>9538.1633929513646</v>
      </c>
      <c r="Q22" s="384">
        <f t="shared" si="4"/>
        <v>9485.7034942901319</v>
      </c>
      <c r="R22" s="384">
        <f t="shared" si="4"/>
        <v>9433.5321250715369</v>
      </c>
      <c r="S22" s="384">
        <f t="shared" si="4"/>
        <v>9381.6476983836437</v>
      </c>
      <c r="T22" s="384">
        <f t="shared" si="4"/>
        <v>9330.048636042533</v>
      </c>
      <c r="U22" s="384">
        <f t="shared" si="4"/>
        <v>9278.7333685442991</v>
      </c>
      <c r="V22" s="384">
        <f t="shared" si="4"/>
        <v>9227.7003350173054</v>
      </c>
      <c r="W22" s="384">
        <f t="shared" si="4"/>
        <v>9176.9479831747103</v>
      </c>
      <c r="X22" s="384">
        <f t="shared" si="4"/>
        <v>9126.4747692672499</v>
      </c>
      <c r="Y22" s="384">
        <f t="shared" si="4"/>
        <v>9076.2791580362809</v>
      </c>
      <c r="Z22" s="384">
        <f t="shared" si="4"/>
        <v>9026.3596226670816</v>
      </c>
      <c r="AA22" s="384">
        <f t="shared" si="4"/>
        <v>8976.7146447424129</v>
      </c>
      <c r="AB22" s="384">
        <f t="shared" si="4"/>
        <v>8927.3427141963293</v>
      </c>
    </row>
    <row r="23" spans="1:37" outlineLevel="1">
      <c r="A23" s="347"/>
      <c r="B23" s="386" t="s">
        <v>2253</v>
      </c>
      <c r="C23" s="369"/>
      <c r="D23" s="769">
        <f>+'PPA Datos Salida'!$E$24*(1+'PPA Calculos'!$D$21)^(D20-1)</f>
        <v>1132.4880000000001</v>
      </c>
      <c r="E23" s="769">
        <f>+'PPA Datos Salida'!$E$24*(1+'PPA Calculos'!$D$21)^(E20-1)</f>
        <v>1211.7621600000002</v>
      </c>
      <c r="F23" s="769">
        <f>+'PPA Datos Salida'!$E$24*(1+'PPA Calculos'!$D$21)^(F20-1)</f>
        <v>1296.5855112000002</v>
      </c>
      <c r="G23" s="769">
        <f>+'PPA Datos Salida'!$E$24*(1+'PPA Calculos'!$D$21)^(G20-1)</f>
        <v>1387.3464969840002</v>
      </c>
      <c r="H23" s="769">
        <f>+'PPA Datos Salida'!$E$24*(1+'PPA Calculos'!$D$21)^(H20-1)</f>
        <v>1484.46075177288</v>
      </c>
      <c r="I23" s="769">
        <f>+'PPA Datos Salida'!$E$24*(1+'PPA Calculos'!$D$21)^(I20-1)</f>
        <v>1588.373004396982</v>
      </c>
      <c r="J23" s="769">
        <f>+'PPA Datos Salida'!$E$24*(1+'PPA Calculos'!$D$21)^(J20-1)</f>
        <v>1699.5591147047705</v>
      </c>
      <c r="K23" s="769">
        <f>+'PPA Datos Salida'!$E$24*(1+'PPA Calculos'!$D$21)^(K20-1)</f>
        <v>1818.5282527341046</v>
      </c>
      <c r="L23" s="769">
        <f>+'PPA Datos Salida'!$E$24*(1+'PPA Calculos'!$D$21)^(L20-1)</f>
        <v>1945.8252304254918</v>
      </c>
      <c r="M23" s="769">
        <f>+'PPA Datos Salida'!$E$24*(1+'PPA Calculos'!$D$21)^(M20-1)</f>
        <v>2082.0329965552764</v>
      </c>
      <c r="N23" s="769">
        <f>+'PPA Datos Salida'!$E$24*(1+'PPA Calculos'!$D$21)^(N20-1)</f>
        <v>2227.7753063141458</v>
      </c>
      <c r="O23" s="769">
        <f>+'PPA Datos Salida'!$E$24*(1+'PPA Calculos'!$D$21)^(O20-1)</f>
        <v>2383.719577756136</v>
      </c>
      <c r="P23" s="769">
        <f>+'PPA Datos Salida'!$E$24*(1+'PPA Calculos'!$D$21)^(P20-1)</f>
        <v>2550.5799481990653</v>
      </c>
      <c r="Q23" s="769">
        <f>+'PPA Datos Salida'!$E$24*(1+'PPA Calculos'!$D$21)^(Q20-1)</f>
        <v>2729.1205445730002</v>
      </c>
      <c r="R23" s="769">
        <f>+'PPA Datos Salida'!$E$24*(1+'PPA Calculos'!$D$21)^(R20-1)</f>
        <v>2920.1589826931099</v>
      </c>
      <c r="S23" s="769">
        <f>+'PPA Datos Salida'!$E$24*(1+'PPA Calculos'!$D$21)^(S20-1)</f>
        <v>3124.5701114816279</v>
      </c>
      <c r="T23" s="769">
        <f>+'PPA Datos Salida'!$E$24*(1+'PPA Calculos'!$D$21)^(T20-1)</f>
        <v>3343.2900192853413</v>
      </c>
      <c r="U23" s="769">
        <f>+'PPA Datos Salida'!$E$24*(1+'PPA Calculos'!$D$21)^(U20-1)</f>
        <v>3577.3203206353155</v>
      </c>
      <c r="V23" s="769">
        <f>+'PPA Datos Salida'!$E$24*(1+'PPA Calculos'!$D$21)^(V20-1)</f>
        <v>3827.7327430797877</v>
      </c>
      <c r="W23" s="769">
        <f>+'PPA Datos Salida'!$E$24*(1+'PPA Calculos'!$D$21)^(W20-1)</f>
        <v>4095.6740350953728</v>
      </c>
      <c r="X23" s="769">
        <f>+'PPA Datos Salida'!$E$24*(1+'PPA Calculos'!$D$21)^(X20-1)</f>
        <v>4382.3712175520486</v>
      </c>
      <c r="Y23" s="769">
        <f>+'PPA Datos Salida'!$E$24*(1+'PPA Calculos'!$D$21)^(Y20-1)</f>
        <v>4689.137202780692</v>
      </c>
      <c r="Z23" s="769">
        <f>+'PPA Datos Salida'!$E$24*(1+'PPA Calculos'!$D$21)^(Z20-1)</f>
        <v>5017.3768069753405</v>
      </c>
      <c r="AA23" s="769">
        <f>+'PPA Datos Salida'!$E$24*(1+'PPA Calculos'!$D$21)^(AA20-1)</f>
        <v>5368.5931834636149</v>
      </c>
      <c r="AB23" s="769">
        <f>+'PPA Datos Salida'!$E$24*(1+'PPA Calculos'!$D$21)^(AB20-1)</f>
        <v>5744.3947063060677</v>
      </c>
    </row>
    <row r="24" spans="1:37" outlineLevel="1">
      <c r="A24" s="347"/>
      <c r="B24" s="386" t="s">
        <v>2254</v>
      </c>
      <c r="C24" s="369"/>
      <c r="D24" s="769">
        <f>+'PPA Datos Salida'!$E$12*(1+'PPA Calculos'!$D$20)^(D20-1)</f>
        <v>700.97778657832112</v>
      </c>
      <c r="E24" s="769">
        <f>+'PPA Datos Salida'!$E$12*(1+'PPA Calculos'!$D$20)^(E20-1)</f>
        <v>726.91396468171899</v>
      </c>
      <c r="F24" s="769">
        <f>+'PPA Datos Salida'!$E$12*(1+'PPA Calculos'!$D$20)^(F20-1)</f>
        <v>753.80978137494242</v>
      </c>
      <c r="G24" s="769">
        <f>+'PPA Datos Salida'!$E$12*(1+'PPA Calculos'!$D$20)^(G20-1)</f>
        <v>781.70074328581529</v>
      </c>
      <c r="H24" s="769">
        <f>+'PPA Datos Salida'!$E$12*(1+'PPA Calculos'!$D$20)^(H20-1)</f>
        <v>810.62367078739044</v>
      </c>
      <c r="I24" s="769">
        <f>+'PPA Datos Salida'!$E$12*(1+'PPA Calculos'!$D$20)^(I20-1)</f>
        <v>840.61674660652386</v>
      </c>
      <c r="J24" s="769">
        <f>+'PPA Datos Salida'!$E$12*(1+'PPA Calculos'!$D$20)^(J20-1)</f>
        <v>871.71956623096514</v>
      </c>
      <c r="K24" s="769">
        <f>+'PPA Datos Salida'!$E$12*(1+'PPA Calculos'!$D$20)^(K20-1)</f>
        <v>903.97319018151086</v>
      </c>
      <c r="L24" s="769">
        <f>+'PPA Datos Salida'!$E$12*(1+'PPA Calculos'!$D$20)^(L20-1)</f>
        <v>937.42019821822657</v>
      </c>
      <c r="M24" s="769">
        <f>+'PPA Datos Salida'!$E$12*(1+'PPA Calculos'!$D$20)^(M20-1)</f>
        <v>972.10474555230087</v>
      </c>
      <c r="N24" s="769">
        <f>+'PPA Datos Salida'!$E$12*(1+'PPA Calculos'!$D$20)^(N20-1)</f>
        <v>1008.0726211377358</v>
      </c>
      <c r="O24" s="769">
        <f>+'PPA Datos Salida'!$E$12*(1+'PPA Calculos'!$D$20)^(O20-1)</f>
        <v>1045.3713081198321</v>
      </c>
      <c r="P24" s="769"/>
      <c r="Q24" s="769"/>
      <c r="R24" s="769"/>
      <c r="S24" s="769"/>
      <c r="T24" s="769"/>
      <c r="U24" s="769"/>
      <c r="V24" s="769"/>
      <c r="W24" s="769"/>
      <c r="X24" s="769"/>
      <c r="Y24" s="769"/>
      <c r="Z24" s="769"/>
      <c r="AA24" s="769"/>
      <c r="AB24" s="769"/>
    </row>
    <row r="25" spans="1:37" outlineLevel="1">
      <c r="A25" s="347"/>
      <c r="B25" s="386" t="s">
        <v>1708</v>
      </c>
      <c r="C25" s="384"/>
      <c r="D25" s="770">
        <f t="shared" ref="D25:AB25" si="5">+D23-D24</f>
        <v>431.51021342167894</v>
      </c>
      <c r="E25" s="770">
        <f t="shared" si="5"/>
        <v>484.84819531828123</v>
      </c>
      <c r="F25" s="770">
        <f t="shared" si="5"/>
        <v>542.77572982505774</v>
      </c>
      <c r="G25" s="770">
        <f t="shared" si="5"/>
        <v>605.64575369818488</v>
      </c>
      <c r="H25" s="770">
        <f t="shared" si="5"/>
        <v>673.83708098548959</v>
      </c>
      <c r="I25" s="770">
        <f t="shared" si="5"/>
        <v>747.75625779045811</v>
      </c>
      <c r="J25" s="770">
        <f t="shared" si="5"/>
        <v>827.83954847380539</v>
      </c>
      <c r="K25" s="770">
        <f t="shared" si="5"/>
        <v>914.55506255259377</v>
      </c>
      <c r="L25" s="770">
        <f t="shared" si="5"/>
        <v>1008.4050322072652</v>
      </c>
      <c r="M25" s="770">
        <f t="shared" si="5"/>
        <v>1109.9282510029757</v>
      </c>
      <c r="N25" s="770">
        <f t="shared" si="5"/>
        <v>1219.7026851764099</v>
      </c>
      <c r="O25" s="770">
        <f t="shared" si="5"/>
        <v>1338.3482696363039</v>
      </c>
      <c r="P25" s="770">
        <f t="shared" si="5"/>
        <v>2550.5799481990653</v>
      </c>
      <c r="Q25" s="770">
        <f t="shared" si="5"/>
        <v>2729.1205445730002</v>
      </c>
      <c r="R25" s="770">
        <f t="shared" si="5"/>
        <v>2920.1589826931099</v>
      </c>
      <c r="S25" s="770">
        <f t="shared" si="5"/>
        <v>3124.5701114816279</v>
      </c>
      <c r="T25" s="770">
        <f t="shared" si="5"/>
        <v>3343.2900192853413</v>
      </c>
      <c r="U25" s="770">
        <f t="shared" si="5"/>
        <v>3577.3203206353155</v>
      </c>
      <c r="V25" s="770">
        <f t="shared" si="5"/>
        <v>3827.7327430797877</v>
      </c>
      <c r="W25" s="770">
        <f t="shared" si="5"/>
        <v>4095.6740350953728</v>
      </c>
      <c r="X25" s="770">
        <f t="shared" si="5"/>
        <v>4382.3712175520486</v>
      </c>
      <c r="Y25" s="770">
        <f t="shared" si="5"/>
        <v>4689.137202780692</v>
      </c>
      <c r="Z25" s="770">
        <f t="shared" si="5"/>
        <v>5017.3768069753405</v>
      </c>
      <c r="AA25" s="770">
        <f t="shared" si="5"/>
        <v>5368.5931834636149</v>
      </c>
      <c r="AB25" s="770">
        <f t="shared" si="5"/>
        <v>5744.3947063060677</v>
      </c>
    </row>
    <row r="26" spans="1:37" outlineLevel="1">
      <c r="A26" s="347"/>
      <c r="B26" s="386" t="s">
        <v>2255</v>
      </c>
      <c r="C26" s="369"/>
      <c r="D26" s="770">
        <f>+'Datos de Entrada (On Grid)'!$D$19*(1+'Flujo de caja'!$D$24)^(D20-1)-0.1*'Datos de Entrada (On Grid)'!$D$19*(1+'Flujo de caja'!$D$23)^(D20-1)</f>
        <v>849.36599999999999</v>
      </c>
      <c r="E26" s="770">
        <f>+'Datos de Entrada (On Grid)'!$D$19*(1+'Flujo de caja'!$D$24)^(E20-1)-0.1*'Datos de Entrada (On Grid)'!$D$19*(1+'Flujo de caja'!$D$23)^(E20-1)</f>
        <v>911.93596200000002</v>
      </c>
      <c r="F26" s="770">
        <f>+'Datos de Entrada (On Grid)'!$D$19*(1+'Flujo de caja'!$D$24)^(F20-1)-0.1*'Datos de Entrada (On Grid)'!$D$19*(1+'Flujo de caja'!$D$23)^(F20-1)</f>
        <v>979.00105199400002</v>
      </c>
      <c r="G26" s="770">
        <f>+'Datos de Entrada (On Grid)'!$D$19*(1+'Flujo de caja'!$D$24)^(G20-1)-0.1*'Datos de Entrada (On Grid)'!$D$19*(1+'Flujo de caja'!$D$23)^(G20-1)</f>
        <v>1050.8801924757781</v>
      </c>
      <c r="H26" s="770">
        <f>+'Datos de Entrada (On Grid)'!$D$19*(1+'Flujo de caja'!$D$24)^(H20-1)-0.1*'Datos de Entrada (On Grid)'!$D$19*(1+'Flujo de caja'!$D$23)^(H20-1)</f>
        <v>1127.914788264442</v>
      </c>
      <c r="I26" s="770">
        <f>+'Datos de Entrada (On Grid)'!$D$19*(1+'Flujo de caja'!$D$24)^(I20-1)-0.1*'Datos de Entrada (On Grid)'!$D$19*(1+'Flujo de caja'!$D$23)^(I20-1)</f>
        <v>1210.4703061039806</v>
      </c>
      <c r="J26" s="770">
        <f>+'Datos de Entrada (On Grid)'!$D$19*(1+'Flujo de caja'!$D$24)^(J20-1)-0.1*'Datos de Entrada (On Grid)'!$D$19*(1+'Flujo de caja'!$D$23)^(J20-1)</f>
        <v>1298.9379650507447</v>
      </c>
      <c r="K26" s="770">
        <f>+'Datos de Entrada (On Grid)'!$D$19*(1+'Flujo de caja'!$D$24)^(K20-1)-0.1*'Datos de Entrada (On Grid)'!$D$19*(1+'Flujo de caja'!$D$23)^(K20-1)</f>
        <v>1393.7365454120036</v>
      </c>
      <c r="L26" s="770">
        <f>+'Datos de Entrada (On Grid)'!$D$19*(1+'Flujo de caja'!$D$24)^(L20-1)-0.1*'Datos de Entrada (On Grid)'!$D$19*(1+'Flujo de caja'!$D$23)^(L20-1)</f>
        <v>1495.3143245424355</v>
      </c>
      <c r="M26" s="770">
        <f>+'Datos de Entrada (On Grid)'!$D$19*(1+'Flujo de caja'!$D$24)^(M20-1)-0.1*'Datos de Entrada (On Grid)'!$D$19*(1+'Flujo de caja'!$D$23)^(M20-1)</f>
        <v>1604.1511483872068</v>
      </c>
      <c r="N26" s="770">
        <f>+'Datos de Entrada (On Grid)'!$D$19*(1+'Flujo de caja'!$D$24)^(N20-1)-0.1*'Datos de Entrada (On Grid)'!$D$19*(1+'Flujo de caja'!$D$23)^(N20-1)</f>
        <v>1720.7606482828037</v>
      </c>
      <c r="O26" s="770">
        <f>+'Datos de Entrada (On Grid)'!$D$19*(1+'Flujo de caja'!$D$24)^(O20-1)-0.1*'Datos de Entrada (On Grid)'!$D$19*(1+'Flujo de caja'!$D$23)^(O20-1)</f>
        <v>1845.6926131929067</v>
      </c>
      <c r="P26" s="770">
        <f>+'Datos de Entrada (On Grid)'!$D$19*(1+'Flujo de caja'!$D$24)^(P20-1)-0.1*'Datos de Entrada (On Grid)'!$D$19*(1+'Flujo de caja'!$D$23)^(P20-1)</f>
        <v>1979.5355282693372</v>
      </c>
      <c r="Q26" s="770">
        <f>+'Datos de Entrada (On Grid)'!$D$19*(1+'Flujo de caja'!$D$24)^(Q20-1)-0.1*'Datos de Entrada (On Grid)'!$D$19*(1+'Flujo de caja'!$D$23)^(Q20-1)</f>
        <v>2122.9192913907773</v>
      </c>
      <c r="R26" s="770">
        <f>+'Datos de Entrada (On Grid)'!$D$19*(1+'Flujo de caja'!$D$24)^(R20-1)-0.1*'Datos de Entrada (On Grid)'!$D$19*(1+'Flujo de caja'!$D$23)^(R20-1)</f>
        <v>2276.5181201479932</v>
      </c>
      <c r="S26" s="770">
        <f>+'Datos de Entrada (On Grid)'!$D$19*(1+'Flujo de caja'!$D$24)^(S20-1)-0.1*'Datos de Entrada (On Grid)'!$D$19*(1+'Flujo de caja'!$D$23)^(S20-1)</f>
        <v>2441.0536626175299</v>
      </c>
      <c r="T26" s="770">
        <f>+'Datos de Entrada (On Grid)'!$D$19*(1+'Flujo de caja'!$D$24)^(T20-1)-0.1*'Datos de Entrada (On Grid)'!$D$19*(1+'Flujo de caja'!$D$23)^(T20-1)</f>
        <v>2617.298326200123</v>
      </c>
      <c r="U26" s="770">
        <f>+'Datos de Entrada (On Grid)'!$D$19*(1+'Flujo de caja'!$D$24)^(U20-1)-0.1*'Datos de Entrada (On Grid)'!$D$19*(1+'Flujo de caja'!$D$23)^(U20-1)</f>
        <v>2806.0788397998745</v>
      </c>
      <c r="V26" s="770">
        <f>+'Datos de Entrada (On Grid)'!$D$19*(1+'Flujo de caja'!$D$24)^(V20-1)-0.1*'Datos de Entrada (On Grid)'!$D$19*(1+'Flujo de caja'!$D$23)^(V20-1)</f>
        <v>3008.2800656899412</v>
      </c>
      <c r="W26" s="770">
        <f>+'Datos de Entrada (On Grid)'!$D$19*(1+'Flujo de caja'!$D$24)^(W20-1)-0.1*'Datos de Entrada (On Grid)'!$D$19*(1+'Flujo de caja'!$D$23)^(W20-1)</f>
        <v>3224.8490785551635</v>
      </c>
      <c r="X26" s="770">
        <f>+'Datos de Entrada (On Grid)'!$D$19*(1+'Flujo de caja'!$D$24)^(X20-1)-0.1*'Datos de Entrada (On Grid)'!$D$19*(1+'Flujo de caja'!$D$23)^(X20-1)</f>
        <v>3456.799530426827</v>
      </c>
      <c r="Y26" s="770">
        <f>+'Datos de Entrada (On Grid)'!$D$19*(1+'Flujo de caja'!$D$24)^(Y20-1)-0.1*'Datos de Entrada (On Grid)'!$D$19*(1+'Flujo de caja'!$D$23)^(Y20-1)</f>
        <v>3705.2163215353012</v>
      </c>
      <c r="Z26" s="770">
        <f>+'Datos de Entrada (On Grid)'!$D$19*(1+'Flujo de caja'!$D$24)^(Z20-1)-0.1*'Datos de Entrada (On Grid)'!$D$19*(1+'Flujo de caja'!$D$23)^(Z20-1)</f>
        <v>3971.2605985085761</v>
      </c>
      <c r="AA26" s="770">
        <f>+'Datos de Entrada (On Grid)'!$D$19*(1+'Flujo de caja'!$D$24)^(AA20-1)-0.1*'Datos de Entrada (On Grid)'!$D$19*(1+'Flujo de caja'!$D$23)^(AA20-1)</f>
        <v>4256.1751028452154</v>
      </c>
      <c r="AB26" s="770">
        <f>+'Datos de Entrada (On Grid)'!$D$19*(1+'Flujo de caja'!$D$24)^(AB20-1)-0.1*'Datos de Entrada (On Grid)'!$D$19*(1+'Flujo de caja'!$D$23)^(AB20-1)</f>
        <v>4561.2898941957383</v>
      </c>
    </row>
    <row r="27" spans="1:37" outlineLevel="1">
      <c r="A27" s="347" t="s">
        <v>256</v>
      </c>
      <c r="B27" s="390" t="s">
        <v>257</v>
      </c>
      <c r="C27" s="384"/>
      <c r="D27" s="387">
        <f>D22*('Flujo de caja'!$D$21*D25+(1-'Flujo de caja'!$D$21)*(D26-D24))</f>
        <v>3243331.1670246017</v>
      </c>
      <c r="E27" s="387">
        <f>E22*('Flujo de caja'!$D$21*E25+(1-'Flujo de caja'!$D$21)*(E26-E24))</f>
        <v>3698341.7811158658</v>
      </c>
      <c r="F27" s="387">
        <f>F22*('Flujo de caja'!$D$21*F25+(1-'Flujo de caja'!$D$21)*(F26-F24))</f>
        <v>4190257.6528608012</v>
      </c>
      <c r="G27" s="387">
        <f>G22*('Flujo de caja'!$D$21*G25+(1-'Flujo de caja'!$D$21)*(G26-G24))</f>
        <v>4721686.9552826975</v>
      </c>
      <c r="H27" s="387">
        <f>H22*('Flujo de caja'!$D$21*H25+(1-'Flujo de caja'!$D$21)*(H26-H24))</f>
        <v>5295412.6579342792</v>
      </c>
      <c r="I27" s="387">
        <f>I22*('Flujo de caja'!$D$21*I25+(1-'Flujo de caja'!$D$21)*(I26-I24))</f>
        <v>5914403.9710017461</v>
      </c>
      <c r="J27" s="387">
        <f>J22*('Flujo de caja'!$D$21*J25+(1-'Flujo de caja'!$D$21)*(J26-J24))</f>
        <v>6581828.5305655468</v>
      </c>
      <c r="K27" s="387">
        <f>K22*('Flujo de caja'!$D$21*K25+(1-'Flujo de caja'!$D$21)*(K26-K24))</f>
        <v>7301065.3727694042</v>
      </c>
      <c r="L27" s="387">
        <f>L22*('Flujo de caja'!$D$21*L25+(1-'Flujo de caja'!$D$21)*(L26-L24))</f>
        <v>8075718.7477177475</v>
      </c>
      <c r="M27" s="387">
        <f>M22*('Flujo de caja'!$D$21*M25+(1-'Flujo de caja'!$D$21)*(M26-M24))</f>
        <v>8909632.8271877579</v>
      </c>
      <c r="N27" s="387">
        <f>N22*('Flujo de caja'!$D$21*N25+(1-'Flujo de caja'!$D$21)*(N26-N24))</f>
        <v>9806907.3637175355</v>
      </c>
      <c r="O27" s="387">
        <f>O22*('Flujo de caja'!$D$21*O25+(1-'Flujo de caja'!$D$21)*(O26-O24))</f>
        <v>10771914.362330521</v>
      </c>
      <c r="P27" s="387">
        <f>P22*('Flujo de caja'!$D$21*P25+(1-'Flujo de caja'!$D$21)*(P26-P24))</f>
        <v>22149162.299938958</v>
      </c>
      <c r="Q27" s="387">
        <f>Q22*('Flujo de caja'!$D$21*Q25+(1-'Flujo de caja'!$D$21)*(Q26-Q24))</f>
        <v>23587530.147773627</v>
      </c>
      <c r="R27" s="387">
        <f>R22*('Flujo de caja'!$D$21*R25+(1-'Flujo de caja'!$D$21)*(R26-R24))</f>
        <v>25118690.872020427</v>
      </c>
      <c r="S27" s="387">
        <f>S22*('Flujo de caja'!$D$21*S25+(1-'Flujo de caja'!$D$21)*(S26-S24))</f>
        <v>26748611.787102651</v>
      </c>
      <c r="T27" s="387">
        <f>T22*('Flujo de caja'!$D$21*T25+(1-'Flujo de caja'!$D$21)*(T26-T24))</f>
        <v>28483643.361988634</v>
      </c>
      <c r="U27" s="387">
        <f>U22*('Flujo de caja'!$D$21*U25+(1-'Flujo de caja'!$D$21)*(U26-U24))</f>
        <v>30330543.803677157</v>
      </c>
      <c r="V27" s="387">
        <f>V22*('Flujo de caja'!$D$21*V25+(1-'Flujo de caja'!$D$21)*(V26-V24))</f>
        <v>32296505.217401616</v>
      </c>
      <c r="W27" s="387">
        <f>W22*('Flujo de caja'!$D$21*W25+(1-'Flujo de caja'!$D$21)*(W26-W24))</f>
        <v>34389181.444661565</v>
      </c>
      <c r="X27" s="387">
        <f>X22*('Flujo de caja'!$D$21*X25+(1-'Flujo de caja'!$D$21)*(X26-X24))</f>
        <v>36616717.686673194</v>
      </c>
      <c r="Y27" s="387">
        <f>Y22*('Flujo de caja'!$D$21*Y25+(1-'Flujo de caja'!$D$21)*(Y26-Y24))</f>
        <v>38987782.02772925</v>
      </c>
      <c r="Z27" s="387">
        <f>Z22*('Flujo de caja'!$D$21*Z25+(1-'Flujo de caja'!$D$21)*(Z26-Z24))</f>
        <v>41511598.980299704</v>
      </c>
      <c r="AA27" s="387">
        <f>AA22*('Flujo de caja'!$D$21*AA25+(1-'Flujo de caja'!$D$21)*(AA26-AA24))</f>
        <v>44197985.181516752</v>
      </c>
      <c r="AB27" s="387">
        <f>AB22*('Flujo de caja'!$D$21*AB25+(1-'Flujo de caja'!$D$21)*(AB26-AB24))</f>
        <v>47057387.378999926</v>
      </c>
    </row>
    <row r="28" spans="1:37" outlineLevel="1">
      <c r="A28" s="347"/>
      <c r="B28" s="392"/>
      <c r="C28" s="384"/>
      <c r="D28" s="384"/>
      <c r="E28" s="384">
        <f t="shared" ref="E28:AB28" si="6">+E12</f>
        <v>0</v>
      </c>
      <c r="F28" s="384">
        <f t="shared" si="6"/>
        <v>0</v>
      </c>
      <c r="G28" s="384">
        <f t="shared" si="6"/>
        <v>0</v>
      </c>
      <c r="H28" s="384">
        <f t="shared" si="6"/>
        <v>0</v>
      </c>
      <c r="I28" s="384">
        <f t="shared" si="6"/>
        <v>0</v>
      </c>
      <c r="J28" s="384">
        <f t="shared" si="6"/>
        <v>0</v>
      </c>
      <c r="K28" s="384">
        <f t="shared" si="6"/>
        <v>0</v>
      </c>
      <c r="L28" s="384">
        <f t="shared" si="6"/>
        <v>0</v>
      </c>
      <c r="M28" s="384">
        <f t="shared" si="6"/>
        <v>0</v>
      </c>
      <c r="N28" s="384">
        <f t="shared" si="6"/>
        <v>0</v>
      </c>
      <c r="O28" s="384">
        <f t="shared" si="6"/>
        <v>0</v>
      </c>
      <c r="P28" s="384">
        <f t="shared" si="6"/>
        <v>0</v>
      </c>
      <c r="Q28" s="384">
        <f t="shared" si="6"/>
        <v>0</v>
      </c>
      <c r="R28" s="384">
        <f t="shared" si="6"/>
        <v>0</v>
      </c>
      <c r="S28" s="384">
        <f t="shared" si="6"/>
        <v>0</v>
      </c>
      <c r="T28" s="384">
        <f t="shared" si="6"/>
        <v>0</v>
      </c>
      <c r="U28" s="384">
        <f t="shared" si="6"/>
        <v>0</v>
      </c>
      <c r="V28" s="384">
        <f t="shared" si="6"/>
        <v>0</v>
      </c>
      <c r="W28" s="384">
        <f t="shared" si="6"/>
        <v>0</v>
      </c>
      <c r="X28" s="384">
        <f t="shared" si="6"/>
        <v>0</v>
      </c>
      <c r="Y28" s="384">
        <f t="shared" si="6"/>
        <v>0</v>
      </c>
      <c r="Z28" s="384">
        <f t="shared" si="6"/>
        <v>0</v>
      </c>
      <c r="AA28" s="384">
        <f t="shared" si="6"/>
        <v>0</v>
      </c>
      <c r="AB28" s="384">
        <f t="shared" si="6"/>
        <v>0</v>
      </c>
    </row>
    <row r="29" spans="1:37" outlineLevel="1">
      <c r="A29" s="347" t="s">
        <v>253</v>
      </c>
      <c r="B29" s="390" t="s">
        <v>258</v>
      </c>
      <c r="C29" s="384"/>
      <c r="D29" s="384"/>
      <c r="E29" s="384"/>
      <c r="F29" s="384"/>
      <c r="G29" s="384"/>
      <c r="H29" s="384"/>
      <c r="I29" s="384"/>
      <c r="J29" s="384"/>
      <c r="K29" s="384"/>
      <c r="L29" s="384"/>
      <c r="M29" s="384"/>
      <c r="N29" s="384"/>
      <c r="O29" s="384"/>
      <c r="P29" s="384"/>
      <c r="Q29" s="384" t="e">
        <f t="shared" ref="Q29:AB29" si="7">+Q13</f>
        <v>#N/A</v>
      </c>
      <c r="R29" s="384" t="e">
        <f t="shared" si="7"/>
        <v>#N/A</v>
      </c>
      <c r="S29" s="384" t="e">
        <f t="shared" si="7"/>
        <v>#N/A</v>
      </c>
      <c r="T29" s="384" t="e">
        <f t="shared" si="7"/>
        <v>#N/A</v>
      </c>
      <c r="U29" s="384" t="e">
        <f t="shared" si="7"/>
        <v>#N/A</v>
      </c>
      <c r="V29" s="384" t="e">
        <f t="shared" si="7"/>
        <v>#N/A</v>
      </c>
      <c r="W29" s="384" t="e">
        <f t="shared" si="7"/>
        <v>#N/A</v>
      </c>
      <c r="X29" s="384" t="e">
        <f t="shared" si="7"/>
        <v>#N/A</v>
      </c>
      <c r="Y29" s="384" t="e">
        <f t="shared" si="7"/>
        <v>#N/A</v>
      </c>
      <c r="Z29" s="384" t="e">
        <f t="shared" si="7"/>
        <v>#N/A</v>
      </c>
      <c r="AA29" s="384" t="e">
        <f t="shared" si="7"/>
        <v>#N/A</v>
      </c>
      <c r="AB29" s="384" t="e">
        <f t="shared" si="7"/>
        <v>#N/A</v>
      </c>
    </row>
    <row r="30" spans="1:37" ht="15.75" outlineLevel="1" thickBot="1">
      <c r="A30" s="347"/>
      <c r="B30" s="398"/>
      <c r="C30" s="384"/>
      <c r="D30" s="384">
        <f t="shared" ref="D30:R30" si="8">+D14</f>
        <v>0</v>
      </c>
      <c r="E30" s="384">
        <f t="shared" si="8"/>
        <v>0</v>
      </c>
      <c r="F30" s="384">
        <f t="shared" si="8"/>
        <v>0</v>
      </c>
      <c r="G30" s="384">
        <f t="shared" si="8"/>
        <v>0</v>
      </c>
      <c r="H30" s="384">
        <f t="shared" si="8"/>
        <v>0</v>
      </c>
      <c r="I30" s="384">
        <f t="shared" si="8"/>
        <v>0</v>
      </c>
      <c r="J30" s="384">
        <f t="shared" si="8"/>
        <v>0</v>
      </c>
      <c r="K30" s="384">
        <f t="shared" si="8"/>
        <v>0</v>
      </c>
      <c r="L30" s="384">
        <f t="shared" si="8"/>
        <v>0</v>
      </c>
      <c r="M30" s="384">
        <f t="shared" si="8"/>
        <v>0</v>
      </c>
      <c r="N30" s="384">
        <f t="shared" si="8"/>
        <v>0</v>
      </c>
      <c r="O30" s="384">
        <f t="shared" si="8"/>
        <v>0</v>
      </c>
      <c r="P30" s="384">
        <f t="shared" si="8"/>
        <v>0</v>
      </c>
      <c r="Q30" s="384">
        <f t="shared" si="8"/>
        <v>0</v>
      </c>
      <c r="R30" s="384">
        <f t="shared" si="8"/>
        <v>0</v>
      </c>
      <c r="S30" s="384">
        <f t="shared" ref="S30:AB30" si="9">+S14</f>
        <v>0</v>
      </c>
      <c r="T30" s="384">
        <f t="shared" si="9"/>
        <v>0</v>
      </c>
      <c r="U30" s="384">
        <f t="shared" si="9"/>
        <v>0</v>
      </c>
      <c r="V30" s="384">
        <f t="shared" si="9"/>
        <v>0</v>
      </c>
      <c r="W30" s="384">
        <f t="shared" si="9"/>
        <v>0</v>
      </c>
      <c r="X30" s="384">
        <f t="shared" si="9"/>
        <v>0</v>
      </c>
      <c r="Y30" s="384">
        <f t="shared" si="9"/>
        <v>0</v>
      </c>
      <c r="Z30" s="384">
        <f t="shared" si="9"/>
        <v>0</v>
      </c>
      <c r="AA30" s="384">
        <f t="shared" si="9"/>
        <v>0</v>
      </c>
      <c r="AB30" s="384">
        <f t="shared" si="9"/>
        <v>0</v>
      </c>
    </row>
    <row r="31" spans="1:37" s="401" customFormat="1" ht="15.75" outlineLevel="1">
      <c r="B31" s="402" t="s">
        <v>260</v>
      </c>
      <c r="C31" s="403"/>
      <c r="D31" s="403">
        <f>SUM(D27:D30)</f>
        <v>3243331.1670246017</v>
      </c>
      <c r="E31" s="403">
        <f t="shared" ref="E31:AB31" si="10">SUM(E27:E30)</f>
        <v>3698341.7811158658</v>
      </c>
      <c r="F31" s="403">
        <f t="shared" si="10"/>
        <v>4190257.6528608012</v>
      </c>
      <c r="G31" s="403">
        <f t="shared" si="10"/>
        <v>4721686.9552826975</v>
      </c>
      <c r="H31" s="403">
        <f t="shared" si="10"/>
        <v>5295412.6579342792</v>
      </c>
      <c r="I31" s="403">
        <f t="shared" si="10"/>
        <v>5914403.9710017461</v>
      </c>
      <c r="J31" s="403">
        <f t="shared" si="10"/>
        <v>6581828.5305655468</v>
      </c>
      <c r="K31" s="403">
        <f t="shared" si="10"/>
        <v>7301065.3727694042</v>
      </c>
      <c r="L31" s="403">
        <f t="shared" si="10"/>
        <v>8075718.7477177475</v>
      </c>
      <c r="M31" s="403">
        <f t="shared" si="10"/>
        <v>8909632.8271877579</v>
      </c>
      <c r="N31" s="403">
        <f t="shared" si="10"/>
        <v>9806907.3637175355</v>
      </c>
      <c r="O31" s="403">
        <f t="shared" si="10"/>
        <v>10771914.362330521</v>
      </c>
      <c r="P31" s="403">
        <f t="shared" si="10"/>
        <v>22149162.299938958</v>
      </c>
      <c r="Q31" s="403" t="e">
        <f t="shared" si="10"/>
        <v>#N/A</v>
      </c>
      <c r="R31" s="403" t="e">
        <f t="shared" si="10"/>
        <v>#N/A</v>
      </c>
      <c r="S31" s="403" t="e">
        <f t="shared" si="10"/>
        <v>#N/A</v>
      </c>
      <c r="T31" s="403" t="e">
        <f t="shared" si="10"/>
        <v>#N/A</v>
      </c>
      <c r="U31" s="403" t="e">
        <f t="shared" si="10"/>
        <v>#N/A</v>
      </c>
      <c r="V31" s="403" t="e">
        <f t="shared" si="10"/>
        <v>#N/A</v>
      </c>
      <c r="W31" s="403" t="e">
        <f t="shared" si="10"/>
        <v>#N/A</v>
      </c>
      <c r="X31" s="403" t="e">
        <f t="shared" si="10"/>
        <v>#N/A</v>
      </c>
      <c r="Y31" s="403" t="e">
        <f t="shared" si="10"/>
        <v>#N/A</v>
      </c>
      <c r="Z31" s="403" t="e">
        <f t="shared" si="10"/>
        <v>#N/A</v>
      </c>
      <c r="AA31" s="403" t="e">
        <f t="shared" si="10"/>
        <v>#N/A</v>
      </c>
      <c r="AB31" s="403" t="e">
        <f t="shared" si="10"/>
        <v>#N/A</v>
      </c>
    </row>
    <row r="32" spans="1:37" ht="16.5" outlineLevel="1" thickBot="1">
      <c r="B32" s="405" t="s">
        <v>261</v>
      </c>
      <c r="C32" s="406"/>
      <c r="D32" s="406">
        <f>C32+D31</f>
        <v>3243331.1670246017</v>
      </c>
      <c r="E32" s="406">
        <f t="shared" ref="E32:AB32" si="11">D32+E31</f>
        <v>6941672.9481404675</v>
      </c>
      <c r="F32" s="406">
        <f t="shared" si="11"/>
        <v>11131930.601001268</v>
      </c>
      <c r="G32" s="406">
        <f t="shared" si="11"/>
        <v>15853617.556283966</v>
      </c>
      <c r="H32" s="406">
        <f t="shared" si="11"/>
        <v>21149030.214218244</v>
      </c>
      <c r="I32" s="406">
        <f t="shared" si="11"/>
        <v>27063434.185219988</v>
      </c>
      <c r="J32" s="406">
        <f t="shared" si="11"/>
        <v>33645262.715785533</v>
      </c>
      <c r="K32" s="406">
        <f t="shared" si="11"/>
        <v>40946328.088554934</v>
      </c>
      <c r="L32" s="406">
        <f t="shared" si="11"/>
        <v>49022046.836272679</v>
      </c>
      <c r="M32" s="406">
        <f t="shared" si="11"/>
        <v>57931679.663460433</v>
      </c>
      <c r="N32" s="406">
        <f t="shared" si="11"/>
        <v>67738587.027177975</v>
      </c>
      <c r="O32" s="406">
        <f t="shared" si="11"/>
        <v>78510501.389508501</v>
      </c>
      <c r="P32" s="406">
        <f t="shared" si="11"/>
        <v>100659663.68944746</v>
      </c>
      <c r="Q32" s="406" t="e">
        <f t="shared" si="11"/>
        <v>#N/A</v>
      </c>
      <c r="R32" s="406" t="e">
        <f t="shared" si="11"/>
        <v>#N/A</v>
      </c>
      <c r="S32" s="406" t="e">
        <f t="shared" si="11"/>
        <v>#N/A</v>
      </c>
      <c r="T32" s="406" t="e">
        <f t="shared" si="11"/>
        <v>#N/A</v>
      </c>
      <c r="U32" s="406" t="e">
        <f t="shared" si="11"/>
        <v>#N/A</v>
      </c>
      <c r="V32" s="406" t="e">
        <f t="shared" si="11"/>
        <v>#N/A</v>
      </c>
      <c r="W32" s="406" t="e">
        <f t="shared" si="11"/>
        <v>#N/A</v>
      </c>
      <c r="X32" s="406" t="e">
        <f t="shared" si="11"/>
        <v>#N/A</v>
      </c>
      <c r="Y32" s="406" t="e">
        <f t="shared" si="11"/>
        <v>#N/A</v>
      </c>
      <c r="Z32" s="406" t="e">
        <f t="shared" si="11"/>
        <v>#N/A</v>
      </c>
      <c r="AA32" s="406" t="e">
        <f t="shared" si="11"/>
        <v>#N/A</v>
      </c>
      <c r="AB32" s="407" t="e">
        <f t="shared" si="11"/>
        <v>#N/A</v>
      </c>
    </row>
    <row r="33" spans="1:28" ht="15.75" thickBot="1">
      <c r="B33" s="332"/>
    </row>
    <row r="34" spans="1:28" ht="15.75" thickBot="1">
      <c r="B34" s="374" t="s">
        <v>1709</v>
      </c>
    </row>
    <row r="35" spans="1:28" outlineLevel="1">
      <c r="B35" s="375"/>
      <c r="C35" s="376" t="s">
        <v>227</v>
      </c>
      <c r="D35" s="376" t="s">
        <v>228</v>
      </c>
      <c r="E35" s="376" t="s">
        <v>229</v>
      </c>
      <c r="F35" s="376" t="s">
        <v>230</v>
      </c>
      <c r="G35" s="376" t="s">
        <v>231</v>
      </c>
      <c r="H35" s="376" t="s">
        <v>232</v>
      </c>
      <c r="I35" s="376" t="s">
        <v>233</v>
      </c>
      <c r="J35" s="376" t="s">
        <v>234</v>
      </c>
      <c r="K35" s="376" t="s">
        <v>235</v>
      </c>
      <c r="L35" s="376" t="s">
        <v>236</v>
      </c>
      <c r="M35" s="376" t="s">
        <v>237</v>
      </c>
      <c r="N35" s="376" t="s">
        <v>238</v>
      </c>
      <c r="O35" s="376" t="s">
        <v>239</v>
      </c>
      <c r="P35" s="376" t="s">
        <v>240</v>
      </c>
      <c r="Q35" s="376" t="s">
        <v>241</v>
      </c>
      <c r="R35" s="376" t="s">
        <v>242</v>
      </c>
      <c r="S35" s="376" t="s">
        <v>243</v>
      </c>
      <c r="T35" s="376" t="s">
        <v>244</v>
      </c>
      <c r="U35" s="376" t="s">
        <v>245</v>
      </c>
      <c r="V35" s="376" t="s">
        <v>246</v>
      </c>
      <c r="W35" s="376" t="s">
        <v>247</v>
      </c>
      <c r="X35" s="376" t="s">
        <v>248</v>
      </c>
      <c r="Y35" s="376" t="s">
        <v>249</v>
      </c>
      <c r="Z35" s="376" t="s">
        <v>250</v>
      </c>
      <c r="AA35" s="376" t="s">
        <v>251</v>
      </c>
      <c r="AB35" s="500" t="s">
        <v>252</v>
      </c>
    </row>
    <row r="36" spans="1:28" s="347" customFormat="1" ht="15.75" outlineLevel="1" thickBot="1">
      <c r="B36" s="379"/>
      <c r="C36" s="380">
        <v>0</v>
      </c>
      <c r="D36" s="380">
        <v>1</v>
      </c>
      <c r="E36" s="380">
        <v>2</v>
      </c>
      <c r="F36" s="380">
        <v>3</v>
      </c>
      <c r="G36" s="380">
        <v>4</v>
      </c>
      <c r="H36" s="380">
        <v>5</v>
      </c>
      <c r="I36" s="380">
        <v>6</v>
      </c>
      <c r="J36" s="380">
        <v>7</v>
      </c>
      <c r="K36" s="380">
        <v>8</v>
      </c>
      <c r="L36" s="380">
        <v>9</v>
      </c>
      <c r="M36" s="380">
        <v>10</v>
      </c>
      <c r="N36" s="380">
        <v>11</v>
      </c>
      <c r="O36" s="380">
        <v>12</v>
      </c>
      <c r="P36" s="380">
        <v>13</v>
      </c>
      <c r="Q36" s="380">
        <v>14</v>
      </c>
      <c r="R36" s="380">
        <v>15</v>
      </c>
      <c r="S36" s="380">
        <v>16</v>
      </c>
      <c r="T36" s="380">
        <v>17</v>
      </c>
      <c r="U36" s="380">
        <v>18</v>
      </c>
      <c r="V36" s="380">
        <v>19</v>
      </c>
      <c r="W36" s="380">
        <v>20</v>
      </c>
      <c r="X36" s="380">
        <v>21</v>
      </c>
      <c r="Y36" s="380">
        <v>22</v>
      </c>
      <c r="Z36" s="380">
        <v>23</v>
      </c>
      <c r="AA36" s="380">
        <v>24</v>
      </c>
      <c r="AB36" s="501">
        <v>25</v>
      </c>
    </row>
    <row r="37" spans="1:28" outlineLevel="1">
      <c r="A37" s="347" t="s">
        <v>253</v>
      </c>
      <c r="B37" s="383" t="s">
        <v>254</v>
      </c>
      <c r="C37" s="384"/>
      <c r="D37" s="384">
        <f t="shared" ref="D37:AB37" si="12">+D21</f>
        <v>0</v>
      </c>
      <c r="E37" s="384">
        <f t="shared" si="12"/>
        <v>0</v>
      </c>
      <c r="F37" s="384">
        <f t="shared" si="12"/>
        <v>0</v>
      </c>
      <c r="G37" s="384">
        <f t="shared" si="12"/>
        <v>0</v>
      </c>
      <c r="H37" s="384">
        <f t="shared" si="12"/>
        <v>0</v>
      </c>
      <c r="I37" s="384">
        <f t="shared" si="12"/>
        <v>0</v>
      </c>
      <c r="J37" s="384">
        <f t="shared" si="12"/>
        <v>0</v>
      </c>
      <c r="K37" s="384">
        <f t="shared" si="12"/>
        <v>0</v>
      </c>
      <c r="L37" s="384">
        <f t="shared" si="12"/>
        <v>0</v>
      </c>
      <c r="M37" s="384">
        <f t="shared" si="12"/>
        <v>0</v>
      </c>
      <c r="N37" s="384">
        <f t="shared" si="12"/>
        <v>0</v>
      </c>
      <c r="O37" s="384">
        <f t="shared" si="12"/>
        <v>0</v>
      </c>
      <c r="P37" s="384">
        <f t="shared" si="12"/>
        <v>0</v>
      </c>
      <c r="Q37" s="384">
        <f t="shared" si="12"/>
        <v>0</v>
      </c>
      <c r="R37" s="384">
        <f t="shared" si="12"/>
        <v>0</v>
      </c>
      <c r="S37" s="384">
        <f t="shared" si="12"/>
        <v>0</v>
      </c>
      <c r="T37" s="384">
        <f t="shared" si="12"/>
        <v>0</v>
      </c>
      <c r="U37" s="384">
        <f t="shared" si="12"/>
        <v>0</v>
      </c>
      <c r="V37" s="384">
        <f t="shared" si="12"/>
        <v>0</v>
      </c>
      <c r="W37" s="384">
        <f t="shared" si="12"/>
        <v>0</v>
      </c>
      <c r="X37" s="384">
        <f t="shared" si="12"/>
        <v>0</v>
      </c>
      <c r="Y37" s="384">
        <f t="shared" si="12"/>
        <v>0</v>
      </c>
      <c r="Z37" s="384">
        <f t="shared" si="12"/>
        <v>0</v>
      </c>
      <c r="AA37" s="384">
        <f t="shared" si="12"/>
        <v>0</v>
      </c>
      <c r="AB37" s="408">
        <f t="shared" si="12"/>
        <v>0</v>
      </c>
    </row>
    <row r="38" spans="1:28" outlineLevel="1">
      <c r="A38" s="347"/>
      <c r="B38" s="386" t="s">
        <v>1707</v>
      </c>
      <c r="C38" s="384"/>
      <c r="D38" s="384">
        <f t="shared" ref="D38:AB38" si="13">+D22</f>
        <v>10190.777236093543</v>
      </c>
      <c r="E38" s="384">
        <f t="shared" si="13"/>
        <v>10134.72796129503</v>
      </c>
      <c r="F38" s="384">
        <f t="shared" si="13"/>
        <v>10078.986957507906</v>
      </c>
      <c r="G38" s="384">
        <f t="shared" si="13"/>
        <v>10023.552529241613</v>
      </c>
      <c r="H38" s="384">
        <f t="shared" si="13"/>
        <v>9968.4229903307842</v>
      </c>
      <c r="I38" s="384">
        <f t="shared" si="13"/>
        <v>9913.5966638839654</v>
      </c>
      <c r="J38" s="384">
        <f t="shared" si="13"/>
        <v>9859.0718822326035</v>
      </c>
      <c r="K38" s="384">
        <f t="shared" si="13"/>
        <v>9804.846986880324</v>
      </c>
      <c r="L38" s="384">
        <f t="shared" si="13"/>
        <v>9750.9203284524829</v>
      </c>
      <c r="M38" s="384">
        <f t="shared" si="13"/>
        <v>9697.2902666459941</v>
      </c>
      <c r="N38" s="384">
        <f t="shared" si="13"/>
        <v>9643.9551701794408</v>
      </c>
      <c r="O38" s="384">
        <f t="shared" si="13"/>
        <v>9590.9134167434531</v>
      </c>
      <c r="P38" s="384">
        <f t="shared" si="13"/>
        <v>9538.1633929513646</v>
      </c>
      <c r="Q38" s="384">
        <f t="shared" si="13"/>
        <v>9485.7034942901319</v>
      </c>
      <c r="R38" s="384">
        <f t="shared" si="13"/>
        <v>9433.5321250715369</v>
      </c>
      <c r="S38" s="384">
        <f t="shared" si="13"/>
        <v>9381.6476983836437</v>
      </c>
      <c r="T38" s="384">
        <f t="shared" si="13"/>
        <v>9330.048636042533</v>
      </c>
      <c r="U38" s="384">
        <f t="shared" si="13"/>
        <v>9278.7333685442991</v>
      </c>
      <c r="V38" s="384">
        <f t="shared" si="13"/>
        <v>9227.7003350173054</v>
      </c>
      <c r="W38" s="384">
        <f t="shared" si="13"/>
        <v>9176.9479831747103</v>
      </c>
      <c r="X38" s="384">
        <f t="shared" si="13"/>
        <v>9126.4747692672499</v>
      </c>
      <c r="Y38" s="384">
        <f t="shared" si="13"/>
        <v>9076.2791580362809</v>
      </c>
      <c r="Z38" s="384">
        <f t="shared" si="13"/>
        <v>9026.3596226670816</v>
      </c>
      <c r="AA38" s="384">
        <f t="shared" si="13"/>
        <v>8976.7146447424129</v>
      </c>
      <c r="AB38" s="408">
        <f t="shared" si="13"/>
        <v>8927.3427141963293</v>
      </c>
    </row>
    <row r="39" spans="1:28" outlineLevel="1">
      <c r="A39" s="347"/>
      <c r="B39" s="386" t="s">
        <v>2253</v>
      </c>
      <c r="C39" s="369"/>
      <c r="D39" s="769">
        <f>+'PPA Datos Salida'!$E$24*(1+'PPA Calculos'!$D$21)^(D36-1)</f>
        <v>1132.4880000000001</v>
      </c>
      <c r="E39" s="769">
        <f>+'PPA Datos Salida'!$E$24*(1+'PPA Calculos'!$D$21)^(E36-1)</f>
        <v>1211.7621600000002</v>
      </c>
      <c r="F39" s="769">
        <f>+'PPA Datos Salida'!$E$24*(1+'PPA Calculos'!$D$21)^(F36-1)</f>
        <v>1296.5855112000002</v>
      </c>
      <c r="G39" s="769">
        <f>+'PPA Datos Salida'!$E$24*(1+'PPA Calculos'!$D$21)^(G36-1)</f>
        <v>1387.3464969840002</v>
      </c>
      <c r="H39" s="769">
        <f>+'PPA Datos Salida'!$E$24*(1+'PPA Calculos'!$D$21)^(H36-1)</f>
        <v>1484.46075177288</v>
      </c>
      <c r="I39" s="769">
        <f>+'PPA Datos Salida'!$E$24*(1+'PPA Calculos'!$D$21)^(I36-1)</f>
        <v>1588.373004396982</v>
      </c>
      <c r="J39" s="769">
        <f>+'PPA Datos Salida'!$E$24*(1+'PPA Calculos'!$D$21)^(J36-1)</f>
        <v>1699.5591147047705</v>
      </c>
      <c r="K39" s="769">
        <f>+'PPA Datos Salida'!$E$24*(1+'PPA Calculos'!$D$21)^(K36-1)</f>
        <v>1818.5282527341046</v>
      </c>
      <c r="L39" s="769">
        <f>+'PPA Datos Salida'!$E$24*(1+'PPA Calculos'!$D$21)^(L36-1)</f>
        <v>1945.8252304254918</v>
      </c>
      <c r="M39" s="769">
        <f>+'PPA Datos Salida'!$E$24*(1+'PPA Calculos'!$D$21)^(M36-1)</f>
        <v>2082.0329965552764</v>
      </c>
      <c r="N39" s="769">
        <f>+'PPA Datos Salida'!$E$24*(1+'PPA Calculos'!$D$21)^(N36-1)</f>
        <v>2227.7753063141458</v>
      </c>
      <c r="O39" s="769">
        <f>+'PPA Datos Salida'!$E$24*(1+'PPA Calculos'!$D$21)^(O36-1)</f>
        <v>2383.719577756136</v>
      </c>
      <c r="P39" s="769">
        <f>+'PPA Datos Salida'!$E$24*(1+'PPA Calculos'!$D$21)^(P36-1)</f>
        <v>2550.5799481990653</v>
      </c>
      <c r="Q39" s="769">
        <f>+'PPA Datos Salida'!$E$24*(1+'PPA Calculos'!$D$21)^(Q36-1)</f>
        <v>2729.1205445730002</v>
      </c>
      <c r="R39" s="769">
        <f>+'PPA Datos Salida'!$E$24*(1+'PPA Calculos'!$D$21)^(R36-1)</f>
        <v>2920.1589826931099</v>
      </c>
      <c r="S39" s="769">
        <f>+'PPA Datos Salida'!$E$24*(1+'PPA Calculos'!$D$21)^(S36-1)</f>
        <v>3124.5701114816279</v>
      </c>
      <c r="T39" s="769">
        <f>+'PPA Datos Salida'!$E$24*(1+'PPA Calculos'!$D$21)^(T36-1)</f>
        <v>3343.2900192853413</v>
      </c>
      <c r="U39" s="769">
        <f>+'PPA Datos Salida'!$E$24*(1+'PPA Calculos'!$D$21)^(U36-1)</f>
        <v>3577.3203206353155</v>
      </c>
      <c r="V39" s="769">
        <f>+'PPA Datos Salida'!$E$24*(1+'PPA Calculos'!$D$21)^(V36-1)</f>
        <v>3827.7327430797877</v>
      </c>
      <c r="W39" s="769">
        <f>+'PPA Datos Salida'!$E$24*(1+'PPA Calculos'!$D$21)^(W36-1)</f>
        <v>4095.6740350953728</v>
      </c>
      <c r="X39" s="769">
        <f>+'PPA Datos Salida'!$E$24*(1+'PPA Calculos'!$D$21)^(X36-1)</f>
        <v>4382.3712175520486</v>
      </c>
      <c r="Y39" s="769">
        <f>+'PPA Datos Salida'!$E$24*(1+'PPA Calculos'!$D$21)^(Y36-1)</f>
        <v>4689.137202780692</v>
      </c>
      <c r="Z39" s="769">
        <f>+'PPA Datos Salida'!$E$24*(1+'PPA Calculos'!$D$21)^(Z36-1)</f>
        <v>5017.3768069753405</v>
      </c>
      <c r="AA39" s="769">
        <f>+'PPA Datos Salida'!$E$24*(1+'PPA Calculos'!$D$21)^(AA36-1)</f>
        <v>5368.5931834636149</v>
      </c>
      <c r="AB39" s="769">
        <f>+'PPA Datos Salida'!$E$24*(1+'PPA Calculos'!$D$21)^(AB36-1)</f>
        <v>5744.3947063060677</v>
      </c>
    </row>
    <row r="40" spans="1:28" outlineLevel="1">
      <c r="A40" s="347"/>
      <c r="B40" s="386" t="s">
        <v>2254</v>
      </c>
      <c r="C40" s="369"/>
      <c r="D40" s="769">
        <f>+'PPA Datos Salida'!$F$12*(1+'PPA Calculos'!$D$20)^(D36-1)</f>
        <v>384.19785245115725</v>
      </c>
      <c r="E40" s="769">
        <f>+'PPA Datos Salida'!$F$12*(1+'PPA Calculos'!$D$20)^(E36-1)</f>
        <v>398.41317299185005</v>
      </c>
      <c r="F40" s="769">
        <f>+'PPA Datos Salida'!$F$12*(1+'PPA Calculos'!$D$20)^(F36-1)</f>
        <v>413.15446039254846</v>
      </c>
      <c r="G40" s="769">
        <f>+'PPA Datos Salida'!$F$12*(1+'PPA Calculos'!$D$20)^(G36-1)</f>
        <v>428.44117542707272</v>
      </c>
      <c r="H40" s="769">
        <f>+'PPA Datos Salida'!$F$12*(1+'PPA Calculos'!$D$20)^(H36-1)</f>
        <v>444.29349891787439</v>
      </c>
      <c r="I40" s="769">
        <f>+'PPA Datos Salida'!$F$12*(1+'PPA Calculos'!$D$20)^(I36-1)</f>
        <v>460.73235837783568</v>
      </c>
      <c r="J40" s="769">
        <f>+'PPA Datos Salida'!$F$12*(1+'PPA Calculos'!$D$20)^(J36-1)</f>
        <v>477.77945563781554</v>
      </c>
      <c r="K40" s="769">
        <f>+'PPA Datos Salida'!$F$12*(1+'PPA Calculos'!$D$20)^(K36-1)</f>
        <v>495.45729549641476</v>
      </c>
      <c r="L40" s="769">
        <f>+'PPA Datos Salida'!$F$12*(1+'PPA Calculos'!$D$20)^(L36-1)</f>
        <v>513.78921542978196</v>
      </c>
      <c r="M40" s="769">
        <f>+'PPA Datos Salida'!$F$12*(1+'PPA Calculos'!$D$20)^(M36-1)</f>
        <v>532.79941640068387</v>
      </c>
      <c r="N40" s="769">
        <f>+'PPA Datos Salida'!$F$12*(1+'PPA Calculos'!$D$20)^(N36-1)</f>
        <v>552.51299480750913</v>
      </c>
      <c r="O40" s="769">
        <f>+'PPA Datos Salida'!$F$12*(1+'PPA Calculos'!$D$20)^(O36-1)</f>
        <v>572.95597561538705</v>
      </c>
      <c r="P40" s="769">
        <f>+'PPA Datos Salida'!$F$12*(1+'PPA Calculos'!$D$20)^(P36-1)</f>
        <v>594.15534671315618</v>
      </c>
      <c r="Q40" s="769">
        <f>+'PPA Datos Salida'!$F$12*(1+'PPA Calculos'!$D$20)^(Q36-1)</f>
        <v>616.13909454154305</v>
      </c>
      <c r="R40" s="769">
        <f>+'PPA Datos Salida'!$F$12*(1+'PPA Calculos'!$D$20)^(R36-1)</f>
        <v>638.93624103957995</v>
      </c>
      <c r="S40" s="769"/>
      <c r="T40" s="769"/>
      <c r="U40" s="769"/>
      <c r="V40" s="769"/>
      <c r="W40" s="769"/>
      <c r="X40" s="769"/>
      <c r="Y40" s="769"/>
      <c r="Z40" s="769"/>
      <c r="AA40" s="769"/>
      <c r="AB40" s="769"/>
    </row>
    <row r="41" spans="1:28" outlineLevel="1">
      <c r="A41" s="347"/>
      <c r="B41" s="386" t="s">
        <v>1708</v>
      </c>
      <c r="C41" s="384"/>
      <c r="D41" s="770">
        <f t="shared" ref="D41:AB41" si="14">+D39-D40</f>
        <v>748.29014754884281</v>
      </c>
      <c r="E41" s="770">
        <f t="shared" si="14"/>
        <v>813.34898700815017</v>
      </c>
      <c r="F41" s="770">
        <f t="shared" si="14"/>
        <v>883.4310508074517</v>
      </c>
      <c r="G41" s="770">
        <f t="shared" si="14"/>
        <v>958.90532155692745</v>
      </c>
      <c r="H41" s="770">
        <f t="shared" si="14"/>
        <v>1040.1672528550057</v>
      </c>
      <c r="I41" s="770">
        <f t="shared" si="14"/>
        <v>1127.6406460191463</v>
      </c>
      <c r="J41" s="770">
        <f t="shared" si="14"/>
        <v>1221.779659066955</v>
      </c>
      <c r="K41" s="770">
        <f t="shared" si="14"/>
        <v>1323.07095723769</v>
      </c>
      <c r="L41" s="770">
        <f t="shared" si="14"/>
        <v>1432.0360149957098</v>
      </c>
      <c r="M41" s="770">
        <f t="shared" si="14"/>
        <v>1549.2335801545926</v>
      </c>
      <c r="N41" s="770">
        <f t="shared" si="14"/>
        <v>1675.2623115066367</v>
      </c>
      <c r="O41" s="770">
        <f t="shared" si="14"/>
        <v>1810.7636021407488</v>
      </c>
      <c r="P41" s="770">
        <f t="shared" si="14"/>
        <v>1956.4246014859091</v>
      </c>
      <c r="Q41" s="770">
        <f t="shared" si="14"/>
        <v>2112.9814500314569</v>
      </c>
      <c r="R41" s="770">
        <f t="shared" si="14"/>
        <v>2281.2227416535297</v>
      </c>
      <c r="S41" s="770">
        <f t="shared" si="14"/>
        <v>3124.5701114816279</v>
      </c>
      <c r="T41" s="770">
        <f t="shared" si="14"/>
        <v>3343.2900192853413</v>
      </c>
      <c r="U41" s="770">
        <f t="shared" si="14"/>
        <v>3577.3203206353155</v>
      </c>
      <c r="V41" s="770">
        <f t="shared" si="14"/>
        <v>3827.7327430797877</v>
      </c>
      <c r="W41" s="770">
        <f t="shared" si="14"/>
        <v>4095.6740350953728</v>
      </c>
      <c r="X41" s="770">
        <f t="shared" si="14"/>
        <v>4382.3712175520486</v>
      </c>
      <c r="Y41" s="770">
        <f t="shared" si="14"/>
        <v>4689.137202780692</v>
      </c>
      <c r="Z41" s="770">
        <f t="shared" si="14"/>
        <v>5017.3768069753405</v>
      </c>
      <c r="AA41" s="770">
        <f t="shared" si="14"/>
        <v>5368.5931834636149</v>
      </c>
      <c r="AB41" s="770">
        <f t="shared" si="14"/>
        <v>5744.3947063060677</v>
      </c>
    </row>
    <row r="42" spans="1:28" outlineLevel="1">
      <c r="A42" s="347"/>
      <c r="B42" s="386" t="s">
        <v>2255</v>
      </c>
      <c r="C42" s="369"/>
      <c r="D42" s="770">
        <f>+'Datos de Entrada (On Grid)'!$D$19*(1+'Flujo de caja'!$D$24)^(D36-1)-0.1*'Datos de Entrada (On Grid)'!$D$19*(1+'Flujo de caja'!$D$23)^(D36-1)</f>
        <v>849.36599999999999</v>
      </c>
      <c r="E42" s="770">
        <f>+'Datos de Entrada (On Grid)'!$D$19*(1+'Flujo de caja'!$D$24)^(E36-1)-0.1*'Datos de Entrada (On Grid)'!$D$19*(1+'Flujo de caja'!$D$23)^(E36-1)</f>
        <v>911.93596200000002</v>
      </c>
      <c r="F42" s="770">
        <f>+'Datos de Entrada (On Grid)'!$D$19*(1+'Flujo de caja'!$D$24)^(F36-1)-0.1*'Datos de Entrada (On Grid)'!$D$19*(1+'Flujo de caja'!$D$23)^(F36-1)</f>
        <v>979.00105199400002</v>
      </c>
      <c r="G42" s="770">
        <f>+'Datos de Entrada (On Grid)'!$D$19*(1+'Flujo de caja'!$D$24)^(G36-1)-0.1*'Datos de Entrada (On Grid)'!$D$19*(1+'Flujo de caja'!$D$23)^(G36-1)</f>
        <v>1050.8801924757781</v>
      </c>
      <c r="H42" s="770">
        <f>+'Datos de Entrada (On Grid)'!$D$19*(1+'Flujo de caja'!$D$24)^(H36-1)-0.1*'Datos de Entrada (On Grid)'!$D$19*(1+'Flujo de caja'!$D$23)^(H36-1)</f>
        <v>1127.914788264442</v>
      </c>
      <c r="I42" s="770">
        <f>+'Datos de Entrada (On Grid)'!$D$19*(1+'Flujo de caja'!$D$24)^(I36-1)-0.1*'Datos de Entrada (On Grid)'!$D$19*(1+'Flujo de caja'!$D$23)^(I36-1)</f>
        <v>1210.4703061039806</v>
      </c>
      <c r="J42" s="770">
        <f>+'Datos de Entrada (On Grid)'!$D$19*(1+'Flujo de caja'!$D$24)^(J36-1)-0.1*'Datos de Entrada (On Grid)'!$D$19*(1+'Flujo de caja'!$D$23)^(J36-1)</f>
        <v>1298.9379650507447</v>
      </c>
      <c r="K42" s="770">
        <f>+'Datos de Entrada (On Grid)'!$D$19*(1+'Flujo de caja'!$D$24)^(K36-1)-0.1*'Datos de Entrada (On Grid)'!$D$19*(1+'Flujo de caja'!$D$23)^(K36-1)</f>
        <v>1393.7365454120036</v>
      </c>
      <c r="L42" s="770">
        <f>+'Datos de Entrada (On Grid)'!$D$19*(1+'Flujo de caja'!$D$24)^(L36-1)-0.1*'Datos de Entrada (On Grid)'!$D$19*(1+'Flujo de caja'!$D$23)^(L36-1)</f>
        <v>1495.3143245424355</v>
      </c>
      <c r="M42" s="770">
        <f>+'Datos de Entrada (On Grid)'!$D$19*(1+'Flujo de caja'!$D$24)^(M36-1)-0.1*'Datos de Entrada (On Grid)'!$D$19*(1+'Flujo de caja'!$D$23)^(M36-1)</f>
        <v>1604.1511483872068</v>
      </c>
      <c r="N42" s="770">
        <f>+'Datos de Entrada (On Grid)'!$D$19*(1+'Flujo de caja'!$D$24)^(N36-1)-0.1*'Datos de Entrada (On Grid)'!$D$19*(1+'Flujo de caja'!$D$23)^(N36-1)</f>
        <v>1720.7606482828037</v>
      </c>
      <c r="O42" s="770">
        <f>+'Datos de Entrada (On Grid)'!$D$19*(1+'Flujo de caja'!$D$24)^(O36-1)-0.1*'Datos de Entrada (On Grid)'!$D$19*(1+'Flujo de caja'!$D$23)^(O36-1)</f>
        <v>1845.6926131929067</v>
      </c>
      <c r="P42" s="770">
        <f>+'Datos de Entrada (On Grid)'!$D$19*(1+'Flujo de caja'!$D$24)^(P36-1)-0.1*'Datos de Entrada (On Grid)'!$D$19*(1+'Flujo de caja'!$D$23)^(P36-1)</f>
        <v>1979.5355282693372</v>
      </c>
      <c r="Q42" s="770">
        <f>+'Datos de Entrada (On Grid)'!$D$19*(1+'Flujo de caja'!$D$24)^(Q36-1)-0.1*'Datos de Entrada (On Grid)'!$D$19*(1+'Flujo de caja'!$D$23)^(Q36-1)</f>
        <v>2122.9192913907773</v>
      </c>
      <c r="R42" s="770">
        <f>+'Datos de Entrada (On Grid)'!$D$19*(1+'Flujo de caja'!$D$24)^(R36-1)-0.1*'Datos de Entrada (On Grid)'!$D$19*(1+'Flujo de caja'!$D$23)^(R36-1)</f>
        <v>2276.5181201479932</v>
      </c>
      <c r="S42" s="770">
        <f>+'Datos de Entrada (On Grid)'!$D$19*(1+'Flujo de caja'!$D$24)^(S36-1)-0.1*'Datos de Entrada (On Grid)'!$D$19*(1+'Flujo de caja'!$D$23)^(S36-1)</f>
        <v>2441.0536626175299</v>
      </c>
      <c r="T42" s="770">
        <f>+'Datos de Entrada (On Grid)'!$D$19*(1+'Flujo de caja'!$D$24)^(T36-1)-0.1*'Datos de Entrada (On Grid)'!$D$19*(1+'Flujo de caja'!$D$23)^(T36-1)</f>
        <v>2617.298326200123</v>
      </c>
      <c r="U42" s="770">
        <f>+'Datos de Entrada (On Grid)'!$D$19*(1+'Flujo de caja'!$D$24)^(U36-1)-0.1*'Datos de Entrada (On Grid)'!$D$19*(1+'Flujo de caja'!$D$23)^(U36-1)</f>
        <v>2806.0788397998745</v>
      </c>
      <c r="V42" s="770">
        <f>+'Datos de Entrada (On Grid)'!$D$19*(1+'Flujo de caja'!$D$24)^(V36-1)-0.1*'Datos de Entrada (On Grid)'!$D$19*(1+'Flujo de caja'!$D$23)^(V36-1)</f>
        <v>3008.2800656899412</v>
      </c>
      <c r="W42" s="770">
        <f>+'Datos de Entrada (On Grid)'!$D$19*(1+'Flujo de caja'!$D$24)^(W36-1)-0.1*'Datos de Entrada (On Grid)'!$D$19*(1+'Flujo de caja'!$D$23)^(W36-1)</f>
        <v>3224.8490785551635</v>
      </c>
      <c r="X42" s="770">
        <f>+'Datos de Entrada (On Grid)'!$D$19*(1+'Flujo de caja'!$D$24)^(X36-1)-0.1*'Datos de Entrada (On Grid)'!$D$19*(1+'Flujo de caja'!$D$23)^(X36-1)</f>
        <v>3456.799530426827</v>
      </c>
      <c r="Y42" s="770">
        <f>+'Datos de Entrada (On Grid)'!$D$19*(1+'Flujo de caja'!$D$24)^(Y36-1)-0.1*'Datos de Entrada (On Grid)'!$D$19*(1+'Flujo de caja'!$D$23)^(Y36-1)</f>
        <v>3705.2163215353012</v>
      </c>
      <c r="Z42" s="770">
        <f>+'Datos de Entrada (On Grid)'!$D$19*(1+'Flujo de caja'!$D$24)^(Z36-1)-0.1*'Datos de Entrada (On Grid)'!$D$19*(1+'Flujo de caja'!$D$23)^(Z36-1)</f>
        <v>3971.2605985085761</v>
      </c>
      <c r="AA42" s="770">
        <f>+'Datos de Entrada (On Grid)'!$D$19*(1+'Flujo de caja'!$D$24)^(AA36-1)-0.1*'Datos de Entrada (On Grid)'!$D$19*(1+'Flujo de caja'!$D$23)^(AA36-1)</f>
        <v>4256.1751028452154</v>
      </c>
      <c r="AB42" s="770">
        <f>+'Datos de Entrada (On Grid)'!$D$19*(1+'Flujo de caja'!$D$24)^(AB36-1)-0.1*'Datos de Entrada (On Grid)'!$D$19*(1+'Flujo de caja'!$D$23)^(AB36-1)</f>
        <v>4561.2898941957383</v>
      </c>
    </row>
    <row r="43" spans="1:28" outlineLevel="1">
      <c r="A43" s="347" t="s">
        <v>256</v>
      </c>
      <c r="B43" s="390" t="s">
        <v>257</v>
      </c>
      <c r="C43" s="384"/>
      <c r="D43" s="387">
        <f>D38*('Flujo de caja'!$D$21*D41+(1-'Flujo de caja'!$D$21)*(D42-D40))</f>
        <v>6471564.9085789155</v>
      </c>
      <c r="E43" s="387">
        <f>E38*('Flujo de caja'!$D$21*E41+(1-'Flujo de caja'!$D$21)*(E42-E40))</f>
        <v>7027607.9399627354</v>
      </c>
      <c r="F43" s="387">
        <f>F38*('Flujo de caja'!$D$21*F41+(1-'Flujo de caja'!$D$21)*(F42-F40))</f>
        <v>7623718.1900480194</v>
      </c>
      <c r="G43" s="387">
        <f>G38*('Flujo de caja'!$D$21*G41+(1-'Flujo de caja'!$D$21)*(G42-G40))</f>
        <v>8262602.7901719958</v>
      </c>
      <c r="H43" s="387">
        <f>H38*('Flujo de caja'!$D$21*H41+(1-'Flujo de caja'!$D$21)*(H42-H40))</f>
        <v>8947146.7652501911</v>
      </c>
      <c r="I43" s="387">
        <f>I38*('Flujo de caja'!$D$21*I41+(1-'Flujo de caja'!$D$21)*(I42-I40))</f>
        <v>9680424.5748072695</v>
      </c>
      <c r="J43" s="387">
        <f>J38*('Flujo de caja'!$D$21*J41+(1-'Flujo de caja'!$D$21)*(J42-J40))</f>
        <v>10465712.39819807</v>
      </c>
      <c r="K43" s="387">
        <f>K38*('Flujo de caja'!$D$21*K41+(1-'Flujo de caja'!$D$21)*(K42-K40))</f>
        <v>11306501.211865289</v>
      </c>
      <c r="L43" s="387">
        <f>L38*('Flujo de caja'!$D$21*L41+(1-'Flujo de caja'!$D$21)*(L42-L40))</f>
        <v>12206510.709551897</v>
      </c>
      <c r="M43" s="387">
        <f>M38*('Flujo de caja'!$D$21*M41+(1-'Flujo de caja'!$D$21)*(M42-M40))</f>
        <v>13169704.119655449</v>
      </c>
      <c r="N43" s="387">
        <f>N38*('Flujo de caja'!$D$21*N41+(1-'Flujo de caja'!$D$21)*(N42-N40))</f>
        <v>14200303.977389941</v>
      </c>
      <c r="O43" s="387">
        <f>O38*('Flujo de caja'!$D$21*O41+(1-'Flujo de caja'!$D$21)*(O42-O40))</f>
        <v>15302808.913122721</v>
      </c>
      <c r="P43" s="387">
        <f>P38*('Flujo de caja'!$D$21*P41+(1-'Flujo de caja'!$D$21)*(P42-P40))</f>
        <v>16482011.522193206</v>
      </c>
      <c r="Q43" s="387">
        <f>Q38*('Flujo de caja'!$D$21*Q41+(1-'Flujo de caja'!$D$21)*(Q42-Q40))</f>
        <v>17743017.385712154</v>
      </c>
      <c r="R43" s="387">
        <f>R38*('Flujo de caja'!$D$21*R41+(1-'Flujo de caja'!$D$21)*(R42-R40))</f>
        <v>19091265.316301096</v>
      </c>
      <c r="S43" s="387">
        <f>S38*('Flujo de caja'!$D$21*S41+(1-'Flujo de caja'!$D$21)*(S42-S40))</f>
        <v>26748611.787102651</v>
      </c>
      <c r="T43" s="387">
        <f>T38*('Flujo de caja'!$D$21*T41+(1-'Flujo de caja'!$D$21)*(T42-T40))</f>
        <v>28483643.361988634</v>
      </c>
      <c r="U43" s="387">
        <f>U38*('Flujo de caja'!$D$21*U41+(1-'Flujo de caja'!$D$21)*(U42-U40))</f>
        <v>30330543.803677157</v>
      </c>
      <c r="V43" s="387">
        <f>V38*('Flujo de caja'!$D$21*V41+(1-'Flujo de caja'!$D$21)*(V42-V40))</f>
        <v>32296505.217401616</v>
      </c>
      <c r="W43" s="387">
        <f>W38*('Flujo de caja'!$D$21*W41+(1-'Flujo de caja'!$D$21)*(W42-W40))</f>
        <v>34389181.444661565</v>
      </c>
      <c r="X43" s="387">
        <f>X38*('Flujo de caja'!$D$21*X41+(1-'Flujo de caja'!$D$21)*(X42-X40))</f>
        <v>36616717.686673194</v>
      </c>
      <c r="Y43" s="387">
        <f>Y38*('Flujo de caja'!$D$21*Y41+(1-'Flujo de caja'!$D$21)*(Y42-Y40))</f>
        <v>38987782.02772925</v>
      </c>
      <c r="Z43" s="387">
        <f>Z38*('Flujo de caja'!$D$21*Z41+(1-'Flujo de caja'!$D$21)*(Z42-Z40))</f>
        <v>41511598.980299704</v>
      </c>
      <c r="AA43" s="387">
        <f>AA38*('Flujo de caja'!$D$21*AA41+(1-'Flujo de caja'!$D$21)*(AA42-AA40))</f>
        <v>44197985.181516752</v>
      </c>
      <c r="AB43" s="387">
        <f>AB38*('Flujo de caja'!$D$21*AB41+(1-'Flujo de caja'!$D$21)*(AB42-AB40))</f>
        <v>47057387.378999926</v>
      </c>
    </row>
    <row r="44" spans="1:28" outlineLevel="1">
      <c r="A44" s="347"/>
      <c r="B44" s="392"/>
      <c r="C44" s="384"/>
      <c r="D44" s="384">
        <f t="shared" ref="D44:AB45" si="15">+D28</f>
        <v>0</v>
      </c>
      <c r="E44" s="384">
        <f t="shared" si="15"/>
        <v>0</v>
      </c>
      <c r="F44" s="384">
        <f t="shared" si="15"/>
        <v>0</v>
      </c>
      <c r="G44" s="384">
        <f t="shared" si="15"/>
        <v>0</v>
      </c>
      <c r="H44" s="384">
        <f t="shared" si="15"/>
        <v>0</v>
      </c>
      <c r="I44" s="384">
        <f t="shared" si="15"/>
        <v>0</v>
      </c>
      <c r="J44" s="384">
        <f t="shared" si="15"/>
        <v>0</v>
      </c>
      <c r="K44" s="384">
        <f t="shared" si="15"/>
        <v>0</v>
      </c>
      <c r="L44" s="384">
        <f t="shared" si="15"/>
        <v>0</v>
      </c>
      <c r="M44" s="384">
        <f t="shared" si="15"/>
        <v>0</v>
      </c>
      <c r="N44" s="384">
        <f t="shared" si="15"/>
        <v>0</v>
      </c>
      <c r="O44" s="384">
        <f t="shared" si="15"/>
        <v>0</v>
      </c>
      <c r="P44" s="384">
        <f t="shared" si="15"/>
        <v>0</v>
      </c>
      <c r="Q44" s="384">
        <f t="shared" si="15"/>
        <v>0</v>
      </c>
      <c r="R44" s="384">
        <f t="shared" si="15"/>
        <v>0</v>
      </c>
      <c r="S44" s="384">
        <f t="shared" si="15"/>
        <v>0</v>
      </c>
      <c r="T44" s="384">
        <f t="shared" si="15"/>
        <v>0</v>
      </c>
      <c r="U44" s="384">
        <f t="shared" si="15"/>
        <v>0</v>
      </c>
      <c r="V44" s="384">
        <f t="shared" si="15"/>
        <v>0</v>
      </c>
      <c r="W44" s="384">
        <f t="shared" si="15"/>
        <v>0</v>
      </c>
      <c r="X44" s="384">
        <f t="shared" si="15"/>
        <v>0</v>
      </c>
      <c r="Y44" s="384">
        <f t="shared" si="15"/>
        <v>0</v>
      </c>
      <c r="Z44" s="384">
        <f t="shared" si="15"/>
        <v>0</v>
      </c>
      <c r="AA44" s="384">
        <f t="shared" si="15"/>
        <v>0</v>
      </c>
      <c r="AB44" s="408">
        <f t="shared" si="15"/>
        <v>0</v>
      </c>
    </row>
    <row r="45" spans="1:28" outlineLevel="1">
      <c r="A45" s="347" t="s">
        <v>253</v>
      </c>
      <c r="B45" s="390" t="s">
        <v>258</v>
      </c>
      <c r="C45" s="384"/>
      <c r="D45" s="384"/>
      <c r="E45" s="384"/>
      <c r="F45" s="384"/>
      <c r="G45" s="384"/>
      <c r="H45" s="384"/>
      <c r="I45" s="384"/>
      <c r="J45" s="384"/>
      <c r="K45" s="384"/>
      <c r="L45" s="384"/>
      <c r="M45" s="384"/>
      <c r="N45" s="384"/>
      <c r="O45" s="384"/>
      <c r="P45" s="384"/>
      <c r="Q45" s="384"/>
      <c r="R45" s="384"/>
      <c r="S45" s="384" t="e">
        <f t="shared" si="15"/>
        <v>#N/A</v>
      </c>
      <c r="T45" s="384" t="e">
        <f t="shared" si="15"/>
        <v>#N/A</v>
      </c>
      <c r="U45" s="384" t="e">
        <f t="shared" si="15"/>
        <v>#N/A</v>
      </c>
      <c r="V45" s="384" t="e">
        <f t="shared" si="15"/>
        <v>#N/A</v>
      </c>
      <c r="W45" s="384" t="e">
        <f t="shared" si="15"/>
        <v>#N/A</v>
      </c>
      <c r="X45" s="384" t="e">
        <f t="shared" ref="X45:AB46" si="16">+X29</f>
        <v>#N/A</v>
      </c>
      <c r="Y45" s="384" t="e">
        <f t="shared" si="16"/>
        <v>#N/A</v>
      </c>
      <c r="Z45" s="384" t="e">
        <f t="shared" si="16"/>
        <v>#N/A</v>
      </c>
      <c r="AA45" s="384" t="e">
        <f t="shared" si="16"/>
        <v>#N/A</v>
      </c>
      <c r="AB45" s="408" t="e">
        <f t="shared" si="16"/>
        <v>#N/A</v>
      </c>
    </row>
    <row r="46" spans="1:28" ht="15.75" outlineLevel="1" thickBot="1">
      <c r="A46" s="347"/>
      <c r="B46" s="398"/>
      <c r="C46" s="384"/>
      <c r="D46" s="384">
        <f t="shared" ref="D46:W46" si="17">+D30</f>
        <v>0</v>
      </c>
      <c r="E46" s="384">
        <f t="shared" si="17"/>
        <v>0</v>
      </c>
      <c r="F46" s="384">
        <f t="shared" si="17"/>
        <v>0</v>
      </c>
      <c r="G46" s="384">
        <f t="shared" si="17"/>
        <v>0</v>
      </c>
      <c r="H46" s="384">
        <f t="shared" si="17"/>
        <v>0</v>
      </c>
      <c r="I46" s="384">
        <f t="shared" si="17"/>
        <v>0</v>
      </c>
      <c r="J46" s="384">
        <f t="shared" si="17"/>
        <v>0</v>
      </c>
      <c r="K46" s="384">
        <f t="shared" si="17"/>
        <v>0</v>
      </c>
      <c r="L46" s="384">
        <f t="shared" si="17"/>
        <v>0</v>
      </c>
      <c r="M46" s="384">
        <f t="shared" si="17"/>
        <v>0</v>
      </c>
      <c r="N46" s="384">
        <f t="shared" si="17"/>
        <v>0</v>
      </c>
      <c r="O46" s="384">
        <f t="shared" si="17"/>
        <v>0</v>
      </c>
      <c r="P46" s="384">
        <f t="shared" si="17"/>
        <v>0</v>
      </c>
      <c r="Q46" s="384">
        <f t="shared" si="17"/>
        <v>0</v>
      </c>
      <c r="R46" s="384">
        <f t="shared" si="17"/>
        <v>0</v>
      </c>
      <c r="S46" s="384">
        <f t="shared" si="17"/>
        <v>0</v>
      </c>
      <c r="T46" s="384">
        <f t="shared" si="17"/>
        <v>0</v>
      </c>
      <c r="U46" s="384">
        <f t="shared" si="17"/>
        <v>0</v>
      </c>
      <c r="V46" s="384">
        <f t="shared" si="17"/>
        <v>0</v>
      </c>
      <c r="W46" s="384">
        <f t="shared" si="17"/>
        <v>0</v>
      </c>
      <c r="X46" s="384">
        <f t="shared" si="16"/>
        <v>0</v>
      </c>
      <c r="Y46" s="384">
        <f t="shared" si="16"/>
        <v>0</v>
      </c>
      <c r="Z46" s="384">
        <f t="shared" si="16"/>
        <v>0</v>
      </c>
      <c r="AA46" s="384">
        <f t="shared" si="16"/>
        <v>0</v>
      </c>
      <c r="AB46" s="408">
        <f t="shared" si="16"/>
        <v>0</v>
      </c>
    </row>
    <row r="47" spans="1:28" s="401" customFormat="1" ht="15.75" outlineLevel="1">
      <c r="B47" s="402" t="s">
        <v>260</v>
      </c>
      <c r="C47" s="403"/>
      <c r="D47" s="403">
        <f>SUM(D43:D46)</f>
        <v>6471564.9085789155</v>
      </c>
      <c r="E47" s="403">
        <f t="shared" ref="E47:AB47" si="18">SUM(E43:E46)</f>
        <v>7027607.9399627354</v>
      </c>
      <c r="F47" s="403">
        <f t="shared" si="18"/>
        <v>7623718.1900480194</v>
      </c>
      <c r="G47" s="403">
        <f t="shared" si="18"/>
        <v>8262602.7901719958</v>
      </c>
      <c r="H47" s="403">
        <f t="shared" si="18"/>
        <v>8947146.7652501911</v>
      </c>
      <c r="I47" s="403">
        <f t="shared" si="18"/>
        <v>9680424.5748072695</v>
      </c>
      <c r="J47" s="403">
        <f t="shared" si="18"/>
        <v>10465712.39819807</v>
      </c>
      <c r="K47" s="403">
        <f t="shared" si="18"/>
        <v>11306501.211865289</v>
      </c>
      <c r="L47" s="403">
        <f t="shared" si="18"/>
        <v>12206510.709551897</v>
      </c>
      <c r="M47" s="403">
        <f t="shared" si="18"/>
        <v>13169704.119655449</v>
      </c>
      <c r="N47" s="403">
        <f t="shared" si="18"/>
        <v>14200303.977389941</v>
      </c>
      <c r="O47" s="403">
        <f t="shared" si="18"/>
        <v>15302808.913122721</v>
      </c>
      <c r="P47" s="403">
        <f t="shared" si="18"/>
        <v>16482011.522193206</v>
      </c>
      <c r="Q47" s="403">
        <f t="shared" si="18"/>
        <v>17743017.385712154</v>
      </c>
      <c r="R47" s="403">
        <f t="shared" si="18"/>
        <v>19091265.316301096</v>
      </c>
      <c r="S47" s="403" t="e">
        <f t="shared" si="18"/>
        <v>#N/A</v>
      </c>
      <c r="T47" s="403" t="e">
        <f t="shared" si="18"/>
        <v>#N/A</v>
      </c>
      <c r="U47" s="403" t="e">
        <f t="shared" si="18"/>
        <v>#N/A</v>
      </c>
      <c r="V47" s="403" t="e">
        <f t="shared" si="18"/>
        <v>#N/A</v>
      </c>
      <c r="W47" s="403" t="e">
        <f t="shared" si="18"/>
        <v>#N/A</v>
      </c>
      <c r="X47" s="403" t="e">
        <f t="shared" si="18"/>
        <v>#N/A</v>
      </c>
      <c r="Y47" s="403" t="e">
        <f t="shared" si="18"/>
        <v>#N/A</v>
      </c>
      <c r="Z47" s="403" t="e">
        <f t="shared" si="18"/>
        <v>#N/A</v>
      </c>
      <c r="AA47" s="403" t="e">
        <f t="shared" si="18"/>
        <v>#N/A</v>
      </c>
      <c r="AB47" s="403" t="e">
        <f t="shared" si="18"/>
        <v>#N/A</v>
      </c>
    </row>
    <row r="48" spans="1:28" ht="16.5" outlineLevel="1" thickBot="1">
      <c r="B48" s="405" t="s">
        <v>261</v>
      </c>
      <c r="C48" s="406"/>
      <c r="D48" s="406">
        <f>C48+D47</f>
        <v>6471564.9085789155</v>
      </c>
      <c r="E48" s="406">
        <f t="shared" ref="E48:AB48" si="19">D48+E47</f>
        <v>13499172.848541651</v>
      </c>
      <c r="F48" s="406">
        <f t="shared" si="19"/>
        <v>21122891.038589671</v>
      </c>
      <c r="G48" s="406">
        <f t="shared" si="19"/>
        <v>29385493.828761667</v>
      </c>
      <c r="H48" s="406">
        <f t="shared" si="19"/>
        <v>38332640.594011858</v>
      </c>
      <c r="I48" s="406">
        <f t="shared" si="19"/>
        <v>48013065.168819129</v>
      </c>
      <c r="J48" s="406">
        <f t="shared" si="19"/>
        <v>58478777.567017198</v>
      </c>
      <c r="K48" s="406">
        <f t="shared" si="19"/>
        <v>69785278.778882489</v>
      </c>
      <c r="L48" s="406">
        <f t="shared" si="19"/>
        <v>81991789.488434389</v>
      </c>
      <c r="M48" s="406">
        <f t="shared" si="19"/>
        <v>95161493.608089834</v>
      </c>
      <c r="N48" s="406">
        <f t="shared" si="19"/>
        <v>109361797.58547978</v>
      </c>
      <c r="O48" s="406">
        <f t="shared" si="19"/>
        <v>124664606.49860251</v>
      </c>
      <c r="P48" s="406">
        <f t="shared" si="19"/>
        <v>141146618.0207957</v>
      </c>
      <c r="Q48" s="406">
        <f t="shared" si="19"/>
        <v>158889635.40650785</v>
      </c>
      <c r="R48" s="406">
        <f t="shared" si="19"/>
        <v>177980900.72280896</v>
      </c>
      <c r="S48" s="406" t="e">
        <f t="shared" si="19"/>
        <v>#N/A</v>
      </c>
      <c r="T48" s="406" t="e">
        <f t="shared" si="19"/>
        <v>#N/A</v>
      </c>
      <c r="U48" s="406" t="e">
        <f t="shared" si="19"/>
        <v>#N/A</v>
      </c>
      <c r="V48" s="406" t="e">
        <f t="shared" si="19"/>
        <v>#N/A</v>
      </c>
      <c r="W48" s="406" t="e">
        <f t="shared" si="19"/>
        <v>#N/A</v>
      </c>
      <c r="X48" s="406" t="e">
        <f t="shared" si="19"/>
        <v>#N/A</v>
      </c>
      <c r="Y48" s="406" t="e">
        <f t="shared" si="19"/>
        <v>#N/A</v>
      </c>
      <c r="Z48" s="406" t="e">
        <f t="shared" si="19"/>
        <v>#N/A</v>
      </c>
      <c r="AA48" s="406" t="e">
        <f t="shared" si="19"/>
        <v>#N/A</v>
      </c>
      <c r="AB48" s="407" t="e">
        <f t="shared" si="19"/>
        <v>#N/A</v>
      </c>
    </row>
  </sheetData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A4423-2455-4357-BAE9-979E3C5E008F}">
  <sheetPr codeName="Hoja22"/>
  <dimension ref="A1:L43"/>
  <sheetViews>
    <sheetView topLeftCell="A10" workbookViewId="0">
      <selection activeCell="D14" sqref="D14:H14"/>
    </sheetView>
  </sheetViews>
  <sheetFormatPr baseColWidth="10" defaultColWidth="10" defaultRowHeight="15"/>
  <cols>
    <col min="1" max="1" width="10.875" style="497" customWidth="1"/>
    <col min="2" max="2" width="23" style="497" customWidth="1"/>
    <col min="3" max="3" width="13.375" style="497" customWidth="1"/>
    <col min="4" max="4" width="13.5" style="497" customWidth="1"/>
    <col min="5" max="5" width="15.5" style="474" customWidth="1"/>
    <col min="6" max="6" width="15.375" style="474" customWidth="1"/>
    <col min="7" max="7" width="8.5" style="474" customWidth="1"/>
    <col min="8" max="8" width="10.125" style="474" customWidth="1"/>
    <col min="9" max="9" width="18.875" style="474" customWidth="1"/>
    <col min="10" max="10" width="25.5" style="498" customWidth="1"/>
    <col min="11" max="11" width="24" style="474" bestFit="1" customWidth="1"/>
    <col min="12" max="16384" width="10" style="474"/>
  </cols>
  <sheetData>
    <row r="1" spans="1:11" ht="18.75" customHeight="1">
      <c r="A1" s="1288"/>
      <c r="B1" s="1289"/>
      <c r="C1" s="1294"/>
      <c r="D1" s="1294"/>
      <c r="E1" s="1294"/>
      <c r="F1" s="1294"/>
      <c r="G1" s="1294"/>
      <c r="H1" s="1295"/>
      <c r="I1" s="1300" t="s">
        <v>1710</v>
      </c>
      <c r="J1" s="1295">
        <v>2</v>
      </c>
    </row>
    <row r="2" spans="1:11" ht="18.75" customHeight="1" thickBot="1">
      <c r="A2" s="1290"/>
      <c r="B2" s="1291"/>
      <c r="C2" s="1296"/>
      <c r="D2" s="1296"/>
      <c r="E2" s="1296"/>
      <c r="F2" s="1296"/>
      <c r="G2" s="1296"/>
      <c r="H2" s="1297"/>
      <c r="I2" s="1301"/>
      <c r="J2" s="1299"/>
    </row>
    <row r="3" spans="1:11" ht="18.75" customHeight="1">
      <c r="A3" s="1290"/>
      <c r="B3" s="1291"/>
      <c r="C3" s="1296"/>
      <c r="D3" s="1296"/>
      <c r="E3" s="1296"/>
      <c r="F3" s="1296"/>
      <c r="G3" s="1296"/>
      <c r="H3" s="1297"/>
      <c r="I3" s="1302" t="s">
        <v>1711</v>
      </c>
      <c r="J3" s="1304">
        <v>44431</v>
      </c>
    </row>
    <row r="4" spans="1:11" ht="18.75" customHeight="1" thickBot="1">
      <c r="A4" s="1292"/>
      <c r="B4" s="1293"/>
      <c r="C4" s="1298"/>
      <c r="D4" s="1298"/>
      <c r="E4" s="1298"/>
      <c r="F4" s="1298"/>
      <c r="G4" s="1298"/>
      <c r="H4" s="1299"/>
      <c r="I4" s="1303"/>
      <c r="J4" s="1299"/>
    </row>
    <row r="5" spans="1:11" ht="14.25" customHeight="1">
      <c r="A5" s="1305" t="s">
        <v>1712</v>
      </c>
      <c r="B5" s="1306"/>
      <c r="C5" s="1311" t="s">
        <v>2925</v>
      </c>
      <c r="D5" s="1312"/>
      <c r="E5" s="1312"/>
      <c r="F5" s="1313"/>
      <c r="G5" s="1320" t="s">
        <v>1713</v>
      </c>
      <c r="H5" s="1321"/>
      <c r="I5" s="1324" t="s">
        <v>1714</v>
      </c>
      <c r="J5" s="1325"/>
    </row>
    <row r="6" spans="1:11" ht="14.25" customHeight="1" thickBot="1">
      <c r="A6" s="1307"/>
      <c r="B6" s="1308"/>
      <c r="C6" s="1314"/>
      <c r="D6" s="1315"/>
      <c r="E6" s="1315"/>
      <c r="F6" s="1316"/>
      <c r="G6" s="1322"/>
      <c r="H6" s="1323"/>
      <c r="I6" s="1326"/>
      <c r="J6" s="1327"/>
    </row>
    <row r="7" spans="1:11" ht="30" customHeight="1" thickBot="1">
      <c r="A7" s="1307"/>
      <c r="B7" s="1308"/>
      <c r="C7" s="1314"/>
      <c r="D7" s="1315"/>
      <c r="E7" s="1315"/>
      <c r="F7" s="1316"/>
      <c r="G7" s="1320" t="s">
        <v>1715</v>
      </c>
      <c r="H7" s="1321"/>
      <c r="I7" s="1324" t="s">
        <v>1716</v>
      </c>
      <c r="J7" s="1325"/>
    </row>
    <row r="8" spans="1:11" ht="29.1" customHeight="1" thickBot="1">
      <c r="A8" s="1309"/>
      <c r="B8" s="1310"/>
      <c r="C8" s="1317"/>
      <c r="D8" s="1318"/>
      <c r="E8" s="1318"/>
      <c r="F8" s="1319"/>
      <c r="G8" s="1320" t="s">
        <v>1717</v>
      </c>
      <c r="H8" s="1321"/>
      <c r="I8" s="1324" t="s">
        <v>1721</v>
      </c>
      <c r="J8" s="1325"/>
    </row>
    <row r="9" spans="1:11" ht="30" customHeight="1" thickBot="1">
      <c r="A9" s="1328" t="s">
        <v>1719</v>
      </c>
      <c r="B9" s="1329"/>
      <c r="C9" s="1330">
        <f ca="1">+TODAY()</f>
        <v>45973</v>
      </c>
      <c r="D9" s="1331"/>
      <c r="E9" s="1331"/>
      <c r="F9" s="1332"/>
      <c r="G9" s="1320" t="s">
        <v>1720</v>
      </c>
      <c r="H9" s="1321"/>
      <c r="I9" s="1333" t="s">
        <v>1718</v>
      </c>
      <c r="J9" s="1334"/>
      <c r="K9" s="475"/>
    </row>
    <row r="10" spans="1:11" ht="26.45" customHeight="1" thickBot="1">
      <c r="A10" s="1320" t="s">
        <v>1722</v>
      </c>
      <c r="B10" s="1321"/>
      <c r="C10" s="1335" t="str">
        <f>+'Datos de Entrada (On Grid)'!D6</f>
        <v>Residencial</v>
      </c>
      <c r="D10" s="1336"/>
      <c r="E10" s="1336"/>
      <c r="F10" s="1337"/>
      <c r="G10" s="1320" t="s">
        <v>1724</v>
      </c>
      <c r="H10" s="1321"/>
      <c r="I10" s="1338"/>
      <c r="J10" s="1339"/>
    </row>
    <row r="11" spans="1:11" ht="18.75" customHeight="1" thickBot="1">
      <c r="A11" s="1340" t="s">
        <v>1725</v>
      </c>
      <c r="B11" s="1341"/>
      <c r="C11" s="1341"/>
      <c r="D11" s="1341"/>
      <c r="E11" s="1341"/>
      <c r="F11" s="1341"/>
      <c r="G11" s="1341"/>
      <c r="H11" s="1341"/>
      <c r="I11" s="1341"/>
      <c r="J11" s="1342"/>
    </row>
    <row r="12" spans="1:11" ht="18.75" customHeight="1">
      <c r="A12" s="1343" t="str">
        <f>+CONCATENATE('Datos de Entrada (On Grid)'!D7," ",'Datos de Entrada (On Grid)'!D8)</f>
        <v xml:space="preserve">Henry Ocampo </v>
      </c>
      <c r="B12" s="1344"/>
      <c r="C12" s="1344"/>
      <c r="D12" s="1344"/>
      <c r="E12" s="1344"/>
      <c r="F12" s="1344"/>
      <c r="G12" s="1344"/>
      <c r="H12" s="1344"/>
      <c r="I12" s="1344"/>
      <c r="J12" s="1345"/>
    </row>
    <row r="13" spans="1:11" ht="19.5" customHeight="1" thickBot="1">
      <c r="A13" s="1346"/>
      <c r="B13" s="1347"/>
      <c r="C13" s="1347"/>
      <c r="D13" s="1347"/>
      <c r="E13" s="1347"/>
      <c r="F13" s="1347"/>
      <c r="G13" s="1347"/>
      <c r="H13" s="1347"/>
      <c r="I13" s="1347"/>
      <c r="J13" s="1348"/>
    </row>
    <row r="14" spans="1:11" ht="30" customHeight="1" thickBot="1">
      <c r="A14" s="1349" t="s">
        <v>1726</v>
      </c>
      <c r="B14" s="1350"/>
      <c r="C14" s="476" t="s">
        <v>1727</v>
      </c>
      <c r="D14" s="1351"/>
      <c r="E14" s="1352"/>
      <c r="F14" s="1352"/>
      <c r="G14" s="1352"/>
      <c r="H14" s="1353"/>
      <c r="I14" s="476" t="s">
        <v>1728</v>
      </c>
      <c r="J14" s="477" t="s">
        <v>1729</v>
      </c>
    </row>
    <row r="15" spans="1:11" ht="21.75" customHeight="1" thickBot="1">
      <c r="A15" s="1354" t="s">
        <v>1730</v>
      </c>
      <c r="B15" s="1355"/>
      <c r="C15" s="1354" t="s">
        <v>1731</v>
      </c>
      <c r="D15" s="1356"/>
      <c r="E15" s="1356"/>
      <c r="F15" s="1356"/>
      <c r="G15" s="1356"/>
      <c r="H15" s="1356"/>
      <c r="I15" s="1356"/>
      <c r="J15" s="1355"/>
    </row>
    <row r="16" spans="1:11" ht="30" customHeight="1" thickBot="1">
      <c r="A16" s="1357" t="s">
        <v>1732</v>
      </c>
      <c r="B16" s="1358"/>
      <c r="C16" s="1359" t="s">
        <v>23</v>
      </c>
      <c r="D16" s="1360"/>
      <c r="E16" s="1361"/>
      <c r="F16" s="478" t="str">
        <f>+'Datos de Entrada (On Grid)'!D12</f>
        <v>La Ceja</v>
      </c>
      <c r="G16" s="1359" t="s">
        <v>1733</v>
      </c>
      <c r="H16" s="1360"/>
      <c r="I16" s="1361"/>
      <c r="J16" s="479" t="s">
        <v>1734</v>
      </c>
    </row>
    <row r="17" spans="1:12" ht="30" customHeight="1" thickBot="1">
      <c r="A17" s="1362" t="s">
        <v>1735</v>
      </c>
      <c r="B17" s="1363"/>
      <c r="C17" s="1364" t="s">
        <v>1736</v>
      </c>
      <c r="D17" s="1364"/>
      <c r="E17" s="1364"/>
      <c r="F17" s="480" t="str">
        <f>+'Datos de Entrada (On Grid)'!D20</f>
        <v>Si</v>
      </c>
      <c r="G17" s="1364" t="s">
        <v>1737</v>
      </c>
      <c r="H17" s="1364"/>
      <c r="I17" s="1364"/>
      <c r="J17" s="481">
        <f>+'Datos de Salida (On grid)'!D12</f>
        <v>1132.4880000000001</v>
      </c>
    </row>
    <row r="18" spans="1:12" ht="30" customHeight="1" thickBot="1">
      <c r="A18" s="1365" t="s">
        <v>1738</v>
      </c>
      <c r="B18" s="1366"/>
      <c r="C18" s="1367" t="s">
        <v>1739</v>
      </c>
      <c r="D18" s="1368"/>
      <c r="E18" s="1369"/>
      <c r="F18" s="482">
        <f>+'Datos de Salida (On grid)'!D6/12</f>
        <v>850</v>
      </c>
      <c r="G18" s="1367" t="s">
        <v>1740</v>
      </c>
      <c r="H18" s="1368"/>
      <c r="I18" s="1369"/>
      <c r="J18" s="483" t="s">
        <v>1741</v>
      </c>
    </row>
    <row r="19" spans="1:12" ht="19.350000000000001" customHeight="1">
      <c r="A19" s="1370" t="s">
        <v>1742</v>
      </c>
      <c r="B19" s="1371"/>
      <c r="C19" s="1374" t="s">
        <v>1743</v>
      </c>
      <c r="D19" s="1375"/>
      <c r="E19" s="1376"/>
      <c r="F19" s="482">
        <f>+'Calculos (On Grid)'!B24/1000</f>
        <v>8.19</v>
      </c>
      <c r="G19" s="1374" t="s">
        <v>1744</v>
      </c>
      <c r="H19" s="1375"/>
      <c r="I19" s="1376"/>
      <c r="J19" s="484">
        <f>+'PPA Calculos'!D3</f>
        <v>8</v>
      </c>
    </row>
    <row r="20" spans="1:12" ht="19.350000000000001" customHeight="1">
      <c r="A20" s="1365"/>
      <c r="B20" s="1366"/>
      <c r="C20" s="1377" t="s">
        <v>1745</v>
      </c>
      <c r="D20" s="1378"/>
      <c r="E20" s="1379"/>
      <c r="F20" s="485">
        <f>+'Calculos (On Grid)'!B23</f>
        <v>14</v>
      </c>
      <c r="G20" s="1377" t="s">
        <v>1746</v>
      </c>
      <c r="H20" s="1378"/>
      <c r="I20" s="1379"/>
      <c r="J20" s="486">
        <f>+'Calculos (On Grid)'!C26</f>
        <v>1</v>
      </c>
    </row>
    <row r="21" spans="1:12" ht="19.350000000000001" customHeight="1">
      <c r="A21" s="1365"/>
      <c r="B21" s="1366"/>
      <c r="C21" s="1377" t="s">
        <v>1747</v>
      </c>
      <c r="D21" s="1378"/>
      <c r="E21" s="1379"/>
      <c r="F21" s="485">
        <f>+'Calculos (On Grid)'!B10</f>
        <v>585</v>
      </c>
      <c r="G21" s="1377" t="s">
        <v>1748</v>
      </c>
      <c r="H21" s="1378"/>
      <c r="I21" s="1379"/>
      <c r="J21" s="486">
        <f>+'Calculos (On Grid)'!B25/1000</f>
        <v>8</v>
      </c>
    </row>
    <row r="22" spans="1:12" ht="15.75" thickBot="1">
      <c r="A22" s="1372"/>
      <c r="B22" s="1373"/>
      <c r="C22" s="1380" t="s">
        <v>1749</v>
      </c>
      <c r="D22" s="1381"/>
      <c r="E22" s="1382"/>
      <c r="F22" s="487" t="s">
        <v>1750</v>
      </c>
      <c r="G22" s="1380" t="s">
        <v>1751</v>
      </c>
      <c r="H22" s="1381"/>
      <c r="I22" s="1382"/>
      <c r="J22" s="488" t="str">
        <f>+VLOOKUP('Datos de Entrada (On Grid)'!G22,'Datos Equipos'!B28:O62,14,)</f>
        <v>Deye</v>
      </c>
    </row>
    <row r="23" spans="1:12" ht="32.450000000000003" customHeight="1">
      <c r="A23" s="1370" t="s">
        <v>1753</v>
      </c>
      <c r="B23" s="1371"/>
      <c r="C23" s="1374" t="s">
        <v>1754</v>
      </c>
      <c r="D23" s="1375"/>
      <c r="E23" s="1376"/>
      <c r="F23" s="482">
        <f>+'Datos de Salida (On grid)'!D7</f>
        <v>10190.777236093543</v>
      </c>
      <c r="G23" s="1374" t="s">
        <v>1755</v>
      </c>
      <c r="H23" s="1375"/>
      <c r="I23" s="1376"/>
      <c r="J23" s="484">
        <f>+F23/F19</f>
        <v>1244.2951448221665</v>
      </c>
    </row>
    <row r="24" spans="1:12" ht="32.450000000000003" customHeight="1" thickBot="1">
      <c r="A24" s="1372"/>
      <c r="B24" s="1373"/>
      <c r="C24" s="1380" t="s">
        <v>1756</v>
      </c>
      <c r="D24" s="1381"/>
      <c r="E24" s="1382"/>
      <c r="F24" s="489">
        <f>+'PPA Calculos'!D6</f>
        <v>5.4999999999999997E-3</v>
      </c>
      <c r="G24" s="1383" t="s">
        <v>1757</v>
      </c>
      <c r="H24" s="1384"/>
      <c r="I24" s="1385"/>
      <c r="J24" s="488" t="s">
        <v>1758</v>
      </c>
    </row>
    <row r="25" spans="1:12" ht="35.1" customHeight="1">
      <c r="A25" s="1370" t="s">
        <v>1759</v>
      </c>
      <c r="B25" s="1371"/>
      <c r="C25" s="1374" t="s">
        <v>1760</v>
      </c>
      <c r="D25" s="1375"/>
      <c r="E25" s="1376"/>
      <c r="F25" s="490">
        <f>+'Calculos (On Grid)'!B35</f>
        <v>0</v>
      </c>
      <c r="G25" s="1374" t="s">
        <v>1761</v>
      </c>
      <c r="H25" s="1375"/>
      <c r="I25" s="1376"/>
      <c r="J25" s="491">
        <f>+'PPA Calculos'!D13</f>
        <v>1.4999999999999999E-2</v>
      </c>
    </row>
    <row r="26" spans="1:12" ht="20.45" customHeight="1" thickBot="1">
      <c r="A26" s="1372"/>
      <c r="B26" s="1373"/>
      <c r="C26" s="1380" t="s">
        <v>1762</v>
      </c>
      <c r="D26" s="1381"/>
      <c r="E26" s="1382"/>
      <c r="F26" s="492">
        <f>+'Calculos (On Grid)'!B36</f>
        <v>0</v>
      </c>
      <c r="G26" s="1380" t="s">
        <v>1763</v>
      </c>
      <c r="H26" s="1381"/>
      <c r="I26" s="1382"/>
      <c r="J26" s="493" t="e">
        <f>+'Datos de Salida (On grid)'!I14</f>
        <v>#N/A</v>
      </c>
    </row>
    <row r="27" spans="1:12" ht="60.75" customHeight="1" thickBot="1">
      <c r="A27" s="1357" t="s">
        <v>1764</v>
      </c>
      <c r="B27" s="1358"/>
      <c r="C27" s="1402" t="s">
        <v>1765</v>
      </c>
      <c r="D27" s="1403"/>
      <c r="E27" s="1403"/>
      <c r="F27" s="1403"/>
      <c r="G27" s="1403"/>
      <c r="H27" s="1403"/>
      <c r="I27" s="1403"/>
      <c r="J27" s="1404"/>
    </row>
    <row r="28" spans="1:12" ht="16.5" customHeight="1">
      <c r="A28" s="1386" t="s">
        <v>1766</v>
      </c>
      <c r="B28" s="1387"/>
      <c r="C28" s="1392" t="s">
        <v>1767</v>
      </c>
      <c r="D28" s="1392"/>
      <c r="E28" s="1392"/>
      <c r="F28" s="1392"/>
      <c r="G28" s="1392"/>
      <c r="H28" s="1392"/>
      <c r="I28" s="1392"/>
      <c r="J28" s="1393"/>
      <c r="L28" s="494"/>
    </row>
    <row r="29" spans="1:12" ht="16.5" customHeight="1">
      <c r="A29" s="1388"/>
      <c r="B29" s="1389"/>
      <c r="C29" s="1394"/>
      <c r="D29" s="1394"/>
      <c r="E29" s="1394"/>
      <c r="F29" s="1394"/>
      <c r="G29" s="1394"/>
      <c r="H29" s="1394"/>
      <c r="I29" s="1394"/>
      <c r="J29" s="1395"/>
    </row>
    <row r="30" spans="1:12" ht="14.45" customHeight="1">
      <c r="A30" s="1388"/>
      <c r="B30" s="1389"/>
      <c r="C30" s="1394"/>
      <c r="D30" s="1394"/>
      <c r="E30" s="1394"/>
      <c r="F30" s="1394"/>
      <c r="G30" s="1394"/>
      <c r="H30" s="1394"/>
      <c r="I30" s="1394"/>
      <c r="J30" s="1395"/>
    </row>
    <row r="31" spans="1:12" ht="16.5" customHeight="1">
      <c r="A31" s="1388"/>
      <c r="B31" s="1389"/>
      <c r="C31" s="1394"/>
      <c r="D31" s="1394"/>
      <c r="E31" s="1394"/>
      <c r="F31" s="1394"/>
      <c r="G31" s="1394"/>
      <c r="H31" s="1394"/>
      <c r="I31" s="1394"/>
      <c r="J31" s="1395"/>
    </row>
    <row r="32" spans="1:12" ht="16.5" customHeight="1">
      <c r="A32" s="1388"/>
      <c r="B32" s="1389"/>
      <c r="C32" s="1394"/>
      <c r="D32" s="1394"/>
      <c r="E32" s="1394"/>
      <c r="F32" s="1394"/>
      <c r="G32" s="1394"/>
      <c r="H32" s="1394"/>
      <c r="I32" s="1394"/>
      <c r="J32" s="1395"/>
    </row>
    <row r="33" spans="1:10" ht="16.5" customHeight="1" thickBot="1">
      <c r="A33" s="1390"/>
      <c r="B33" s="1391"/>
      <c r="C33" s="1396"/>
      <c r="D33" s="1396"/>
      <c r="E33" s="1396"/>
      <c r="F33" s="1396"/>
      <c r="G33" s="1396"/>
      <c r="H33" s="1396"/>
      <c r="I33" s="1396"/>
      <c r="J33" s="1397"/>
    </row>
    <row r="34" spans="1:10" ht="16.5" customHeight="1">
      <c r="A34" s="1365" t="s">
        <v>1768</v>
      </c>
      <c r="B34" s="1398"/>
      <c r="C34" s="1398"/>
      <c r="D34" s="1398"/>
      <c r="E34" s="1398"/>
      <c r="F34" s="1398"/>
      <c r="G34" s="1398"/>
      <c r="H34" s="1398"/>
      <c r="I34" s="1398"/>
      <c r="J34" s="1399"/>
    </row>
    <row r="35" spans="1:10" ht="16.5" customHeight="1" thickBot="1">
      <c r="A35" s="1372"/>
      <c r="B35" s="1400"/>
      <c r="C35" s="1400"/>
      <c r="D35" s="1400"/>
      <c r="E35" s="1400"/>
      <c r="F35" s="1400"/>
      <c r="G35" s="1400"/>
      <c r="H35" s="1400"/>
      <c r="I35" s="1400"/>
      <c r="J35" s="1401"/>
    </row>
    <row r="36" spans="1:10" ht="16.5" customHeight="1">
      <c r="A36" s="495"/>
      <c r="B36" s="495"/>
      <c r="C36" s="496"/>
      <c r="D36" s="496"/>
      <c r="E36" s="496"/>
      <c r="F36" s="496"/>
      <c r="G36" s="496"/>
      <c r="H36" s="496"/>
      <c r="I36" s="496"/>
      <c r="J36" s="496"/>
    </row>
    <row r="37" spans="1:10" ht="16.5" customHeight="1"/>
    <row r="38" spans="1:10" ht="16.5" customHeight="1"/>
    <row r="39" spans="1:10" ht="16.5" customHeight="1"/>
    <row r="40" spans="1:10" ht="16.5" customHeight="1"/>
    <row r="41" spans="1:10" ht="9.75" customHeight="1"/>
    <row r="42" spans="1:10" ht="68.25" customHeight="1"/>
    <row r="43" spans="1:10" ht="11.25" customHeight="1"/>
  </sheetData>
  <mergeCells count="61">
    <mergeCell ref="A28:B33"/>
    <mergeCell ref="C28:J33"/>
    <mergeCell ref="A34:J35"/>
    <mergeCell ref="A25:B26"/>
    <mergeCell ref="C25:E25"/>
    <mergeCell ref="G25:I25"/>
    <mergeCell ref="C26:E26"/>
    <mergeCell ref="G26:I26"/>
    <mergeCell ref="A27:B27"/>
    <mergeCell ref="C27:J27"/>
    <mergeCell ref="A23:B24"/>
    <mergeCell ref="C23:E23"/>
    <mergeCell ref="G23:I23"/>
    <mergeCell ref="C24:E24"/>
    <mergeCell ref="G24:I24"/>
    <mergeCell ref="A18:B18"/>
    <mergeCell ref="C18:E18"/>
    <mergeCell ref="G18:I18"/>
    <mergeCell ref="A19:B22"/>
    <mergeCell ref="C19:E19"/>
    <mergeCell ref="G19:I19"/>
    <mergeCell ref="C20:E20"/>
    <mergeCell ref="G20:I20"/>
    <mergeCell ref="C21:E21"/>
    <mergeCell ref="G21:I21"/>
    <mergeCell ref="C22:E22"/>
    <mergeCell ref="G22:I22"/>
    <mergeCell ref="A16:B16"/>
    <mergeCell ref="C16:E16"/>
    <mergeCell ref="G16:I16"/>
    <mergeCell ref="A17:B17"/>
    <mergeCell ref="C17:E17"/>
    <mergeCell ref="G17:I17"/>
    <mergeCell ref="A11:J11"/>
    <mergeCell ref="A12:J13"/>
    <mergeCell ref="A14:B14"/>
    <mergeCell ref="D14:H14"/>
    <mergeCell ref="A15:B15"/>
    <mergeCell ref="C15:J15"/>
    <mergeCell ref="A9:B9"/>
    <mergeCell ref="C9:F9"/>
    <mergeCell ref="G9:H9"/>
    <mergeCell ref="I9:J9"/>
    <mergeCell ref="A10:B10"/>
    <mergeCell ref="C10:F10"/>
    <mergeCell ref="G10:H10"/>
    <mergeCell ref="I10:J10"/>
    <mergeCell ref="A5:B8"/>
    <mergeCell ref="C5:F8"/>
    <mergeCell ref="G5:H6"/>
    <mergeCell ref="I5:J6"/>
    <mergeCell ref="G7:H7"/>
    <mergeCell ref="I7:J7"/>
    <mergeCell ref="G8:H8"/>
    <mergeCell ref="I8:J8"/>
    <mergeCell ref="A1:B4"/>
    <mergeCell ref="C1:H4"/>
    <mergeCell ref="I1:I2"/>
    <mergeCell ref="J1:J2"/>
    <mergeCell ref="I3:I4"/>
    <mergeCell ref="J3:J4"/>
  </mergeCells>
  <printOptions horizontalCentered="1"/>
  <pageMargins left="0.23622047244094491" right="0.23622047244094491" top="0.74803149606299213" bottom="0.74803149606299213" header="0.31496062992125984" footer="0.31496062992125984"/>
  <pageSetup scale="58" orientation="portrait" r:id="rId1"/>
  <headerFooter alignWithMargins="0">
    <oddFooter>&amp;CCARRERA 42 No. 54 A 155  Carrera 42 No. 54 A 155 - Itagui,  Colombia - Tel  4440520 - Celular 3148894191 - e-mail: info@hybrytec.com</oddFooter>
  </headerFooter>
  <colBreaks count="1" manualBreakCount="1">
    <brk id="10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FE4C3F7-3A8E-49F9-B107-CE13322FE45D}">
          <x14:formula1>
            <xm:f>'PPA Modalidades'!$G$2:$G$7</xm:f>
          </x14:formula1>
          <xm:sqref>I7:J7</xm:sqref>
        </x14:dataValidation>
        <x14:dataValidation type="list" allowBlank="1" showInputMessage="1" showErrorMessage="1" xr:uid="{ECC4D8B9-81DC-4B4C-8CE6-415DA5FC75A3}">
          <x14:formula1>
            <xm:f>'PPA Modalidades'!$A$2:$A$4</xm:f>
          </x14:formula1>
          <xm:sqref>I5:J6</xm:sqref>
        </x14:dataValidation>
        <x14:dataValidation type="list" allowBlank="1" showInputMessage="1" showErrorMessage="1" xr:uid="{B44DBEAA-BF41-46A5-8A5C-E301D34141F0}">
          <x14:formula1>
            <xm:f>'PPA Modalidades'!$I$2:$I$16</xm:f>
          </x14:formula1>
          <xm:sqref>I8:J9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312FB-5601-44A6-8D98-6739E7EDCF92}">
  <sheetPr codeName="Hoja24"/>
  <dimension ref="A1:I16"/>
  <sheetViews>
    <sheetView workbookViewId="0"/>
  </sheetViews>
  <sheetFormatPr baseColWidth="10" defaultColWidth="11" defaultRowHeight="12.75"/>
  <cols>
    <col min="1" max="1" width="19" style="475" customWidth="1"/>
    <col min="2" max="2" width="11" style="475"/>
    <col min="3" max="3" width="19.5" style="475" customWidth="1"/>
    <col min="4" max="4" width="11" style="475"/>
    <col min="5" max="5" width="11.5" style="475" bestFit="1" customWidth="1"/>
    <col min="6" max="6" width="11" style="475"/>
    <col min="7" max="7" width="42.5" style="475" bestFit="1" customWidth="1"/>
    <col min="8" max="8" width="11" style="475"/>
    <col min="9" max="9" width="12.625" style="475" customWidth="1"/>
    <col min="10" max="16384" width="11" style="475"/>
  </cols>
  <sheetData>
    <row r="1" spans="1:9">
      <c r="A1" s="499" t="s">
        <v>1769</v>
      </c>
      <c r="C1" s="499" t="s">
        <v>1770</v>
      </c>
      <c r="E1" s="499" t="s">
        <v>1771</v>
      </c>
      <c r="G1" s="499" t="s">
        <v>1772</v>
      </c>
      <c r="I1" s="499" t="s">
        <v>1773</v>
      </c>
    </row>
    <row r="2" spans="1:9">
      <c r="A2" s="475" t="s">
        <v>1714</v>
      </c>
      <c r="C2" s="475" t="s">
        <v>1774</v>
      </c>
      <c r="E2" s="475" t="s">
        <v>1775</v>
      </c>
      <c r="G2" s="475" t="s">
        <v>1716</v>
      </c>
      <c r="I2" s="475" t="s">
        <v>1776</v>
      </c>
    </row>
    <row r="3" spans="1:9">
      <c r="A3" s="475" t="s">
        <v>1777</v>
      </c>
      <c r="C3" s="475" t="s">
        <v>1778</v>
      </c>
      <c r="E3" s="475" t="s">
        <v>1723</v>
      </c>
      <c r="G3" s="475" t="s">
        <v>1779</v>
      </c>
      <c r="I3" s="475" t="s">
        <v>1780</v>
      </c>
    </row>
    <row r="4" spans="1:9">
      <c r="A4" s="475" t="s">
        <v>1781</v>
      </c>
      <c r="E4" s="475" t="s">
        <v>1782</v>
      </c>
      <c r="G4" s="475" t="s">
        <v>1783</v>
      </c>
      <c r="I4" s="475" t="s">
        <v>1784</v>
      </c>
    </row>
    <row r="5" spans="1:9">
      <c r="G5" s="475" t="s">
        <v>1785</v>
      </c>
      <c r="I5" s="475" t="s">
        <v>1685</v>
      </c>
    </row>
    <row r="6" spans="1:9">
      <c r="G6" s="475" t="s">
        <v>1786</v>
      </c>
      <c r="I6" s="475" t="s">
        <v>1686</v>
      </c>
    </row>
    <row r="7" spans="1:9">
      <c r="G7" s="475" t="s">
        <v>1787</v>
      </c>
      <c r="I7" s="475" t="s">
        <v>1688</v>
      </c>
    </row>
    <row r="8" spans="1:9">
      <c r="I8" s="475" t="s">
        <v>1788</v>
      </c>
    </row>
    <row r="9" spans="1:9">
      <c r="I9" s="475" t="s">
        <v>1789</v>
      </c>
    </row>
    <row r="10" spans="1:9">
      <c r="I10" s="475" t="s">
        <v>1790</v>
      </c>
    </row>
    <row r="11" spans="1:9">
      <c r="I11" s="475" t="s">
        <v>1791</v>
      </c>
    </row>
    <row r="12" spans="1:9">
      <c r="I12" s="475" t="s">
        <v>1792</v>
      </c>
    </row>
    <row r="13" spans="1:9">
      <c r="I13" s="475" t="s">
        <v>1793</v>
      </c>
    </row>
    <row r="14" spans="1:9">
      <c r="I14" s="475" t="s">
        <v>1794</v>
      </c>
    </row>
    <row r="15" spans="1:9">
      <c r="I15" s="475" t="s">
        <v>1721</v>
      </c>
    </row>
    <row r="16" spans="1:9">
      <c r="I16" s="475" t="s">
        <v>1718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/>
  <dimension ref="B1:F17"/>
  <sheetViews>
    <sheetView zoomScale="90" zoomScaleNormal="90" workbookViewId="0">
      <selection activeCell="I8" sqref="I8"/>
    </sheetView>
  </sheetViews>
  <sheetFormatPr baseColWidth="10" defaultColWidth="11" defaultRowHeight="14.25"/>
  <cols>
    <col min="1" max="1" width="27.5" style="76" customWidth="1"/>
    <col min="2" max="2" width="11" style="76"/>
    <col min="3" max="3" width="17" style="76" customWidth="1"/>
    <col min="4" max="4" width="44.125" style="76" customWidth="1"/>
    <col min="5" max="5" width="14" style="76" bestFit="1" customWidth="1"/>
    <col min="6" max="9" width="14" style="76" customWidth="1"/>
    <col min="10" max="10" width="15.625" style="76" customWidth="1"/>
    <col min="11" max="11" width="16" style="76" customWidth="1"/>
    <col min="12" max="12" width="40" style="76" customWidth="1"/>
    <col min="13" max="13" width="6.875" style="76" customWidth="1"/>
    <col min="14" max="14" width="8.5" style="76" customWidth="1"/>
    <col min="15" max="15" width="16" style="76" customWidth="1"/>
    <col min="16" max="16" width="14" style="76" customWidth="1"/>
    <col min="17" max="17" width="12" style="76" customWidth="1"/>
    <col min="18" max="18" width="19" style="76" customWidth="1"/>
    <col min="19" max="16384" width="11" style="76"/>
  </cols>
  <sheetData>
    <row r="1" spans="2:6" ht="37.5" customHeight="1" thickBot="1"/>
    <row r="2" spans="2:6" ht="15">
      <c r="B2" s="131"/>
      <c r="C2" s="132"/>
      <c r="D2" s="132"/>
      <c r="E2" s="132"/>
      <c r="F2" s="133"/>
    </row>
    <row r="3" spans="2:6" ht="21">
      <c r="B3" s="134"/>
      <c r="C3" s="515" t="s">
        <v>119</v>
      </c>
      <c r="D3" s="82"/>
      <c r="E3" s="83"/>
      <c r="F3" s="135"/>
    </row>
    <row r="4" spans="2:6" ht="15.75" customHeight="1" thickBot="1">
      <c r="B4" s="134"/>
      <c r="C4" s="84"/>
      <c r="D4" s="84"/>
      <c r="E4" s="84"/>
      <c r="F4" s="135"/>
    </row>
    <row r="5" spans="2:6" ht="15.75" thickBot="1">
      <c r="B5" s="134"/>
      <c r="C5" s="504" t="s">
        <v>139</v>
      </c>
      <c r="D5" s="505" t="s">
        <v>140</v>
      </c>
      <c r="E5" s="506" t="s">
        <v>141</v>
      </c>
      <c r="F5" s="135"/>
    </row>
    <row r="6" spans="2:6" ht="65.25" customHeight="1">
      <c r="B6" s="134"/>
      <c r="C6" s="124"/>
      <c r="D6" s="280" t="str">
        <f>+'Calculos (Off Grid)'!B18</f>
        <v>Panel solar Monocristalino  HalfCell (585W)</v>
      </c>
      <c r="E6" s="507">
        <f>+'Calculos (Off Grid)'!B111</f>
        <v>18</v>
      </c>
      <c r="F6" s="135"/>
    </row>
    <row r="7" spans="2:6" ht="65.25" customHeight="1">
      <c r="B7" s="134"/>
      <c r="C7" s="124"/>
      <c r="D7" s="280" t="str">
        <f>+'Calculos (Off Grid)'!B26</f>
        <v>BlueSolar MPPT 150/70-MC4 Victron Energy</v>
      </c>
      <c r="E7" s="507">
        <f>+'Datos de entrada (Off grid)'!R16</f>
        <v>2</v>
      </c>
      <c r="F7" s="247"/>
    </row>
    <row r="8" spans="2:6" ht="65.25" customHeight="1">
      <c r="B8" s="134"/>
      <c r="C8" s="127"/>
      <c r="D8" s="280" t="str">
        <f>+'Calculos (Off Grid)'!B32</f>
        <v>MultiPlus 12/2000/80-50 120V VE.Bus Victron Energy</v>
      </c>
      <c r="E8" s="507">
        <f>+'Calculos (Off Grid)'!B119</f>
        <v>3</v>
      </c>
      <c r="F8" s="135"/>
    </row>
    <row r="9" spans="2:6" ht="65.25" customHeight="1">
      <c r="B9" s="134"/>
      <c r="C9" s="127"/>
      <c r="D9" s="280" t="str">
        <f>+'Calculos (Off Grid)'!B12</f>
        <v>Batería Litio US5000 48V Pylontech</v>
      </c>
      <c r="E9" s="507" t="e">
        <f>+'Calculos (Off Grid)'!B116</f>
        <v>#N/A</v>
      </c>
      <c r="F9" s="247"/>
    </row>
    <row r="10" spans="2:6" ht="65.25" customHeight="1">
      <c r="B10" s="134"/>
      <c r="C10" s="127"/>
      <c r="D10" s="280" t="s">
        <v>149</v>
      </c>
      <c r="E10" s="507">
        <v>1</v>
      </c>
      <c r="F10" s="247"/>
    </row>
    <row r="11" spans="2:6" ht="65.25" customHeight="1">
      <c r="B11" s="134"/>
      <c r="C11" s="125"/>
      <c r="D11" s="280" t="s">
        <v>150</v>
      </c>
      <c r="E11" s="507">
        <v>1</v>
      </c>
      <c r="F11" s="248"/>
    </row>
    <row r="12" spans="2:6" ht="65.25" customHeight="1" thickBot="1">
      <c r="B12" s="134"/>
      <c r="C12" s="126"/>
      <c r="D12" s="281" t="s">
        <v>1025</v>
      </c>
      <c r="E12" s="508">
        <v>1</v>
      </c>
      <c r="F12" s="249"/>
    </row>
    <row r="13" spans="2:6" ht="15.75">
      <c r="B13" s="134"/>
      <c r="C13" s="136"/>
      <c r="D13" s="512" t="s">
        <v>916</v>
      </c>
      <c r="E13" s="509" t="e">
        <f>+'Calculos (Off Grid)'!D97+'Calculos (Off Grid)'!F98</f>
        <v>#N/A</v>
      </c>
      <c r="F13" s="135"/>
    </row>
    <row r="14" spans="2:6" ht="15.75">
      <c r="B14" s="134"/>
      <c r="C14" s="84"/>
      <c r="D14" s="513" t="s">
        <v>153</v>
      </c>
      <c r="E14" s="510" t="e">
        <f>+'Calculos (Off Grid)'!E97</f>
        <v>#N/A</v>
      </c>
      <c r="F14" s="135"/>
    </row>
    <row r="15" spans="2:6" ht="16.5" thickBot="1">
      <c r="B15" s="134"/>
      <c r="C15" s="84"/>
      <c r="D15" s="514" t="s">
        <v>112</v>
      </c>
      <c r="E15" s="511" t="e">
        <f>E14+E13</f>
        <v>#N/A</v>
      </c>
      <c r="F15" s="135"/>
    </row>
    <row r="16" spans="2:6" ht="15">
      <c r="B16" s="134"/>
      <c r="C16" s="84"/>
      <c r="D16" s="85"/>
      <c r="E16" s="86"/>
      <c r="F16" s="135"/>
    </row>
    <row r="17" spans="2:6" ht="15.75" thickBot="1">
      <c r="B17" s="137"/>
      <c r="C17" s="138"/>
      <c r="D17" s="138"/>
      <c r="E17" s="138"/>
      <c r="F17" s="139"/>
    </row>
  </sheetData>
  <conditionalFormatting sqref="E3">
    <cfRule type="beginsWith" dxfId="5" priority="1" operator="beginsWith" text="Cumple">
      <formula>LEFT((E3),LEN("Cumple"))=("Cumple")</formula>
    </cfRule>
  </conditionalFormatting>
  <conditionalFormatting sqref="E3">
    <cfRule type="beginsWith" dxfId="4" priority="2" operator="beginsWith" text="No Cumple">
      <formula>LEFT((E3),LEN("No Cumple"))=("No Cumple")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IrMenu">
                <anchor moveWithCells="1" sizeWithCells="1">
                  <from>
                    <xdr:col>7</xdr:col>
                    <xdr:colOff>647700</xdr:colOff>
                    <xdr:row>2</xdr:row>
                    <xdr:rowOff>114300</xdr:rowOff>
                  </from>
                  <to>
                    <xdr:col>9</xdr:col>
                    <xdr:colOff>800100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5" name="Button 20">
              <controlPr defaultSize="0" print="0" autoFill="0" autoPict="0" macro="[0]!generar_wordEPCOffGrid">
                <anchor moveWithCells="1" sizeWithCells="1">
                  <from>
                    <xdr:col>6</xdr:col>
                    <xdr:colOff>495300</xdr:colOff>
                    <xdr:row>4</xdr:row>
                    <xdr:rowOff>114300</xdr:rowOff>
                  </from>
                  <to>
                    <xdr:col>10</xdr:col>
                    <xdr:colOff>1066800</xdr:colOff>
                    <xdr:row>5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S1700"/>
  <sheetViews>
    <sheetView topLeftCell="A1366" workbookViewId="0">
      <selection activeCell="A1440" sqref="A1331:A1440"/>
    </sheetView>
  </sheetViews>
  <sheetFormatPr baseColWidth="10" defaultRowHeight="14.25"/>
  <cols>
    <col min="1" max="1" width="5.5" bestFit="1" customWidth="1"/>
    <col min="2" max="3" width="13.5" bestFit="1" customWidth="1"/>
    <col min="4" max="4" width="8.875" bestFit="1" customWidth="1"/>
    <col min="5" max="5" width="9" bestFit="1" customWidth="1"/>
    <col min="6" max="6" width="39" bestFit="1" customWidth="1"/>
    <col min="7" max="7" width="12" bestFit="1" customWidth="1"/>
    <col min="8" max="8" width="14.375" bestFit="1" customWidth="1"/>
    <col min="9" max="9" width="18.5" bestFit="1" customWidth="1"/>
    <col min="10" max="10" width="18" bestFit="1" customWidth="1"/>
    <col min="11" max="11" width="15" bestFit="1" customWidth="1"/>
    <col min="12" max="12" width="15" style="67" customWidth="1"/>
    <col min="13" max="13" width="12.5" bestFit="1" customWidth="1"/>
    <col min="14" max="14" width="9.125" style="67" bestFit="1" customWidth="1"/>
    <col min="15" max="16" width="32" style="68" bestFit="1" customWidth="1"/>
    <col min="17" max="17" width="14.375" style="57" bestFit="1" customWidth="1"/>
    <col min="18" max="18" width="13" bestFit="1" customWidth="1"/>
  </cols>
  <sheetData>
    <row r="1" spans="1:19" s="76" customFormat="1" ht="42" customHeight="1">
      <c r="L1" s="160"/>
      <c r="M1" s="80" t="s">
        <v>1583</v>
      </c>
      <c r="N1" s="318">
        <f t="array" ref="N1">+INDEX(A:A,COUNT(A:A),)+2</f>
        <v>2721</v>
      </c>
      <c r="O1" s="161" t="str">
        <f>+VLOOKUP(N1,A:B,2)</f>
        <v>2721SC</v>
      </c>
      <c r="P1" s="161"/>
      <c r="Q1" s="162"/>
    </row>
    <row r="2" spans="1:19" s="18" customFormat="1">
      <c r="A2" s="19" t="s">
        <v>538</v>
      </c>
      <c r="B2" s="19" t="s">
        <v>547</v>
      </c>
      <c r="C2" s="19" t="s">
        <v>544</v>
      </c>
      <c r="D2" s="19" t="s">
        <v>25</v>
      </c>
      <c r="E2" s="19" t="s">
        <v>26</v>
      </c>
      <c r="F2" s="19" t="s">
        <v>28</v>
      </c>
      <c r="G2" s="19" t="s">
        <v>545</v>
      </c>
      <c r="H2" s="19" t="s">
        <v>31</v>
      </c>
      <c r="I2" s="19" t="s">
        <v>23</v>
      </c>
      <c r="J2" s="19" t="s">
        <v>312</v>
      </c>
      <c r="K2" s="19" t="s">
        <v>309</v>
      </c>
      <c r="L2" s="163" t="s">
        <v>204</v>
      </c>
      <c r="M2" s="19" t="s">
        <v>7</v>
      </c>
      <c r="N2" s="163" t="s">
        <v>310</v>
      </c>
      <c r="O2" s="164" t="s">
        <v>315</v>
      </c>
      <c r="P2" s="164" t="s">
        <v>316</v>
      </c>
      <c r="Q2" s="165" t="s">
        <v>317</v>
      </c>
      <c r="R2" s="19" t="s">
        <v>543</v>
      </c>
      <c r="S2" s="19" t="s">
        <v>158</v>
      </c>
    </row>
    <row r="3" spans="1:19">
      <c r="A3">
        <v>1010</v>
      </c>
      <c r="B3" s="17" t="s">
        <v>542</v>
      </c>
      <c r="C3" s="17" t="s">
        <v>7</v>
      </c>
      <c r="D3" s="17" t="s">
        <v>311</v>
      </c>
      <c r="E3" s="17" t="s">
        <v>154</v>
      </c>
      <c r="F3" s="69" t="s">
        <v>318</v>
      </c>
      <c r="G3" s="17">
        <v>3117791515</v>
      </c>
      <c r="H3" s="17" t="s">
        <v>548</v>
      </c>
      <c r="I3" s="17" t="s">
        <v>24</v>
      </c>
      <c r="J3">
        <v>15</v>
      </c>
      <c r="K3" s="17" t="s">
        <v>313</v>
      </c>
      <c r="L3" s="66">
        <v>0.25</v>
      </c>
      <c r="M3" s="17" t="s">
        <v>314</v>
      </c>
      <c r="N3" s="67">
        <v>0.03</v>
      </c>
      <c r="O3" s="68">
        <v>43906</v>
      </c>
      <c r="P3" s="68">
        <v>43916</v>
      </c>
      <c r="Q3" s="57">
        <v>60000000</v>
      </c>
      <c r="R3" s="17" t="s">
        <v>546</v>
      </c>
    </row>
    <row r="4" spans="1:19">
      <c r="A4">
        <v>1024</v>
      </c>
      <c r="B4" t="s">
        <v>555</v>
      </c>
      <c r="C4" t="s">
        <v>3</v>
      </c>
      <c r="D4" t="s">
        <v>549</v>
      </c>
      <c r="E4" t="s">
        <v>550</v>
      </c>
      <c r="F4" t="s">
        <v>551</v>
      </c>
      <c r="G4">
        <v>310000000</v>
      </c>
      <c r="H4" t="s">
        <v>552</v>
      </c>
      <c r="I4" t="s">
        <v>553</v>
      </c>
      <c r="J4">
        <v>2.0699999999999998</v>
      </c>
      <c r="K4" t="s">
        <v>554</v>
      </c>
      <c r="L4" s="67">
        <v>0.25</v>
      </c>
      <c r="M4" t="s">
        <v>406</v>
      </c>
      <c r="N4" s="67">
        <v>0.03</v>
      </c>
      <c r="O4" s="68">
        <v>43927</v>
      </c>
      <c r="P4" s="68">
        <v>43937</v>
      </c>
      <c r="Q4" s="57">
        <v>50048484.647699997</v>
      </c>
      <c r="R4" t="s">
        <v>539</v>
      </c>
    </row>
    <row r="5" spans="1:19">
      <c r="A5">
        <v>1025</v>
      </c>
      <c r="B5" t="s">
        <v>557</v>
      </c>
      <c r="C5" t="s">
        <v>0</v>
      </c>
      <c r="D5" t="s">
        <v>271</v>
      </c>
      <c r="I5" t="s">
        <v>24</v>
      </c>
      <c r="J5">
        <v>4.8</v>
      </c>
      <c r="K5" t="s">
        <v>313</v>
      </c>
      <c r="L5" s="67">
        <v>0.25</v>
      </c>
      <c r="M5" t="s">
        <v>406</v>
      </c>
      <c r="N5" s="67">
        <v>0.03</v>
      </c>
      <c r="O5" s="68">
        <v>43928</v>
      </c>
      <c r="P5" s="68">
        <v>43938</v>
      </c>
      <c r="Q5" s="57">
        <v>25385721.308666669</v>
      </c>
      <c r="R5" t="s">
        <v>540</v>
      </c>
    </row>
    <row r="6" spans="1:19">
      <c r="A6">
        <v>1026</v>
      </c>
      <c r="B6" t="s">
        <v>558</v>
      </c>
      <c r="C6" t="s">
        <v>0</v>
      </c>
      <c r="D6" t="s">
        <v>271</v>
      </c>
      <c r="I6" t="s">
        <v>24</v>
      </c>
      <c r="J6">
        <v>4.8</v>
      </c>
      <c r="K6" t="s">
        <v>313</v>
      </c>
      <c r="L6" s="67">
        <v>0.25</v>
      </c>
      <c r="M6" t="s">
        <v>406</v>
      </c>
      <c r="N6" s="67">
        <v>0.03</v>
      </c>
      <c r="O6" s="68">
        <v>43928</v>
      </c>
      <c r="P6" s="68">
        <v>43938</v>
      </c>
      <c r="Q6" s="57">
        <v>25385721.308666669</v>
      </c>
      <c r="R6" t="s">
        <v>540</v>
      </c>
    </row>
    <row r="7" spans="1:19">
      <c r="A7">
        <v>1027</v>
      </c>
      <c r="B7" t="s">
        <v>559</v>
      </c>
      <c r="C7" t="s">
        <v>0</v>
      </c>
      <c r="D7" t="s">
        <v>271</v>
      </c>
      <c r="I7" t="s">
        <v>24</v>
      </c>
      <c r="J7">
        <v>4.8</v>
      </c>
      <c r="K7" t="s">
        <v>313</v>
      </c>
      <c r="L7" s="67">
        <v>0.25</v>
      </c>
      <c r="M7" t="s">
        <v>406</v>
      </c>
      <c r="N7" s="67">
        <v>0.03</v>
      </c>
      <c r="O7" s="68">
        <v>43928</v>
      </c>
      <c r="P7" s="68">
        <v>43938</v>
      </c>
      <c r="Q7" s="57">
        <v>25385721.308666669</v>
      </c>
      <c r="R7" t="s">
        <v>540</v>
      </c>
    </row>
    <row r="8" spans="1:19">
      <c r="A8">
        <v>1028</v>
      </c>
      <c r="B8" t="s">
        <v>560</v>
      </c>
      <c r="C8" t="s">
        <v>0</v>
      </c>
      <c r="D8" t="s">
        <v>271</v>
      </c>
      <c r="I8" t="s">
        <v>24</v>
      </c>
      <c r="J8">
        <v>4.8</v>
      </c>
      <c r="K8" t="s">
        <v>313</v>
      </c>
      <c r="L8" s="67">
        <v>0.25</v>
      </c>
      <c r="M8" t="s">
        <v>406</v>
      </c>
      <c r="N8" s="67">
        <v>0.03</v>
      </c>
      <c r="O8" s="68">
        <v>43928</v>
      </c>
      <c r="P8" s="68">
        <v>43938</v>
      </c>
      <c r="Q8" s="57">
        <v>25385721.308666669</v>
      </c>
      <c r="R8" t="s">
        <v>540</v>
      </c>
    </row>
    <row r="9" spans="1:19">
      <c r="A9">
        <v>1029</v>
      </c>
      <c r="B9" t="s">
        <v>561</v>
      </c>
      <c r="C9" t="s">
        <v>3</v>
      </c>
      <c r="D9" t="s">
        <v>549</v>
      </c>
      <c r="E9" t="s">
        <v>550</v>
      </c>
      <c r="F9" t="s">
        <v>551</v>
      </c>
      <c r="G9">
        <v>310000000</v>
      </c>
      <c r="H9" t="s">
        <v>552</v>
      </c>
      <c r="I9" t="s">
        <v>553</v>
      </c>
      <c r="J9">
        <v>2.0699999999999998</v>
      </c>
      <c r="K9" t="s">
        <v>554</v>
      </c>
      <c r="L9" s="67">
        <v>0.25</v>
      </c>
      <c r="M9" t="s">
        <v>406</v>
      </c>
      <c r="N9" s="67">
        <v>0.03</v>
      </c>
      <c r="O9" s="68">
        <v>43928</v>
      </c>
      <c r="P9" s="68">
        <v>43938</v>
      </c>
      <c r="Q9" s="57">
        <v>50048484.647699997</v>
      </c>
      <c r="R9" t="s">
        <v>539</v>
      </c>
    </row>
    <row r="10" spans="1:19">
      <c r="A10">
        <v>1030</v>
      </c>
      <c r="B10" t="s">
        <v>565</v>
      </c>
      <c r="C10" t="s">
        <v>10</v>
      </c>
      <c r="D10" t="s">
        <v>271</v>
      </c>
      <c r="E10" t="s">
        <v>562</v>
      </c>
      <c r="F10" t="s">
        <v>563</v>
      </c>
      <c r="G10">
        <v>3111111</v>
      </c>
      <c r="H10" t="s">
        <v>564</v>
      </c>
      <c r="I10" t="s">
        <v>24</v>
      </c>
      <c r="J10">
        <v>4.8</v>
      </c>
      <c r="K10" t="s">
        <v>313</v>
      </c>
      <c r="L10" s="67">
        <v>0.25</v>
      </c>
      <c r="M10" t="s">
        <v>406</v>
      </c>
      <c r="N10" s="67">
        <v>0.03</v>
      </c>
      <c r="O10" s="68">
        <v>43928</v>
      </c>
      <c r="P10" s="68">
        <v>43938</v>
      </c>
      <c r="Q10" s="57">
        <v>25385721.308666669</v>
      </c>
      <c r="R10" t="s">
        <v>539</v>
      </c>
    </row>
    <row r="11" spans="1:19">
      <c r="A11">
        <v>1031</v>
      </c>
      <c r="B11" t="s">
        <v>566</v>
      </c>
      <c r="C11" t="s">
        <v>10</v>
      </c>
      <c r="D11" t="s">
        <v>271</v>
      </c>
      <c r="E11" t="s">
        <v>562</v>
      </c>
      <c r="F11" t="s">
        <v>563</v>
      </c>
      <c r="G11">
        <v>3111111</v>
      </c>
      <c r="H11" t="s">
        <v>564</v>
      </c>
      <c r="I11" t="s">
        <v>24</v>
      </c>
      <c r="J11">
        <v>4.8</v>
      </c>
      <c r="K11" t="s">
        <v>313</v>
      </c>
      <c r="L11" s="67">
        <v>0.25</v>
      </c>
      <c r="M11" t="s">
        <v>406</v>
      </c>
      <c r="N11" s="67">
        <v>0.03</v>
      </c>
      <c r="O11" s="68">
        <v>43928</v>
      </c>
      <c r="P11" s="68">
        <v>43938</v>
      </c>
      <c r="Q11" s="57">
        <v>25385721.308666669</v>
      </c>
      <c r="R11" t="s">
        <v>539</v>
      </c>
    </row>
    <row r="12" spans="1:19">
      <c r="A12">
        <v>1032</v>
      </c>
      <c r="B12" t="s">
        <v>567</v>
      </c>
      <c r="C12" t="s">
        <v>10</v>
      </c>
      <c r="D12" t="s">
        <v>271</v>
      </c>
      <c r="E12" t="s">
        <v>562</v>
      </c>
      <c r="F12" t="s">
        <v>563</v>
      </c>
      <c r="G12">
        <v>3111111</v>
      </c>
      <c r="H12" t="s">
        <v>564</v>
      </c>
      <c r="I12" t="s">
        <v>24</v>
      </c>
      <c r="J12">
        <v>4.8</v>
      </c>
      <c r="K12" t="s">
        <v>313</v>
      </c>
      <c r="L12" s="67">
        <v>0.25</v>
      </c>
      <c r="M12" t="s">
        <v>406</v>
      </c>
      <c r="N12" s="67">
        <v>0.03</v>
      </c>
      <c r="O12" s="68">
        <v>43928</v>
      </c>
      <c r="P12" s="68">
        <v>43938</v>
      </c>
      <c r="Q12" s="57">
        <v>25385721.308666669</v>
      </c>
      <c r="R12" t="s">
        <v>539</v>
      </c>
    </row>
    <row r="13" spans="1:19">
      <c r="A13">
        <v>1033</v>
      </c>
      <c r="B13" t="s">
        <v>568</v>
      </c>
      <c r="C13" t="s">
        <v>10</v>
      </c>
      <c r="D13" t="s">
        <v>271</v>
      </c>
      <c r="E13" t="s">
        <v>562</v>
      </c>
      <c r="F13" t="s">
        <v>563</v>
      </c>
      <c r="G13">
        <v>3111111</v>
      </c>
      <c r="H13" t="s">
        <v>564</v>
      </c>
      <c r="I13" t="s">
        <v>24</v>
      </c>
      <c r="J13">
        <v>4.8</v>
      </c>
      <c r="K13" t="s">
        <v>313</v>
      </c>
      <c r="L13" s="67">
        <v>0.25</v>
      </c>
      <c r="M13" t="s">
        <v>406</v>
      </c>
      <c r="N13" s="67">
        <v>0.03</v>
      </c>
      <c r="O13" s="68">
        <v>43928</v>
      </c>
      <c r="P13" s="68">
        <v>43938</v>
      </c>
      <c r="Q13" s="57">
        <v>25385721.308666669</v>
      </c>
      <c r="R13" t="s">
        <v>539</v>
      </c>
    </row>
    <row r="14" spans="1:19">
      <c r="A14">
        <v>1034</v>
      </c>
      <c r="B14" t="s">
        <v>569</v>
      </c>
      <c r="C14" t="s">
        <v>3</v>
      </c>
      <c r="D14" t="s">
        <v>549</v>
      </c>
      <c r="E14" t="s">
        <v>550</v>
      </c>
      <c r="F14" t="s">
        <v>551</v>
      </c>
      <c r="G14">
        <v>310000000</v>
      </c>
      <c r="H14" t="s">
        <v>552</v>
      </c>
      <c r="I14" t="s">
        <v>553</v>
      </c>
      <c r="J14">
        <v>2.0699999999999998</v>
      </c>
      <c r="K14" t="s">
        <v>554</v>
      </c>
      <c r="L14" s="67">
        <v>0.25</v>
      </c>
      <c r="M14" t="s">
        <v>406</v>
      </c>
      <c r="N14" s="67">
        <v>0.03</v>
      </c>
      <c r="O14" s="68">
        <v>43929</v>
      </c>
      <c r="P14" s="68">
        <v>43939</v>
      </c>
      <c r="Q14" s="57">
        <v>50048484.647699997</v>
      </c>
      <c r="R14" t="s">
        <v>539</v>
      </c>
    </row>
    <row r="15" spans="1:19">
      <c r="A15">
        <v>1035</v>
      </c>
      <c r="B15" t="s">
        <v>570</v>
      </c>
      <c r="C15" t="s">
        <v>3</v>
      </c>
      <c r="D15" t="s">
        <v>549</v>
      </c>
      <c r="E15" t="s">
        <v>550</v>
      </c>
      <c r="F15" t="s">
        <v>551</v>
      </c>
      <c r="G15">
        <v>310000000</v>
      </c>
      <c r="H15" t="s">
        <v>552</v>
      </c>
      <c r="I15" t="s">
        <v>553</v>
      </c>
      <c r="J15">
        <v>2.0699999999999998</v>
      </c>
      <c r="K15" t="s">
        <v>554</v>
      </c>
      <c r="L15" s="67">
        <v>0.25</v>
      </c>
      <c r="M15" t="s">
        <v>406</v>
      </c>
      <c r="N15" s="67">
        <v>0.03</v>
      </c>
      <c r="O15" s="68">
        <v>43929</v>
      </c>
      <c r="P15" s="68">
        <v>43939</v>
      </c>
      <c r="Q15" s="57">
        <v>50048484.647699997</v>
      </c>
      <c r="R15" t="s">
        <v>539</v>
      </c>
    </row>
    <row r="16" spans="1:19">
      <c r="A16">
        <v>1036</v>
      </c>
      <c r="B16" t="s">
        <v>571</v>
      </c>
      <c r="C16" t="s">
        <v>3</v>
      </c>
      <c r="D16" t="s">
        <v>549</v>
      </c>
      <c r="E16" t="s">
        <v>550</v>
      </c>
      <c r="F16" t="s">
        <v>551</v>
      </c>
      <c r="G16">
        <v>310000000</v>
      </c>
      <c r="H16" t="s">
        <v>552</v>
      </c>
      <c r="I16" t="s">
        <v>553</v>
      </c>
      <c r="J16">
        <v>2.0699999999999998</v>
      </c>
      <c r="K16" t="s">
        <v>554</v>
      </c>
      <c r="L16" s="67">
        <v>0.25</v>
      </c>
      <c r="M16" t="s">
        <v>406</v>
      </c>
      <c r="N16" s="67">
        <v>0.03</v>
      </c>
      <c r="O16" s="68">
        <v>43929</v>
      </c>
      <c r="P16" s="68">
        <v>43939</v>
      </c>
      <c r="Q16" s="57">
        <v>50048484.647699997</v>
      </c>
      <c r="R16" t="s">
        <v>539</v>
      </c>
    </row>
    <row r="17" spans="1:18">
      <c r="A17">
        <v>1037</v>
      </c>
      <c r="B17" t="s">
        <v>572</v>
      </c>
      <c r="C17" t="s">
        <v>3</v>
      </c>
      <c r="D17" t="s">
        <v>549</v>
      </c>
      <c r="E17" t="s">
        <v>550</v>
      </c>
      <c r="F17" t="s">
        <v>551</v>
      </c>
      <c r="G17">
        <v>310000000</v>
      </c>
      <c r="H17" t="s">
        <v>552</v>
      </c>
      <c r="I17" t="s">
        <v>553</v>
      </c>
      <c r="J17">
        <v>2.0699999999999998</v>
      </c>
      <c r="K17" t="s">
        <v>554</v>
      </c>
      <c r="L17" s="67">
        <v>0.25</v>
      </c>
      <c r="M17" t="s">
        <v>406</v>
      </c>
      <c r="N17" s="67">
        <v>0.03</v>
      </c>
      <c r="O17" s="68">
        <v>43929</v>
      </c>
      <c r="P17" s="68">
        <v>43939</v>
      </c>
      <c r="Q17" s="57">
        <v>50048484.647699997</v>
      </c>
      <c r="R17" t="s">
        <v>539</v>
      </c>
    </row>
    <row r="18" spans="1:18">
      <c r="A18">
        <v>1038</v>
      </c>
      <c r="B18" t="s">
        <v>573</v>
      </c>
      <c r="C18" t="s">
        <v>3</v>
      </c>
      <c r="D18" t="s">
        <v>549</v>
      </c>
      <c r="E18" t="s">
        <v>550</v>
      </c>
      <c r="F18" t="s">
        <v>551</v>
      </c>
      <c r="G18">
        <v>310000000</v>
      </c>
      <c r="H18" t="s">
        <v>552</v>
      </c>
      <c r="I18" t="s">
        <v>553</v>
      </c>
      <c r="J18">
        <v>2.0699999999999998</v>
      </c>
      <c r="K18" t="s">
        <v>554</v>
      </c>
      <c r="L18" s="67">
        <v>0.25</v>
      </c>
      <c r="M18" t="s">
        <v>406</v>
      </c>
      <c r="N18" s="67">
        <v>0.03</v>
      </c>
      <c r="O18" s="68">
        <v>43929</v>
      </c>
      <c r="P18" s="68">
        <v>43939</v>
      </c>
      <c r="Q18" s="57">
        <v>50048484.647699997</v>
      </c>
      <c r="R18" t="s">
        <v>539</v>
      </c>
    </row>
    <row r="19" spans="1:18">
      <c r="A19">
        <v>1039</v>
      </c>
      <c r="B19" t="s">
        <v>574</v>
      </c>
      <c r="C19" t="s">
        <v>3</v>
      </c>
      <c r="D19" t="s">
        <v>549</v>
      </c>
      <c r="E19" t="s">
        <v>550</v>
      </c>
      <c r="F19" t="s">
        <v>551</v>
      </c>
      <c r="G19">
        <v>310000000</v>
      </c>
      <c r="H19" t="s">
        <v>552</v>
      </c>
      <c r="I19" t="s">
        <v>553</v>
      </c>
      <c r="J19">
        <v>2.0699999999999998</v>
      </c>
      <c r="K19" t="s">
        <v>554</v>
      </c>
      <c r="L19" s="67">
        <v>0.25</v>
      </c>
      <c r="M19" t="s">
        <v>406</v>
      </c>
      <c r="N19" s="67">
        <v>0.03</v>
      </c>
      <c r="O19" s="68">
        <v>43929</v>
      </c>
      <c r="P19" s="68">
        <v>43939</v>
      </c>
      <c r="Q19" s="57">
        <v>50048484.647699997</v>
      </c>
      <c r="R19" t="s">
        <v>539</v>
      </c>
    </row>
    <row r="20" spans="1:18">
      <c r="A20">
        <v>1040</v>
      </c>
      <c r="B20" t="s">
        <v>575</v>
      </c>
      <c r="C20" t="s">
        <v>3</v>
      </c>
      <c r="D20" t="s">
        <v>549</v>
      </c>
      <c r="E20" t="s">
        <v>550</v>
      </c>
      <c r="F20" t="s">
        <v>551</v>
      </c>
      <c r="G20">
        <v>310000000</v>
      </c>
      <c r="H20" t="s">
        <v>552</v>
      </c>
      <c r="I20" t="s">
        <v>553</v>
      </c>
      <c r="J20">
        <v>2.0699999999999998</v>
      </c>
      <c r="K20" t="s">
        <v>554</v>
      </c>
      <c r="L20" s="67">
        <v>0.25</v>
      </c>
      <c r="M20" t="s">
        <v>406</v>
      </c>
      <c r="N20" s="67">
        <v>0.03</v>
      </c>
      <c r="O20" s="68">
        <v>43929</v>
      </c>
      <c r="P20" s="68">
        <v>43939</v>
      </c>
      <c r="Q20" s="57">
        <v>50048484.647699997</v>
      </c>
      <c r="R20" t="s">
        <v>539</v>
      </c>
    </row>
    <row r="21" spans="1:18">
      <c r="A21">
        <v>1041</v>
      </c>
      <c r="B21" t="s">
        <v>576</v>
      </c>
      <c r="C21" t="s">
        <v>3</v>
      </c>
      <c r="D21" t="s">
        <v>549</v>
      </c>
      <c r="E21" t="s">
        <v>550</v>
      </c>
      <c r="F21" t="s">
        <v>551</v>
      </c>
      <c r="G21">
        <v>310000000</v>
      </c>
      <c r="H21" t="s">
        <v>552</v>
      </c>
      <c r="I21" t="s">
        <v>553</v>
      </c>
      <c r="J21">
        <v>2.0699999999999998</v>
      </c>
      <c r="K21" t="s">
        <v>554</v>
      </c>
      <c r="L21" s="67">
        <v>0.25</v>
      </c>
      <c r="M21" t="s">
        <v>406</v>
      </c>
      <c r="N21" s="67">
        <v>0.03</v>
      </c>
      <c r="O21" s="68">
        <v>43929</v>
      </c>
      <c r="P21" s="68">
        <v>43939</v>
      </c>
      <c r="Q21" s="57">
        <v>50048484.647699997</v>
      </c>
      <c r="R21" t="s">
        <v>539</v>
      </c>
    </row>
    <row r="22" spans="1:18">
      <c r="A22">
        <v>1042</v>
      </c>
      <c r="B22" t="s">
        <v>577</v>
      </c>
      <c r="C22" t="s">
        <v>3</v>
      </c>
      <c r="D22" t="s">
        <v>549</v>
      </c>
      <c r="E22" t="s">
        <v>550</v>
      </c>
      <c r="F22" t="s">
        <v>551</v>
      </c>
      <c r="G22">
        <v>310000000</v>
      </c>
      <c r="H22" t="s">
        <v>552</v>
      </c>
      <c r="I22" t="s">
        <v>553</v>
      </c>
      <c r="J22">
        <v>2.0699999999999998</v>
      </c>
      <c r="K22" t="s">
        <v>554</v>
      </c>
      <c r="L22" s="67">
        <v>0.25</v>
      </c>
      <c r="M22" t="s">
        <v>406</v>
      </c>
      <c r="N22" s="67">
        <v>0.03</v>
      </c>
      <c r="O22" s="68">
        <v>43929</v>
      </c>
      <c r="P22" s="68">
        <v>43939</v>
      </c>
      <c r="Q22" s="57">
        <v>50048484.647699997</v>
      </c>
      <c r="R22" t="s">
        <v>539</v>
      </c>
    </row>
    <row r="23" spans="1:18">
      <c r="A23">
        <v>1043</v>
      </c>
      <c r="B23" t="s">
        <v>578</v>
      </c>
      <c r="C23" t="s">
        <v>3</v>
      </c>
      <c r="D23" t="s">
        <v>549</v>
      </c>
      <c r="E23" t="s">
        <v>550</v>
      </c>
      <c r="F23" t="s">
        <v>551</v>
      </c>
      <c r="G23">
        <v>310000000</v>
      </c>
      <c r="H23" t="s">
        <v>552</v>
      </c>
      <c r="I23" t="s">
        <v>553</v>
      </c>
      <c r="J23">
        <v>2.0699999999999998</v>
      </c>
      <c r="K23" t="s">
        <v>554</v>
      </c>
      <c r="L23" s="67">
        <v>0.25</v>
      </c>
      <c r="M23" t="s">
        <v>406</v>
      </c>
      <c r="N23" s="67">
        <v>0.03</v>
      </c>
      <c r="O23" s="68">
        <v>43929</v>
      </c>
      <c r="P23" s="68">
        <v>43939</v>
      </c>
      <c r="Q23" s="57">
        <v>50048484.647699997</v>
      </c>
      <c r="R23" t="s">
        <v>539</v>
      </c>
    </row>
    <row r="24" spans="1:18">
      <c r="A24">
        <v>1044</v>
      </c>
      <c r="B24" t="s">
        <v>579</v>
      </c>
      <c r="C24" t="s">
        <v>3</v>
      </c>
      <c r="D24" t="s">
        <v>549</v>
      </c>
      <c r="E24" t="s">
        <v>550</v>
      </c>
      <c r="F24" t="s">
        <v>551</v>
      </c>
      <c r="G24">
        <v>310000000</v>
      </c>
      <c r="H24" t="s">
        <v>552</v>
      </c>
      <c r="I24" t="s">
        <v>553</v>
      </c>
      <c r="J24">
        <v>2.0699999999999998</v>
      </c>
      <c r="K24" t="s">
        <v>554</v>
      </c>
      <c r="L24" s="67">
        <v>0.25</v>
      </c>
      <c r="M24" t="s">
        <v>406</v>
      </c>
      <c r="N24" s="67">
        <v>0.03</v>
      </c>
      <c r="O24" s="68">
        <v>43929</v>
      </c>
      <c r="P24" s="68">
        <v>43939</v>
      </c>
      <c r="Q24" s="57">
        <v>50048484.647699997</v>
      </c>
      <c r="R24" t="s">
        <v>539</v>
      </c>
    </row>
    <row r="25" spans="1:18">
      <c r="A25">
        <v>1045</v>
      </c>
      <c r="B25" t="s">
        <v>580</v>
      </c>
      <c r="C25" t="s">
        <v>3</v>
      </c>
      <c r="D25" t="s">
        <v>549</v>
      </c>
      <c r="E25" t="s">
        <v>550</v>
      </c>
      <c r="F25" t="s">
        <v>551</v>
      </c>
      <c r="G25">
        <v>310000000</v>
      </c>
      <c r="H25" t="s">
        <v>552</v>
      </c>
      <c r="I25" t="s">
        <v>553</v>
      </c>
      <c r="J25">
        <v>2.0699999999999998</v>
      </c>
      <c r="K25" t="s">
        <v>554</v>
      </c>
      <c r="L25" s="67">
        <v>0.25</v>
      </c>
      <c r="M25" t="s">
        <v>406</v>
      </c>
      <c r="N25" s="67">
        <v>0.03</v>
      </c>
      <c r="O25" s="68">
        <v>43929</v>
      </c>
      <c r="P25" s="68">
        <v>43939</v>
      </c>
      <c r="Q25" s="57">
        <v>50048484.647699997</v>
      </c>
      <c r="R25" t="s">
        <v>539</v>
      </c>
    </row>
    <row r="26" spans="1:18">
      <c r="A26">
        <v>1046</v>
      </c>
      <c r="B26" t="s">
        <v>581</v>
      </c>
      <c r="C26" t="s">
        <v>3</v>
      </c>
      <c r="D26" t="s">
        <v>549</v>
      </c>
      <c r="E26" t="s">
        <v>550</v>
      </c>
      <c r="F26" t="s">
        <v>551</v>
      </c>
      <c r="G26">
        <v>310000000</v>
      </c>
      <c r="H26" t="s">
        <v>552</v>
      </c>
      <c r="I26" t="s">
        <v>553</v>
      </c>
      <c r="J26">
        <v>2.0699999999999998</v>
      </c>
      <c r="K26" t="s">
        <v>554</v>
      </c>
      <c r="L26" s="67">
        <v>0.25</v>
      </c>
      <c r="M26" t="s">
        <v>406</v>
      </c>
      <c r="N26" s="67">
        <v>0.03</v>
      </c>
      <c r="O26" s="68">
        <v>43929</v>
      </c>
      <c r="P26" s="68">
        <v>43939</v>
      </c>
      <c r="Q26" s="57">
        <v>50048484.647699997</v>
      </c>
      <c r="R26" t="s">
        <v>539</v>
      </c>
    </row>
    <row r="27" spans="1:18">
      <c r="A27">
        <v>1047</v>
      </c>
      <c r="B27" t="s">
        <v>582</v>
      </c>
      <c r="C27" t="s">
        <v>3</v>
      </c>
      <c r="D27" t="s">
        <v>549</v>
      </c>
      <c r="E27" t="s">
        <v>550</v>
      </c>
      <c r="F27" t="s">
        <v>551</v>
      </c>
      <c r="G27">
        <v>310000000</v>
      </c>
      <c r="H27" t="s">
        <v>552</v>
      </c>
      <c r="I27" t="s">
        <v>553</v>
      </c>
      <c r="J27">
        <v>2.0699999999999998</v>
      </c>
      <c r="K27" t="s">
        <v>554</v>
      </c>
      <c r="L27" s="67">
        <v>0.25</v>
      </c>
      <c r="M27" t="s">
        <v>406</v>
      </c>
      <c r="N27" s="67">
        <v>0.03</v>
      </c>
      <c r="O27" s="68">
        <v>43929</v>
      </c>
      <c r="P27" s="68">
        <v>43939</v>
      </c>
      <c r="Q27" s="57">
        <v>50048484.647699997</v>
      </c>
      <c r="R27" t="s">
        <v>539</v>
      </c>
    </row>
    <row r="28" spans="1:18">
      <c r="A28">
        <v>1048</v>
      </c>
      <c r="B28" t="s">
        <v>583</v>
      </c>
      <c r="C28" t="s">
        <v>3</v>
      </c>
      <c r="D28" t="s">
        <v>549</v>
      </c>
      <c r="E28" t="s">
        <v>550</v>
      </c>
      <c r="F28" t="s">
        <v>551</v>
      </c>
      <c r="G28">
        <v>310000000</v>
      </c>
      <c r="H28" t="s">
        <v>552</v>
      </c>
      <c r="I28" t="s">
        <v>553</v>
      </c>
      <c r="J28">
        <v>2.0699999999999998</v>
      </c>
      <c r="K28" t="s">
        <v>554</v>
      </c>
      <c r="L28" s="67">
        <v>0.25</v>
      </c>
      <c r="M28" t="s">
        <v>406</v>
      </c>
      <c r="N28" s="67">
        <v>0.03</v>
      </c>
      <c r="O28" s="68">
        <v>43929</v>
      </c>
      <c r="P28" s="68">
        <v>43939</v>
      </c>
      <c r="Q28" s="57">
        <v>50048484.647699997</v>
      </c>
      <c r="R28" t="s">
        <v>539</v>
      </c>
    </row>
    <row r="29" spans="1:18">
      <c r="A29">
        <v>1049</v>
      </c>
      <c r="B29" t="s">
        <v>584</v>
      </c>
      <c r="C29" t="s">
        <v>3</v>
      </c>
      <c r="D29" t="s">
        <v>549</v>
      </c>
      <c r="E29" t="s">
        <v>550</v>
      </c>
      <c r="F29" t="s">
        <v>551</v>
      </c>
      <c r="G29">
        <v>310000000</v>
      </c>
      <c r="H29" t="s">
        <v>552</v>
      </c>
      <c r="I29" t="s">
        <v>553</v>
      </c>
      <c r="J29">
        <v>2.0699999999999998</v>
      </c>
      <c r="K29" t="s">
        <v>554</v>
      </c>
      <c r="L29" s="67">
        <v>0.25</v>
      </c>
      <c r="M29" t="s">
        <v>406</v>
      </c>
      <c r="N29" s="67">
        <v>0.03</v>
      </c>
      <c r="O29" s="68">
        <v>43929</v>
      </c>
      <c r="P29" s="68">
        <v>43939</v>
      </c>
      <c r="Q29" s="57">
        <v>50048484.647699997</v>
      </c>
      <c r="R29" t="s">
        <v>539</v>
      </c>
    </row>
    <row r="30" spans="1:18">
      <c r="A30">
        <v>1050</v>
      </c>
      <c r="B30" t="s">
        <v>585</v>
      </c>
      <c r="C30" t="s">
        <v>3</v>
      </c>
      <c r="D30" t="s">
        <v>549</v>
      </c>
      <c r="E30" t="s">
        <v>550</v>
      </c>
      <c r="F30" t="s">
        <v>551</v>
      </c>
      <c r="G30">
        <v>310000000</v>
      </c>
      <c r="H30" t="s">
        <v>552</v>
      </c>
      <c r="I30" t="s">
        <v>553</v>
      </c>
      <c r="J30">
        <v>2.0699999999999998</v>
      </c>
      <c r="K30" t="s">
        <v>554</v>
      </c>
      <c r="L30" s="67">
        <v>0.25</v>
      </c>
      <c r="M30" t="s">
        <v>406</v>
      </c>
      <c r="N30" s="67">
        <v>0.03</v>
      </c>
      <c r="O30" s="68">
        <v>43929</v>
      </c>
      <c r="P30" s="68">
        <v>43939</v>
      </c>
      <c r="Q30" s="57">
        <v>50048484.647699997</v>
      </c>
      <c r="R30" t="s">
        <v>539</v>
      </c>
    </row>
    <row r="31" spans="1:18">
      <c r="A31">
        <v>1051</v>
      </c>
      <c r="B31" t="s">
        <v>586</v>
      </c>
      <c r="C31" t="s">
        <v>3</v>
      </c>
      <c r="D31" t="s">
        <v>549</v>
      </c>
      <c r="E31" t="s">
        <v>550</v>
      </c>
      <c r="F31" t="s">
        <v>551</v>
      </c>
      <c r="G31">
        <v>310000000</v>
      </c>
      <c r="H31" t="s">
        <v>552</v>
      </c>
      <c r="I31" t="s">
        <v>553</v>
      </c>
      <c r="J31">
        <v>2.0699999999999998</v>
      </c>
      <c r="K31" t="s">
        <v>554</v>
      </c>
      <c r="L31" s="67">
        <v>0.25</v>
      </c>
      <c r="M31" t="s">
        <v>406</v>
      </c>
      <c r="N31" s="67">
        <v>0.03</v>
      </c>
      <c r="O31" s="68">
        <v>43929</v>
      </c>
      <c r="P31" s="68">
        <v>43939</v>
      </c>
      <c r="Q31" s="57">
        <v>50048484.647699997</v>
      </c>
      <c r="R31" t="s">
        <v>539</v>
      </c>
    </row>
    <row r="32" spans="1:18">
      <c r="A32">
        <v>1052</v>
      </c>
      <c r="B32" t="s">
        <v>587</v>
      </c>
      <c r="C32" t="s">
        <v>3</v>
      </c>
      <c r="D32" t="s">
        <v>549</v>
      </c>
      <c r="E32" t="s">
        <v>550</v>
      </c>
      <c r="F32" t="s">
        <v>551</v>
      </c>
      <c r="G32">
        <v>310000000</v>
      </c>
      <c r="H32" t="s">
        <v>552</v>
      </c>
      <c r="I32" t="s">
        <v>553</v>
      </c>
      <c r="J32">
        <v>2.0699999999999998</v>
      </c>
      <c r="K32" t="s">
        <v>554</v>
      </c>
      <c r="L32" s="67">
        <v>0.25</v>
      </c>
      <c r="M32" t="s">
        <v>406</v>
      </c>
      <c r="N32" s="67">
        <v>0.03</v>
      </c>
      <c r="O32" s="68">
        <v>43929</v>
      </c>
      <c r="P32" s="68">
        <v>43939</v>
      </c>
      <c r="Q32" s="57">
        <v>50048484.647699997</v>
      </c>
      <c r="R32" t="s">
        <v>539</v>
      </c>
    </row>
    <row r="33" spans="1:18">
      <c r="A33">
        <v>1053</v>
      </c>
      <c r="B33" t="s">
        <v>588</v>
      </c>
      <c r="C33" t="s">
        <v>3</v>
      </c>
      <c r="D33" t="s">
        <v>549</v>
      </c>
      <c r="E33" t="s">
        <v>550</v>
      </c>
      <c r="F33" t="s">
        <v>551</v>
      </c>
      <c r="G33">
        <v>310000000</v>
      </c>
      <c r="H33" t="s">
        <v>552</v>
      </c>
      <c r="I33" t="s">
        <v>553</v>
      </c>
      <c r="J33">
        <v>2.0699999999999998</v>
      </c>
      <c r="K33" t="s">
        <v>554</v>
      </c>
      <c r="L33" s="67">
        <v>0.25</v>
      </c>
      <c r="M33" t="s">
        <v>406</v>
      </c>
      <c r="N33" s="67">
        <v>0.03</v>
      </c>
      <c r="O33" s="68">
        <v>43929</v>
      </c>
      <c r="P33" s="68">
        <v>43939</v>
      </c>
      <c r="Q33" s="57">
        <v>50048484.647699997</v>
      </c>
      <c r="R33" t="s">
        <v>539</v>
      </c>
    </row>
    <row r="34" spans="1:18">
      <c r="A34">
        <v>1054</v>
      </c>
      <c r="B34" t="s">
        <v>589</v>
      </c>
      <c r="C34" t="s">
        <v>3</v>
      </c>
      <c r="D34" t="s">
        <v>549</v>
      </c>
      <c r="E34" t="s">
        <v>550</v>
      </c>
      <c r="F34" t="s">
        <v>551</v>
      </c>
      <c r="G34">
        <v>310000000</v>
      </c>
      <c r="H34" t="s">
        <v>552</v>
      </c>
      <c r="I34" t="s">
        <v>553</v>
      </c>
      <c r="J34">
        <v>2.0699999999999998</v>
      </c>
      <c r="K34" t="s">
        <v>554</v>
      </c>
      <c r="L34" s="67">
        <v>0.25</v>
      </c>
      <c r="M34" t="s">
        <v>406</v>
      </c>
      <c r="N34" s="67">
        <v>0.03</v>
      </c>
      <c r="O34" s="68">
        <v>43929</v>
      </c>
      <c r="P34" s="68">
        <v>43939</v>
      </c>
      <c r="Q34" s="57">
        <v>50048484.647699997</v>
      </c>
      <c r="R34" t="s">
        <v>539</v>
      </c>
    </row>
    <row r="35" spans="1:18">
      <c r="A35">
        <v>1055</v>
      </c>
      <c r="B35" t="s">
        <v>590</v>
      </c>
      <c r="C35" t="s">
        <v>3</v>
      </c>
      <c r="D35" t="s">
        <v>549</v>
      </c>
      <c r="E35" t="s">
        <v>550</v>
      </c>
      <c r="F35" t="s">
        <v>551</v>
      </c>
      <c r="G35">
        <v>310000000</v>
      </c>
      <c r="H35" t="s">
        <v>552</v>
      </c>
      <c r="I35" t="s">
        <v>553</v>
      </c>
      <c r="J35">
        <v>2.0699999999999998</v>
      </c>
      <c r="K35" t="s">
        <v>554</v>
      </c>
      <c r="L35" s="67">
        <v>0.25</v>
      </c>
      <c r="M35" t="s">
        <v>406</v>
      </c>
      <c r="N35" s="67">
        <v>0.03</v>
      </c>
      <c r="O35" s="68">
        <v>43929</v>
      </c>
      <c r="P35" s="68">
        <v>43939</v>
      </c>
      <c r="Q35" s="57">
        <v>50048484.647699997</v>
      </c>
      <c r="R35" t="s">
        <v>539</v>
      </c>
    </row>
    <row r="36" spans="1:18">
      <c r="A36">
        <v>1056</v>
      </c>
      <c r="B36" t="s">
        <v>591</v>
      </c>
      <c r="C36" t="s">
        <v>3</v>
      </c>
      <c r="D36" t="s">
        <v>549</v>
      </c>
      <c r="E36" t="s">
        <v>550</v>
      </c>
      <c r="F36" t="s">
        <v>551</v>
      </c>
      <c r="G36">
        <v>310000000</v>
      </c>
      <c r="H36" t="s">
        <v>552</v>
      </c>
      <c r="I36" t="s">
        <v>553</v>
      </c>
      <c r="J36">
        <v>2.0699999999999998</v>
      </c>
      <c r="K36" t="s">
        <v>554</v>
      </c>
      <c r="L36" s="67">
        <v>0.25</v>
      </c>
      <c r="M36" t="s">
        <v>406</v>
      </c>
      <c r="N36" s="67">
        <v>0.03</v>
      </c>
      <c r="O36" s="68">
        <v>43929</v>
      </c>
      <c r="P36" s="68">
        <v>43939</v>
      </c>
      <c r="Q36" s="57">
        <v>50048484.647699997</v>
      </c>
      <c r="R36" t="s">
        <v>539</v>
      </c>
    </row>
    <row r="37" spans="1:18">
      <c r="A37">
        <v>1057</v>
      </c>
      <c r="B37" t="s">
        <v>592</v>
      </c>
      <c r="C37" t="s">
        <v>3</v>
      </c>
      <c r="D37" t="s">
        <v>549</v>
      </c>
      <c r="E37" t="s">
        <v>550</v>
      </c>
      <c r="F37" t="s">
        <v>551</v>
      </c>
      <c r="G37">
        <v>310000000</v>
      </c>
      <c r="H37" t="s">
        <v>552</v>
      </c>
      <c r="I37" t="s">
        <v>553</v>
      </c>
      <c r="J37">
        <v>2.0699999999999998</v>
      </c>
      <c r="K37" t="s">
        <v>554</v>
      </c>
      <c r="L37" s="67">
        <v>0.25</v>
      </c>
      <c r="M37" t="s">
        <v>406</v>
      </c>
      <c r="N37" s="67">
        <v>0.03</v>
      </c>
      <c r="O37" s="68">
        <v>43929</v>
      </c>
      <c r="P37" s="68">
        <v>43939</v>
      </c>
      <c r="Q37" s="57">
        <v>50048484.647699997</v>
      </c>
      <c r="R37" t="s">
        <v>539</v>
      </c>
    </row>
    <row r="38" spans="1:18">
      <c r="A38">
        <v>1058</v>
      </c>
      <c r="B38" t="s">
        <v>593</v>
      </c>
      <c r="C38" t="s">
        <v>10</v>
      </c>
      <c r="D38" t="s">
        <v>271</v>
      </c>
      <c r="E38" t="s">
        <v>562</v>
      </c>
      <c r="F38" t="s">
        <v>563</v>
      </c>
      <c r="G38">
        <v>3111111</v>
      </c>
      <c r="H38" t="s">
        <v>564</v>
      </c>
      <c r="I38" t="s">
        <v>24</v>
      </c>
      <c r="J38">
        <v>4.8</v>
      </c>
      <c r="K38" t="s">
        <v>313</v>
      </c>
      <c r="L38" s="67">
        <v>0.25</v>
      </c>
      <c r="M38" t="s">
        <v>406</v>
      </c>
      <c r="N38" s="67">
        <v>0.03</v>
      </c>
      <c r="O38" s="68">
        <v>43929</v>
      </c>
      <c r="P38" s="68">
        <v>43939</v>
      </c>
      <c r="Q38" s="57">
        <v>25385721.308666669</v>
      </c>
      <c r="R38" t="s">
        <v>539</v>
      </c>
    </row>
    <row r="39" spans="1:18">
      <c r="A39">
        <v>1059</v>
      </c>
      <c r="B39" t="s">
        <v>594</v>
      </c>
      <c r="C39" t="s">
        <v>10</v>
      </c>
      <c r="D39" t="s">
        <v>271</v>
      </c>
      <c r="E39" t="s">
        <v>562</v>
      </c>
      <c r="F39" t="s">
        <v>563</v>
      </c>
      <c r="G39">
        <v>3111111</v>
      </c>
      <c r="H39" t="s">
        <v>564</v>
      </c>
      <c r="I39" t="s">
        <v>24</v>
      </c>
      <c r="J39">
        <v>4.8</v>
      </c>
      <c r="K39" t="s">
        <v>313</v>
      </c>
      <c r="L39" s="67">
        <v>0.25</v>
      </c>
      <c r="M39" t="s">
        <v>406</v>
      </c>
      <c r="N39" s="67">
        <v>0.03</v>
      </c>
      <c r="O39" s="68">
        <v>43929</v>
      </c>
      <c r="P39" s="68">
        <v>43939</v>
      </c>
      <c r="Q39" s="57">
        <v>25385721.308666669</v>
      </c>
      <c r="R39" t="s">
        <v>539</v>
      </c>
    </row>
    <row r="40" spans="1:18">
      <c r="A40">
        <v>1060</v>
      </c>
      <c r="B40" t="s">
        <v>595</v>
      </c>
      <c r="C40" t="s">
        <v>10</v>
      </c>
      <c r="D40" t="s">
        <v>271</v>
      </c>
      <c r="E40" t="s">
        <v>562</v>
      </c>
      <c r="F40" t="s">
        <v>563</v>
      </c>
      <c r="G40">
        <v>3111111</v>
      </c>
      <c r="H40" t="s">
        <v>564</v>
      </c>
      <c r="I40" t="s">
        <v>24</v>
      </c>
      <c r="J40">
        <v>4.8</v>
      </c>
      <c r="K40" t="s">
        <v>313</v>
      </c>
      <c r="L40" s="67">
        <v>0.25</v>
      </c>
      <c r="M40" t="s">
        <v>406</v>
      </c>
      <c r="N40" s="67">
        <v>0.03</v>
      </c>
      <c r="O40" s="68">
        <v>43929</v>
      </c>
      <c r="P40" s="68">
        <v>43939</v>
      </c>
      <c r="Q40" s="57">
        <v>25385721.308666669</v>
      </c>
      <c r="R40" t="s">
        <v>539</v>
      </c>
    </row>
    <row r="41" spans="1:18">
      <c r="A41">
        <v>1061</v>
      </c>
      <c r="B41" t="s">
        <v>596</v>
      </c>
      <c r="C41" t="s">
        <v>3</v>
      </c>
      <c r="D41" t="s">
        <v>549</v>
      </c>
      <c r="E41" t="s">
        <v>550</v>
      </c>
      <c r="F41" t="s">
        <v>551</v>
      </c>
      <c r="G41">
        <v>310000000</v>
      </c>
      <c r="H41" t="s">
        <v>552</v>
      </c>
      <c r="I41" t="s">
        <v>553</v>
      </c>
      <c r="J41">
        <v>2.0699999999999998</v>
      </c>
      <c r="K41" t="s">
        <v>554</v>
      </c>
      <c r="L41" s="67">
        <v>0.25</v>
      </c>
      <c r="M41" t="s">
        <v>406</v>
      </c>
      <c r="N41" s="67">
        <v>0.03</v>
      </c>
      <c r="O41" s="68">
        <v>43929</v>
      </c>
      <c r="P41" s="68">
        <v>43939</v>
      </c>
      <c r="Q41" s="57">
        <v>50048484.647699997</v>
      </c>
      <c r="R41" t="s">
        <v>539</v>
      </c>
    </row>
    <row r="42" spans="1:18">
      <c r="A42">
        <v>1062</v>
      </c>
      <c r="B42" t="s">
        <v>597</v>
      </c>
      <c r="C42" t="s">
        <v>3</v>
      </c>
      <c r="D42" t="s">
        <v>549</v>
      </c>
      <c r="E42" t="s">
        <v>550</v>
      </c>
      <c r="F42" t="s">
        <v>551</v>
      </c>
      <c r="G42">
        <v>310000000</v>
      </c>
      <c r="H42" t="s">
        <v>552</v>
      </c>
      <c r="I42" t="s">
        <v>553</v>
      </c>
      <c r="J42">
        <v>2.0699999999999998</v>
      </c>
      <c r="K42" t="s">
        <v>554</v>
      </c>
      <c r="L42" s="67">
        <v>0.25</v>
      </c>
      <c r="M42" t="s">
        <v>406</v>
      </c>
      <c r="N42" s="67">
        <v>0.03</v>
      </c>
      <c r="O42" s="68">
        <v>43929</v>
      </c>
      <c r="P42" s="68">
        <v>43939</v>
      </c>
      <c r="Q42" s="57">
        <v>50048484.647699997</v>
      </c>
      <c r="R42" t="s">
        <v>539</v>
      </c>
    </row>
    <row r="43" spans="1:18">
      <c r="A43">
        <v>1063</v>
      </c>
      <c r="B43" t="s">
        <v>598</v>
      </c>
      <c r="C43" t="s">
        <v>3</v>
      </c>
      <c r="D43" t="s">
        <v>549</v>
      </c>
      <c r="E43" t="s">
        <v>550</v>
      </c>
      <c r="F43" t="s">
        <v>551</v>
      </c>
      <c r="G43">
        <v>310000000</v>
      </c>
      <c r="H43" t="s">
        <v>552</v>
      </c>
      <c r="I43" t="s">
        <v>553</v>
      </c>
      <c r="J43">
        <v>2.0699999999999998</v>
      </c>
      <c r="K43" t="s">
        <v>554</v>
      </c>
      <c r="L43" s="67">
        <v>0.25</v>
      </c>
      <c r="M43" t="s">
        <v>406</v>
      </c>
      <c r="N43" s="67">
        <v>0.03</v>
      </c>
      <c r="O43" s="68">
        <v>43929</v>
      </c>
      <c r="P43" s="68">
        <v>43939</v>
      </c>
      <c r="Q43" s="57">
        <v>50048484.647699997</v>
      </c>
      <c r="R43" t="s">
        <v>539</v>
      </c>
    </row>
    <row r="44" spans="1:18">
      <c r="A44">
        <v>1064</v>
      </c>
      <c r="B44" t="s">
        <v>599</v>
      </c>
      <c r="C44" t="s">
        <v>3</v>
      </c>
      <c r="D44" t="s">
        <v>549</v>
      </c>
      <c r="E44" t="s">
        <v>550</v>
      </c>
      <c r="F44" t="s">
        <v>551</v>
      </c>
      <c r="G44">
        <v>310000000</v>
      </c>
      <c r="H44" t="s">
        <v>552</v>
      </c>
      <c r="I44" t="s">
        <v>553</v>
      </c>
      <c r="J44">
        <v>2.0699999999999998</v>
      </c>
      <c r="K44" t="s">
        <v>554</v>
      </c>
      <c r="L44" s="67">
        <v>0.25</v>
      </c>
      <c r="M44" t="s">
        <v>406</v>
      </c>
      <c r="N44" s="67">
        <v>0.03</v>
      </c>
      <c r="O44" s="68">
        <v>43929</v>
      </c>
      <c r="P44" s="68">
        <v>43939</v>
      </c>
      <c r="Q44" s="57">
        <v>50048484.647699997</v>
      </c>
      <c r="R44" t="s">
        <v>539</v>
      </c>
    </row>
    <row r="45" spans="1:18">
      <c r="A45">
        <v>1065</v>
      </c>
      <c r="B45" t="s">
        <v>600</v>
      </c>
      <c r="C45" t="s">
        <v>3</v>
      </c>
      <c r="D45" t="s">
        <v>549</v>
      </c>
      <c r="E45" t="s">
        <v>550</v>
      </c>
      <c r="F45" t="s">
        <v>551</v>
      </c>
      <c r="G45">
        <v>310000000</v>
      </c>
      <c r="H45" t="s">
        <v>552</v>
      </c>
      <c r="I45" t="s">
        <v>553</v>
      </c>
      <c r="J45">
        <v>2.0699999999999998</v>
      </c>
      <c r="K45" t="s">
        <v>554</v>
      </c>
      <c r="L45" s="67">
        <v>0.25</v>
      </c>
      <c r="M45" t="s">
        <v>406</v>
      </c>
      <c r="N45" s="67">
        <v>0.03</v>
      </c>
      <c r="O45" s="68">
        <v>43929</v>
      </c>
      <c r="P45" s="68">
        <v>43939</v>
      </c>
      <c r="Q45" s="57">
        <v>50048484.647699997</v>
      </c>
      <c r="R45" t="s">
        <v>539</v>
      </c>
    </row>
    <row r="46" spans="1:18">
      <c r="A46">
        <v>1066</v>
      </c>
      <c r="B46" t="s">
        <v>601</v>
      </c>
      <c r="C46" t="s">
        <v>3</v>
      </c>
      <c r="D46" t="s">
        <v>549</v>
      </c>
      <c r="E46" t="s">
        <v>550</v>
      </c>
      <c r="F46" t="s">
        <v>551</v>
      </c>
      <c r="G46">
        <v>310000000</v>
      </c>
      <c r="H46" t="s">
        <v>552</v>
      </c>
      <c r="I46" t="s">
        <v>553</v>
      </c>
      <c r="J46">
        <v>2.0699999999999998</v>
      </c>
      <c r="K46" t="s">
        <v>554</v>
      </c>
      <c r="L46" s="67">
        <v>0.25</v>
      </c>
      <c r="M46" t="s">
        <v>406</v>
      </c>
      <c r="N46" s="67">
        <v>0.03</v>
      </c>
      <c r="O46" s="68">
        <v>43929</v>
      </c>
      <c r="P46" s="68">
        <v>43939</v>
      </c>
      <c r="Q46" s="57">
        <v>50048484.647699997</v>
      </c>
      <c r="R46" t="s">
        <v>539</v>
      </c>
    </row>
    <row r="47" spans="1:18">
      <c r="A47">
        <v>1067</v>
      </c>
      <c r="B47" t="s">
        <v>602</v>
      </c>
      <c r="C47" t="s">
        <v>3</v>
      </c>
      <c r="D47" t="s">
        <v>549</v>
      </c>
      <c r="E47" t="s">
        <v>550</v>
      </c>
      <c r="F47" t="s">
        <v>551</v>
      </c>
      <c r="G47">
        <v>310000000</v>
      </c>
      <c r="H47" t="s">
        <v>552</v>
      </c>
      <c r="I47" t="s">
        <v>553</v>
      </c>
      <c r="J47">
        <v>2.0699999999999998</v>
      </c>
      <c r="K47" t="s">
        <v>554</v>
      </c>
      <c r="L47" s="67">
        <v>0.25</v>
      </c>
      <c r="M47" t="s">
        <v>406</v>
      </c>
      <c r="N47" s="67">
        <v>0.03</v>
      </c>
      <c r="O47" s="68">
        <v>43929</v>
      </c>
      <c r="P47" s="68">
        <v>43939</v>
      </c>
      <c r="Q47" s="57">
        <v>50048484.647699997</v>
      </c>
      <c r="R47" t="s">
        <v>539</v>
      </c>
    </row>
    <row r="48" spans="1:18">
      <c r="A48">
        <v>1068</v>
      </c>
      <c r="B48" t="s">
        <v>603</v>
      </c>
      <c r="C48" t="s">
        <v>3</v>
      </c>
      <c r="D48" t="s">
        <v>549</v>
      </c>
      <c r="E48" t="s">
        <v>550</v>
      </c>
      <c r="F48" t="s">
        <v>551</v>
      </c>
      <c r="G48">
        <v>310000000</v>
      </c>
      <c r="H48" t="s">
        <v>552</v>
      </c>
      <c r="I48" t="s">
        <v>553</v>
      </c>
      <c r="J48">
        <v>2.0699999999999998</v>
      </c>
      <c r="K48" t="s">
        <v>554</v>
      </c>
      <c r="L48" s="67">
        <v>0.25</v>
      </c>
      <c r="M48" t="s">
        <v>406</v>
      </c>
      <c r="N48" s="67">
        <v>0.03</v>
      </c>
      <c r="O48" s="68">
        <v>43929</v>
      </c>
      <c r="P48" s="68">
        <v>43939</v>
      </c>
      <c r="Q48" s="57">
        <v>50048484.647699997</v>
      </c>
      <c r="R48" t="s">
        <v>539</v>
      </c>
    </row>
    <row r="49" spans="1:18">
      <c r="A49">
        <v>1069</v>
      </c>
      <c r="B49" t="s">
        <v>604</v>
      </c>
      <c r="C49" t="s">
        <v>3</v>
      </c>
      <c r="D49" t="s">
        <v>549</v>
      </c>
      <c r="E49" t="s">
        <v>550</v>
      </c>
      <c r="F49" t="s">
        <v>551</v>
      </c>
      <c r="G49">
        <v>310000000</v>
      </c>
      <c r="H49" t="s">
        <v>552</v>
      </c>
      <c r="I49" t="s">
        <v>553</v>
      </c>
      <c r="J49">
        <v>2.0699999999999998</v>
      </c>
      <c r="K49" t="s">
        <v>554</v>
      </c>
      <c r="L49" s="67">
        <v>0.25</v>
      </c>
      <c r="M49" t="s">
        <v>406</v>
      </c>
      <c r="N49" s="67">
        <v>0.03</v>
      </c>
      <c r="O49" s="68">
        <v>43929</v>
      </c>
      <c r="P49" s="68">
        <v>43939</v>
      </c>
      <c r="Q49" s="57">
        <v>50048484.647699997</v>
      </c>
      <c r="R49" t="s">
        <v>539</v>
      </c>
    </row>
    <row r="50" spans="1:18">
      <c r="A50">
        <v>1070</v>
      </c>
      <c r="B50" t="s">
        <v>605</v>
      </c>
      <c r="C50" t="s">
        <v>10</v>
      </c>
      <c r="D50" t="s">
        <v>271</v>
      </c>
      <c r="E50" t="s">
        <v>562</v>
      </c>
      <c r="F50" t="s">
        <v>563</v>
      </c>
      <c r="G50">
        <v>3111111</v>
      </c>
      <c r="H50" t="s">
        <v>564</v>
      </c>
      <c r="I50" t="s">
        <v>24</v>
      </c>
      <c r="J50">
        <v>4.8</v>
      </c>
      <c r="K50" t="s">
        <v>313</v>
      </c>
      <c r="L50" s="67">
        <v>0.25</v>
      </c>
      <c r="M50" t="s">
        <v>406</v>
      </c>
      <c r="N50" s="67">
        <v>0.03</v>
      </c>
      <c r="O50" s="68">
        <v>43929</v>
      </c>
      <c r="P50" s="68">
        <v>43939</v>
      </c>
      <c r="Q50" s="57">
        <v>25385721.308666669</v>
      </c>
      <c r="R50" t="s">
        <v>539</v>
      </c>
    </row>
    <row r="51" spans="1:18">
      <c r="A51">
        <v>1071</v>
      </c>
      <c r="B51" t="s">
        <v>606</v>
      </c>
      <c r="C51" t="s">
        <v>3</v>
      </c>
      <c r="D51" t="s">
        <v>549</v>
      </c>
      <c r="E51" t="s">
        <v>550</v>
      </c>
      <c r="F51" t="s">
        <v>551</v>
      </c>
      <c r="G51">
        <v>310000000</v>
      </c>
      <c r="H51" t="s">
        <v>552</v>
      </c>
      <c r="I51" t="s">
        <v>553</v>
      </c>
      <c r="J51">
        <v>2.0699999999999998</v>
      </c>
      <c r="K51" t="s">
        <v>554</v>
      </c>
      <c r="L51" s="67">
        <v>0.25</v>
      </c>
      <c r="M51" t="s">
        <v>406</v>
      </c>
      <c r="N51" s="67">
        <v>0.03</v>
      </c>
      <c r="O51" s="68">
        <v>43929</v>
      </c>
      <c r="P51" s="68">
        <v>43939</v>
      </c>
      <c r="Q51" s="57">
        <v>50048484.647699997</v>
      </c>
      <c r="R51" t="s">
        <v>539</v>
      </c>
    </row>
    <row r="52" spans="1:18">
      <c r="A52">
        <v>1072</v>
      </c>
      <c r="B52" t="s">
        <v>607</v>
      </c>
      <c r="C52" t="s">
        <v>3</v>
      </c>
      <c r="D52" t="s">
        <v>549</v>
      </c>
      <c r="E52" t="s">
        <v>550</v>
      </c>
      <c r="F52" t="s">
        <v>551</v>
      </c>
      <c r="G52">
        <v>310000000</v>
      </c>
      <c r="H52" t="s">
        <v>552</v>
      </c>
      <c r="I52" t="s">
        <v>553</v>
      </c>
      <c r="J52">
        <v>2.0699999999999998</v>
      </c>
      <c r="K52" t="s">
        <v>554</v>
      </c>
      <c r="L52" s="67">
        <v>0.25</v>
      </c>
      <c r="M52" t="s">
        <v>406</v>
      </c>
      <c r="N52" s="67">
        <v>0.03</v>
      </c>
      <c r="O52" s="68">
        <v>43931</v>
      </c>
      <c r="P52" s="68">
        <v>43941</v>
      </c>
      <c r="Q52" s="57">
        <v>50048484.647699997</v>
      </c>
      <c r="R52" t="s">
        <v>539</v>
      </c>
    </row>
    <row r="53" spans="1:18">
      <c r="A53">
        <v>1073</v>
      </c>
      <c r="B53" t="s">
        <v>608</v>
      </c>
      <c r="C53" t="s">
        <v>10</v>
      </c>
      <c r="D53" t="s">
        <v>271</v>
      </c>
      <c r="E53" t="s">
        <v>562</v>
      </c>
      <c r="F53" t="s">
        <v>563</v>
      </c>
      <c r="G53">
        <v>3111111</v>
      </c>
      <c r="H53" t="s">
        <v>564</v>
      </c>
      <c r="I53" t="s">
        <v>24</v>
      </c>
      <c r="J53">
        <v>25.2</v>
      </c>
      <c r="K53" t="s">
        <v>313</v>
      </c>
      <c r="L53" s="67">
        <v>0.25</v>
      </c>
      <c r="M53" t="s">
        <v>406</v>
      </c>
      <c r="N53" s="67">
        <v>0.03</v>
      </c>
      <c r="O53" s="68">
        <v>43932</v>
      </c>
      <c r="P53" s="68">
        <v>43942</v>
      </c>
      <c r="Q53" s="57">
        <v>126413026.37466666</v>
      </c>
      <c r="R53" t="s">
        <v>539</v>
      </c>
    </row>
    <row r="54" spans="1:18">
      <c r="A54">
        <v>1074</v>
      </c>
      <c r="B54" t="s">
        <v>609</v>
      </c>
      <c r="C54" t="s">
        <v>10</v>
      </c>
      <c r="D54" t="s">
        <v>271</v>
      </c>
      <c r="E54" t="s">
        <v>562</v>
      </c>
      <c r="F54" t="s">
        <v>563</v>
      </c>
      <c r="G54">
        <v>3111111</v>
      </c>
      <c r="H54" t="s">
        <v>564</v>
      </c>
      <c r="I54" t="s">
        <v>24</v>
      </c>
      <c r="J54">
        <v>25.2</v>
      </c>
      <c r="K54" t="s">
        <v>313</v>
      </c>
      <c r="L54" s="67">
        <v>0.25</v>
      </c>
      <c r="M54" t="s">
        <v>406</v>
      </c>
      <c r="N54" s="67">
        <v>0.03</v>
      </c>
      <c r="O54" s="68">
        <v>43932</v>
      </c>
      <c r="P54" s="68">
        <v>43942</v>
      </c>
      <c r="Q54" s="57">
        <v>126413026.37466666</v>
      </c>
      <c r="R54" t="s">
        <v>539</v>
      </c>
    </row>
    <row r="55" spans="1:18">
      <c r="A55">
        <v>1075</v>
      </c>
      <c r="B55" t="s">
        <v>610</v>
      </c>
      <c r="C55" t="s">
        <v>10</v>
      </c>
      <c r="D55" t="s">
        <v>271</v>
      </c>
      <c r="E55" t="s">
        <v>562</v>
      </c>
      <c r="F55" t="s">
        <v>563</v>
      </c>
      <c r="G55">
        <v>3111111</v>
      </c>
      <c r="H55" t="s">
        <v>564</v>
      </c>
      <c r="I55" t="s">
        <v>24</v>
      </c>
      <c r="J55">
        <v>25.2</v>
      </c>
      <c r="K55" t="s">
        <v>313</v>
      </c>
      <c r="L55" s="67">
        <v>0.25</v>
      </c>
      <c r="M55" t="s">
        <v>406</v>
      </c>
      <c r="N55" s="67">
        <v>0.03</v>
      </c>
      <c r="O55" s="68">
        <v>43932</v>
      </c>
      <c r="P55" s="68">
        <v>43942</v>
      </c>
      <c r="Q55" s="57">
        <v>126413026.37466666</v>
      </c>
      <c r="R55" t="s">
        <v>539</v>
      </c>
    </row>
    <row r="56" spans="1:18">
      <c r="A56">
        <v>1076</v>
      </c>
      <c r="B56" t="s">
        <v>611</v>
      </c>
      <c r="C56" t="s">
        <v>10</v>
      </c>
      <c r="D56" t="s">
        <v>271</v>
      </c>
      <c r="E56" t="s">
        <v>562</v>
      </c>
      <c r="F56" t="s">
        <v>563</v>
      </c>
      <c r="G56">
        <v>3111111</v>
      </c>
      <c r="H56" t="s">
        <v>564</v>
      </c>
      <c r="I56" t="s">
        <v>24</v>
      </c>
      <c r="J56">
        <v>25.2</v>
      </c>
      <c r="K56" t="s">
        <v>313</v>
      </c>
      <c r="L56" s="67">
        <v>0.25</v>
      </c>
      <c r="M56" t="s">
        <v>406</v>
      </c>
      <c r="N56" s="67">
        <v>0.03</v>
      </c>
      <c r="O56" s="68">
        <v>43932</v>
      </c>
      <c r="P56" s="68">
        <v>43942</v>
      </c>
      <c r="Q56" s="57">
        <v>126413026.37466666</v>
      </c>
      <c r="R56" t="s">
        <v>539</v>
      </c>
    </row>
    <row r="57" spans="1:18">
      <c r="A57">
        <v>1077</v>
      </c>
      <c r="B57" t="s">
        <v>612</v>
      </c>
      <c r="C57" t="s">
        <v>3</v>
      </c>
      <c r="D57" t="s">
        <v>549</v>
      </c>
      <c r="E57" t="s">
        <v>550</v>
      </c>
      <c r="F57" t="s">
        <v>551</v>
      </c>
      <c r="G57">
        <v>310000000</v>
      </c>
      <c r="H57" t="s">
        <v>552</v>
      </c>
      <c r="I57" t="s">
        <v>553</v>
      </c>
      <c r="J57">
        <v>2.0699999999999998</v>
      </c>
      <c r="K57" t="s">
        <v>554</v>
      </c>
      <c r="L57" s="67">
        <v>0.25</v>
      </c>
      <c r="M57" t="s">
        <v>406</v>
      </c>
      <c r="N57" s="67">
        <v>0.03</v>
      </c>
      <c r="O57" s="68">
        <v>43932</v>
      </c>
      <c r="P57" s="68">
        <v>43942</v>
      </c>
      <c r="Q57" s="57">
        <v>50048484.647699997</v>
      </c>
      <c r="R57" t="s">
        <v>539</v>
      </c>
    </row>
    <row r="58" spans="1:18">
      <c r="A58">
        <v>1078</v>
      </c>
      <c r="B58" t="s">
        <v>613</v>
      </c>
      <c r="C58" t="s">
        <v>10</v>
      </c>
      <c r="D58" t="s">
        <v>271</v>
      </c>
      <c r="E58" t="s">
        <v>562</v>
      </c>
      <c r="F58" t="s">
        <v>563</v>
      </c>
      <c r="G58">
        <v>3111111</v>
      </c>
      <c r="H58" t="s">
        <v>564</v>
      </c>
      <c r="I58" t="s">
        <v>24</v>
      </c>
      <c r="J58">
        <v>25.2</v>
      </c>
      <c r="K58" t="s">
        <v>313</v>
      </c>
      <c r="L58" s="67">
        <v>0.25</v>
      </c>
      <c r="M58" t="s">
        <v>406</v>
      </c>
      <c r="N58" s="67">
        <v>0.03</v>
      </c>
      <c r="O58" s="68">
        <v>43932</v>
      </c>
      <c r="P58" s="68">
        <v>43942</v>
      </c>
      <c r="Q58" s="57">
        <v>126413026.37466666</v>
      </c>
      <c r="R58" t="s">
        <v>539</v>
      </c>
    </row>
    <row r="59" spans="1:18">
      <c r="A59">
        <v>1079</v>
      </c>
      <c r="B59" t="s">
        <v>614</v>
      </c>
      <c r="C59" t="s">
        <v>10</v>
      </c>
      <c r="D59" t="s">
        <v>271</v>
      </c>
      <c r="E59" t="s">
        <v>562</v>
      </c>
      <c r="F59" t="s">
        <v>563</v>
      </c>
      <c r="G59">
        <v>3111111</v>
      </c>
      <c r="H59" t="s">
        <v>564</v>
      </c>
      <c r="I59" t="s">
        <v>24</v>
      </c>
      <c r="J59">
        <v>25.2</v>
      </c>
      <c r="K59" t="s">
        <v>313</v>
      </c>
      <c r="L59" s="67">
        <v>0.25</v>
      </c>
      <c r="M59" t="s">
        <v>406</v>
      </c>
      <c r="N59" s="67">
        <v>0.03</v>
      </c>
      <c r="O59" s="68">
        <v>43932</v>
      </c>
      <c r="P59" s="68">
        <v>43942</v>
      </c>
      <c r="Q59" s="57">
        <v>126413026.37466666</v>
      </c>
      <c r="R59" t="s">
        <v>539</v>
      </c>
    </row>
    <row r="60" spans="1:18">
      <c r="A60">
        <v>1080</v>
      </c>
      <c r="B60" t="s">
        <v>620</v>
      </c>
      <c r="C60" t="s">
        <v>0</v>
      </c>
      <c r="D60" t="s">
        <v>615</v>
      </c>
      <c r="E60" t="s">
        <v>616</v>
      </c>
      <c r="F60" t="s">
        <v>619</v>
      </c>
      <c r="G60">
        <v>3222341635</v>
      </c>
      <c r="H60" t="s">
        <v>618</v>
      </c>
      <c r="I60" t="s">
        <v>617</v>
      </c>
      <c r="J60">
        <v>2.4</v>
      </c>
      <c r="K60" t="s">
        <v>313</v>
      </c>
      <c r="L60" s="67">
        <v>0.25</v>
      </c>
      <c r="M60" t="s">
        <v>406</v>
      </c>
      <c r="N60" s="67">
        <v>0.03</v>
      </c>
      <c r="O60" s="68">
        <v>43936</v>
      </c>
      <c r="P60" s="68">
        <v>43946</v>
      </c>
      <c r="Q60" s="57">
        <v>15285693.77</v>
      </c>
      <c r="R60" t="s">
        <v>539</v>
      </c>
    </row>
    <row r="61" spans="1:18">
      <c r="A61">
        <v>1081</v>
      </c>
      <c r="B61" t="s">
        <v>621</v>
      </c>
      <c r="C61" t="s">
        <v>0</v>
      </c>
      <c r="D61" t="s">
        <v>615</v>
      </c>
      <c r="E61" t="s">
        <v>616</v>
      </c>
      <c r="F61" t="s">
        <v>619</v>
      </c>
      <c r="G61">
        <v>3222341635</v>
      </c>
      <c r="H61" t="s">
        <v>618</v>
      </c>
      <c r="I61" t="s">
        <v>617</v>
      </c>
      <c r="J61">
        <v>2.4</v>
      </c>
      <c r="K61" t="s">
        <v>313</v>
      </c>
      <c r="L61" s="67">
        <v>0.25</v>
      </c>
      <c r="M61" t="s">
        <v>406</v>
      </c>
      <c r="N61" s="67">
        <v>0.03</v>
      </c>
      <c r="O61" s="68">
        <v>43936</v>
      </c>
      <c r="P61" s="68">
        <v>43946</v>
      </c>
      <c r="Q61" s="57">
        <v>16307172.316666666</v>
      </c>
      <c r="R61" t="s">
        <v>539</v>
      </c>
    </row>
    <row r="62" spans="1:18">
      <c r="A62">
        <v>1082</v>
      </c>
      <c r="B62" t="s">
        <v>622</v>
      </c>
      <c r="C62" t="s">
        <v>0</v>
      </c>
      <c r="D62" t="s">
        <v>615</v>
      </c>
      <c r="E62" t="s">
        <v>616</v>
      </c>
      <c r="F62" t="s">
        <v>619</v>
      </c>
      <c r="G62">
        <v>3222341635</v>
      </c>
      <c r="H62" t="s">
        <v>618</v>
      </c>
      <c r="I62" t="s">
        <v>617</v>
      </c>
      <c r="J62">
        <v>2.4</v>
      </c>
      <c r="K62" t="s">
        <v>313</v>
      </c>
      <c r="L62" s="67">
        <v>0.25</v>
      </c>
      <c r="N62" s="67">
        <v>0.03</v>
      </c>
      <c r="O62" s="68">
        <v>43936</v>
      </c>
      <c r="P62" s="68">
        <v>43946</v>
      </c>
      <c r="Q62" s="57">
        <v>16307172.316666666</v>
      </c>
      <c r="R62" t="s">
        <v>539</v>
      </c>
    </row>
    <row r="63" spans="1:18">
      <c r="A63">
        <v>1083</v>
      </c>
      <c r="B63" t="s">
        <v>740</v>
      </c>
      <c r="C63" t="s">
        <v>0</v>
      </c>
      <c r="D63" t="s">
        <v>736</v>
      </c>
      <c r="E63" t="s">
        <v>737</v>
      </c>
      <c r="F63" t="s">
        <v>738</v>
      </c>
      <c r="G63">
        <v>3182035460</v>
      </c>
      <c r="H63" t="s">
        <v>739</v>
      </c>
      <c r="I63" t="s">
        <v>24</v>
      </c>
      <c r="J63">
        <v>2.0699999999999998</v>
      </c>
      <c r="K63" t="s">
        <v>313</v>
      </c>
      <c r="L63" s="67">
        <v>0.25</v>
      </c>
      <c r="N63" s="67">
        <v>0</v>
      </c>
      <c r="O63" s="68">
        <v>43963</v>
      </c>
      <c r="P63" s="68">
        <v>43973</v>
      </c>
      <c r="Q63" s="57">
        <v>13766565.161333334</v>
      </c>
      <c r="R63" t="s">
        <v>623</v>
      </c>
    </row>
    <row r="64" spans="1:18">
      <c r="A64">
        <v>1084</v>
      </c>
      <c r="B64" t="s">
        <v>741</v>
      </c>
      <c r="C64" t="s">
        <v>0</v>
      </c>
      <c r="D64" t="s">
        <v>736</v>
      </c>
      <c r="E64" t="s">
        <v>737</v>
      </c>
      <c r="F64" t="s">
        <v>738</v>
      </c>
      <c r="G64">
        <v>3182035460</v>
      </c>
      <c r="H64" t="s">
        <v>739</v>
      </c>
      <c r="I64" t="s">
        <v>24</v>
      </c>
      <c r="J64">
        <v>2.0699999999999998</v>
      </c>
      <c r="K64" t="s">
        <v>313</v>
      </c>
      <c r="L64" s="67">
        <v>0.25</v>
      </c>
      <c r="N64" s="67">
        <v>0</v>
      </c>
      <c r="O64" s="68">
        <v>43963</v>
      </c>
      <c r="P64" s="68">
        <v>43973</v>
      </c>
      <c r="Q64" s="57">
        <v>13766565.161333334</v>
      </c>
      <c r="R64" t="s">
        <v>623</v>
      </c>
    </row>
    <row r="65" spans="1:18">
      <c r="A65">
        <v>1085</v>
      </c>
      <c r="B65" t="s">
        <v>742</v>
      </c>
      <c r="C65" t="s">
        <v>0</v>
      </c>
      <c r="D65" t="s">
        <v>713</v>
      </c>
      <c r="E65" t="s">
        <v>714</v>
      </c>
      <c r="I65" t="s">
        <v>715</v>
      </c>
      <c r="J65">
        <v>29322185.023200002</v>
      </c>
      <c r="K65" t="s">
        <v>554</v>
      </c>
      <c r="L65" s="67">
        <v>0.25</v>
      </c>
      <c r="O65" s="68">
        <v>43963</v>
      </c>
      <c r="P65" s="68">
        <v>43973</v>
      </c>
      <c r="R65" t="s">
        <v>623</v>
      </c>
    </row>
    <row r="66" spans="1:18">
      <c r="A66">
        <v>1086</v>
      </c>
      <c r="B66" t="s">
        <v>743</v>
      </c>
      <c r="C66" t="s">
        <v>0</v>
      </c>
      <c r="D66" t="s">
        <v>736</v>
      </c>
      <c r="E66" t="s">
        <v>737</v>
      </c>
      <c r="F66" t="s">
        <v>738</v>
      </c>
      <c r="G66">
        <v>3182035460</v>
      </c>
      <c r="H66" t="s">
        <v>739</v>
      </c>
      <c r="I66" t="s">
        <v>24</v>
      </c>
      <c r="J66">
        <v>2.64</v>
      </c>
      <c r="K66" t="s">
        <v>313</v>
      </c>
      <c r="L66" s="67">
        <v>0.25</v>
      </c>
      <c r="N66" s="67">
        <v>0</v>
      </c>
      <c r="O66" s="68">
        <v>43963</v>
      </c>
      <c r="P66" s="68">
        <v>43973</v>
      </c>
      <c r="Q66" s="57">
        <v>15950950.213333331</v>
      </c>
      <c r="R66" t="s">
        <v>623</v>
      </c>
    </row>
    <row r="67" spans="1:18">
      <c r="A67">
        <v>1087</v>
      </c>
      <c r="B67" t="s">
        <v>744</v>
      </c>
      <c r="C67" t="s">
        <v>0</v>
      </c>
      <c r="D67" t="s">
        <v>736</v>
      </c>
      <c r="E67" t="s">
        <v>737</v>
      </c>
      <c r="F67" t="s">
        <v>738</v>
      </c>
      <c r="G67">
        <v>3182035460</v>
      </c>
      <c r="H67" t="s">
        <v>739</v>
      </c>
      <c r="I67" t="s">
        <v>24</v>
      </c>
      <c r="J67">
        <v>2.0699999999999998</v>
      </c>
      <c r="K67" t="s">
        <v>313</v>
      </c>
      <c r="L67" s="67">
        <v>0.25</v>
      </c>
      <c r="N67" s="67">
        <v>0</v>
      </c>
      <c r="O67" s="68">
        <v>43963</v>
      </c>
      <c r="P67" s="68">
        <v>43973</v>
      </c>
      <c r="Q67" s="57">
        <v>13849365.161333334</v>
      </c>
      <c r="R67" t="s">
        <v>623</v>
      </c>
    </row>
    <row r="68" spans="1:18">
      <c r="A68">
        <v>1088</v>
      </c>
      <c r="B68" t="s">
        <v>747</v>
      </c>
      <c r="C68" t="s">
        <v>0</v>
      </c>
      <c r="D68" t="s">
        <v>745</v>
      </c>
      <c r="E68" t="s">
        <v>746</v>
      </c>
      <c r="J68">
        <v>1.6</v>
      </c>
      <c r="K68" t="s">
        <v>313</v>
      </c>
      <c r="L68" s="67">
        <v>0.25</v>
      </c>
      <c r="N68" s="67">
        <v>0</v>
      </c>
      <c r="O68" s="68">
        <v>43964</v>
      </c>
      <c r="P68" s="68">
        <v>43974</v>
      </c>
      <c r="Q68" s="57">
        <v>11135113.442666667</v>
      </c>
      <c r="R68" t="s">
        <v>623</v>
      </c>
    </row>
    <row r="69" spans="1:18">
      <c r="A69">
        <v>1089</v>
      </c>
      <c r="B69" t="s">
        <v>754</v>
      </c>
      <c r="C69" t="s">
        <v>7</v>
      </c>
      <c r="D69" t="s">
        <v>749</v>
      </c>
      <c r="E69" t="s">
        <v>750</v>
      </c>
      <c r="F69" t="s">
        <v>751</v>
      </c>
      <c r="G69">
        <v>3147929810</v>
      </c>
      <c r="H69" t="s">
        <v>752</v>
      </c>
      <c r="I69" t="s">
        <v>753</v>
      </c>
      <c r="J69">
        <v>19.635000000000002</v>
      </c>
      <c r="K69" t="s">
        <v>313</v>
      </c>
      <c r="L69" s="67">
        <v>0.25</v>
      </c>
      <c r="N69" s="67">
        <v>0</v>
      </c>
      <c r="O69" s="68">
        <v>43964</v>
      </c>
      <c r="P69" s="68">
        <v>43974</v>
      </c>
      <c r="Q69" s="57">
        <v>79523055.071333334</v>
      </c>
      <c r="R69" t="s">
        <v>748</v>
      </c>
    </row>
    <row r="70" spans="1:18">
      <c r="A70">
        <v>1090</v>
      </c>
      <c r="B70" t="s">
        <v>755</v>
      </c>
      <c r="C70" t="s">
        <v>7</v>
      </c>
      <c r="D70" t="s">
        <v>749</v>
      </c>
      <c r="E70" t="s">
        <v>750</v>
      </c>
      <c r="F70" t="s">
        <v>751</v>
      </c>
      <c r="G70">
        <v>3147929810</v>
      </c>
      <c r="H70" t="s">
        <v>752</v>
      </c>
      <c r="I70" t="s">
        <v>753</v>
      </c>
      <c r="J70">
        <v>12.705</v>
      </c>
      <c r="K70" t="s">
        <v>313</v>
      </c>
      <c r="L70" s="67">
        <v>0.25</v>
      </c>
      <c r="N70" s="67">
        <v>0</v>
      </c>
      <c r="O70" s="68">
        <v>43965</v>
      </c>
      <c r="P70" s="68">
        <v>43975</v>
      </c>
      <c r="Q70" s="57">
        <v>58497616.270000003</v>
      </c>
      <c r="R70" t="s">
        <v>748</v>
      </c>
    </row>
    <row r="71" spans="1:18">
      <c r="A71">
        <v>1091</v>
      </c>
      <c r="B71" t="s">
        <v>765</v>
      </c>
      <c r="C71" t="s">
        <v>7</v>
      </c>
      <c r="D71" t="s">
        <v>749</v>
      </c>
      <c r="E71" t="s">
        <v>750</v>
      </c>
      <c r="F71" t="s">
        <v>751</v>
      </c>
      <c r="G71">
        <v>3147929810</v>
      </c>
      <c r="H71" t="s">
        <v>752</v>
      </c>
      <c r="I71" t="s">
        <v>753</v>
      </c>
      <c r="J71">
        <v>12.705</v>
      </c>
      <c r="K71" t="s">
        <v>313</v>
      </c>
      <c r="L71" s="67">
        <v>0.25</v>
      </c>
      <c r="N71" s="67">
        <v>0</v>
      </c>
      <c r="O71" s="68">
        <v>43966</v>
      </c>
      <c r="P71" s="68">
        <v>43976</v>
      </c>
      <c r="Q71" s="57">
        <v>56062750.316099435</v>
      </c>
      <c r="R71" t="s">
        <v>748</v>
      </c>
    </row>
    <row r="72" spans="1:18">
      <c r="A72">
        <v>1092</v>
      </c>
      <c r="B72" t="s">
        <v>768</v>
      </c>
      <c r="C72" t="s">
        <v>7</v>
      </c>
      <c r="D72" t="s">
        <v>749</v>
      </c>
      <c r="E72" t="s">
        <v>750</v>
      </c>
      <c r="F72" s="69" t="s">
        <v>751</v>
      </c>
      <c r="G72">
        <v>3147929810</v>
      </c>
      <c r="H72" t="s">
        <v>752</v>
      </c>
      <c r="I72" t="s">
        <v>753</v>
      </c>
      <c r="J72">
        <v>12.705</v>
      </c>
      <c r="K72" t="s">
        <v>313</v>
      </c>
      <c r="L72" s="67">
        <v>0.25</v>
      </c>
      <c r="N72" s="67">
        <v>0</v>
      </c>
      <c r="O72" s="68">
        <v>43968</v>
      </c>
      <c r="P72" s="68">
        <v>43978</v>
      </c>
      <c r="Q72" s="57">
        <v>56062750.316099435</v>
      </c>
      <c r="R72" t="s">
        <v>748</v>
      </c>
    </row>
    <row r="73" spans="1:18">
      <c r="A73">
        <v>1094</v>
      </c>
    </row>
    <row r="74" spans="1:18">
      <c r="A74">
        <v>1095</v>
      </c>
      <c r="B74" t="s">
        <v>776</v>
      </c>
      <c r="C74" t="s">
        <v>0</v>
      </c>
      <c r="D74" t="s">
        <v>749</v>
      </c>
      <c r="E74" t="s">
        <v>750</v>
      </c>
      <c r="F74" t="s">
        <v>751</v>
      </c>
      <c r="G74">
        <v>3147929810</v>
      </c>
      <c r="H74" t="s">
        <v>769</v>
      </c>
      <c r="I74" t="s">
        <v>770</v>
      </c>
      <c r="J74">
        <v>3.2</v>
      </c>
      <c r="K74" t="s">
        <v>313</v>
      </c>
      <c r="L74" s="67">
        <v>0.25</v>
      </c>
      <c r="N74" s="67">
        <v>0</v>
      </c>
      <c r="O74" s="68">
        <v>43971</v>
      </c>
      <c r="P74" s="68">
        <v>43981</v>
      </c>
      <c r="Q74" s="57">
        <v>17436797.04352941</v>
      </c>
      <c r="R74" t="s">
        <v>623</v>
      </c>
    </row>
    <row r="75" spans="1:18">
      <c r="A75">
        <v>1096</v>
      </c>
      <c r="B75" t="s">
        <v>780</v>
      </c>
      <c r="C75" t="s">
        <v>0</v>
      </c>
      <c r="D75" t="s">
        <v>777</v>
      </c>
      <c r="E75" t="s">
        <v>778</v>
      </c>
      <c r="G75">
        <v>3147929810</v>
      </c>
      <c r="I75" t="s">
        <v>779</v>
      </c>
      <c r="J75">
        <v>3.2</v>
      </c>
      <c r="K75" t="s">
        <v>313</v>
      </c>
      <c r="L75" s="67">
        <v>0.25</v>
      </c>
      <c r="N75" s="67">
        <v>0</v>
      </c>
      <c r="O75" s="68">
        <v>43972</v>
      </c>
      <c r="P75" s="68">
        <v>43982</v>
      </c>
      <c r="Q75" s="57">
        <v>16277730.376862746</v>
      </c>
      <c r="R75" t="s">
        <v>623</v>
      </c>
    </row>
    <row r="76" spans="1:18">
      <c r="A76">
        <v>1097</v>
      </c>
      <c r="B76" t="s">
        <v>781</v>
      </c>
      <c r="C76" t="s">
        <v>0</v>
      </c>
      <c r="D76" t="s">
        <v>777</v>
      </c>
      <c r="E76" t="s">
        <v>778</v>
      </c>
      <c r="G76">
        <v>3147929810</v>
      </c>
      <c r="I76" t="s">
        <v>779</v>
      </c>
      <c r="J76">
        <v>4.8</v>
      </c>
      <c r="K76" t="s">
        <v>313</v>
      </c>
      <c r="L76" s="67">
        <v>0.25</v>
      </c>
      <c r="N76" s="67">
        <v>0</v>
      </c>
      <c r="O76" s="68">
        <v>43972</v>
      </c>
      <c r="P76" s="68">
        <v>43982</v>
      </c>
      <c r="Q76" s="57">
        <v>23810832.464207284</v>
      </c>
      <c r="R76" t="s">
        <v>623</v>
      </c>
    </row>
    <row r="77" spans="1:18">
      <c r="A77">
        <v>1098</v>
      </c>
      <c r="B77" t="s">
        <v>782</v>
      </c>
      <c r="C77" t="s">
        <v>0</v>
      </c>
      <c r="D77" t="s">
        <v>777</v>
      </c>
      <c r="E77" t="s">
        <v>778</v>
      </c>
      <c r="G77">
        <v>3147929810</v>
      </c>
      <c r="I77" t="s">
        <v>779</v>
      </c>
      <c r="J77">
        <v>4.62</v>
      </c>
      <c r="K77" t="s">
        <v>313</v>
      </c>
      <c r="L77" s="67">
        <v>0.25</v>
      </c>
      <c r="N77" s="67">
        <v>0</v>
      </c>
      <c r="O77" s="68">
        <v>43972</v>
      </c>
      <c r="P77" s="68">
        <v>43982</v>
      </c>
      <c r="Q77" s="57">
        <v>22813072.464207284</v>
      </c>
      <c r="R77" t="s">
        <v>623</v>
      </c>
    </row>
    <row r="78" spans="1:18">
      <c r="A78">
        <v>1099</v>
      </c>
      <c r="B78" t="s">
        <v>783</v>
      </c>
      <c r="C78" t="s">
        <v>0</v>
      </c>
      <c r="D78" t="s">
        <v>777</v>
      </c>
      <c r="E78" t="s">
        <v>778</v>
      </c>
      <c r="G78">
        <v>3147929810</v>
      </c>
      <c r="I78" t="s">
        <v>779</v>
      </c>
      <c r="J78">
        <v>4</v>
      </c>
      <c r="K78" t="s">
        <v>313</v>
      </c>
      <c r="L78" s="67">
        <v>0.25</v>
      </c>
      <c r="N78" s="67">
        <v>0</v>
      </c>
      <c r="O78" s="68">
        <v>43972</v>
      </c>
      <c r="P78" s="68">
        <v>43982</v>
      </c>
      <c r="Q78" s="57">
        <v>20968148.087201677</v>
      </c>
      <c r="R78" t="s">
        <v>623</v>
      </c>
    </row>
    <row r="79" spans="1:18">
      <c r="A79">
        <v>1100</v>
      </c>
      <c r="B79" t="s">
        <v>784</v>
      </c>
      <c r="C79" t="s">
        <v>0</v>
      </c>
      <c r="D79" t="s">
        <v>777</v>
      </c>
      <c r="E79" t="s">
        <v>778</v>
      </c>
      <c r="G79">
        <v>3147929810</v>
      </c>
      <c r="I79" t="s">
        <v>779</v>
      </c>
      <c r="J79">
        <v>3.45</v>
      </c>
      <c r="K79" t="s">
        <v>313</v>
      </c>
      <c r="L79" s="67">
        <v>0.25</v>
      </c>
      <c r="N79" s="67">
        <v>0</v>
      </c>
      <c r="O79" s="68">
        <v>43972</v>
      </c>
      <c r="P79" s="68">
        <v>43982</v>
      </c>
      <c r="Q79" s="57">
        <v>19201548.087201681</v>
      </c>
      <c r="R79" t="s">
        <v>623</v>
      </c>
    </row>
    <row r="80" spans="1:18">
      <c r="A80">
        <v>1101</v>
      </c>
      <c r="B80" t="s">
        <v>785</v>
      </c>
      <c r="C80" t="s">
        <v>0</v>
      </c>
      <c r="D80" t="s">
        <v>777</v>
      </c>
      <c r="E80" t="s">
        <v>778</v>
      </c>
      <c r="G80">
        <v>3147929810</v>
      </c>
      <c r="I80" t="s">
        <v>779</v>
      </c>
      <c r="J80">
        <v>3.85</v>
      </c>
      <c r="K80" t="s">
        <v>313</v>
      </c>
      <c r="L80" s="67">
        <v>0.25</v>
      </c>
      <c r="N80" s="67">
        <v>0</v>
      </c>
      <c r="O80" s="68">
        <v>43972</v>
      </c>
      <c r="P80" s="68">
        <v>43982</v>
      </c>
      <c r="Q80" s="57">
        <v>20136681.420535013</v>
      </c>
      <c r="R80" t="s">
        <v>623</v>
      </c>
    </row>
    <row r="81" spans="1:18">
      <c r="A81">
        <v>1102</v>
      </c>
      <c r="B81" t="s">
        <v>786</v>
      </c>
      <c r="C81" t="s">
        <v>0</v>
      </c>
      <c r="D81" t="s">
        <v>777</v>
      </c>
      <c r="E81" t="s">
        <v>778</v>
      </c>
      <c r="G81">
        <v>3147929810</v>
      </c>
      <c r="I81" t="s">
        <v>779</v>
      </c>
      <c r="J81">
        <v>4.62</v>
      </c>
      <c r="K81" t="s">
        <v>313</v>
      </c>
      <c r="L81" s="67">
        <v>0.25</v>
      </c>
      <c r="N81" s="67">
        <v>0</v>
      </c>
      <c r="O81" s="68">
        <v>43972</v>
      </c>
      <c r="P81" s="68">
        <v>43982</v>
      </c>
      <c r="Q81" s="57">
        <v>22813072.464207284</v>
      </c>
      <c r="R81" t="s">
        <v>623</v>
      </c>
    </row>
    <row r="82" spans="1:18">
      <c r="A82">
        <v>1103</v>
      </c>
      <c r="B82" t="s">
        <v>787</v>
      </c>
      <c r="C82" t="s">
        <v>0</v>
      </c>
      <c r="D82" t="s">
        <v>777</v>
      </c>
      <c r="E82" t="s">
        <v>778</v>
      </c>
      <c r="G82">
        <v>3147929810</v>
      </c>
      <c r="I82" t="s">
        <v>779</v>
      </c>
      <c r="J82">
        <v>3.85</v>
      </c>
      <c r="K82" t="s">
        <v>313</v>
      </c>
      <c r="L82" s="67">
        <v>0.25</v>
      </c>
      <c r="N82" s="67">
        <v>0</v>
      </c>
      <c r="O82" s="68">
        <v>43973</v>
      </c>
      <c r="P82" s="68">
        <v>43983</v>
      </c>
      <c r="Q82" s="57">
        <v>20136681.420535013</v>
      </c>
      <c r="R82" t="s">
        <v>623</v>
      </c>
    </row>
    <row r="83" spans="1:18">
      <c r="A83">
        <v>1104</v>
      </c>
      <c r="B83" t="s">
        <v>790</v>
      </c>
      <c r="C83" t="s">
        <v>7</v>
      </c>
      <c r="D83" t="s">
        <v>749</v>
      </c>
      <c r="E83" t="s">
        <v>750</v>
      </c>
      <c r="F83" t="s">
        <v>751</v>
      </c>
      <c r="G83">
        <v>3147929810</v>
      </c>
      <c r="H83" t="s">
        <v>788</v>
      </c>
      <c r="I83" t="s">
        <v>789</v>
      </c>
      <c r="J83">
        <v>20934276.984499998</v>
      </c>
      <c r="K83" t="s">
        <v>554</v>
      </c>
      <c r="L83" s="67">
        <v>0.25</v>
      </c>
      <c r="O83" s="68">
        <v>43980</v>
      </c>
      <c r="P83" s="68">
        <v>43990</v>
      </c>
      <c r="R83" t="s">
        <v>623</v>
      </c>
    </row>
    <row r="84" spans="1:18">
      <c r="A84">
        <v>1105</v>
      </c>
      <c r="B84" t="s">
        <v>795</v>
      </c>
      <c r="C84" t="s">
        <v>7</v>
      </c>
      <c r="D84" t="s">
        <v>791</v>
      </c>
      <c r="E84" t="s">
        <v>792</v>
      </c>
      <c r="H84" t="s">
        <v>793</v>
      </c>
      <c r="I84" t="s">
        <v>794</v>
      </c>
      <c r="J84">
        <v>29419449.556499999</v>
      </c>
      <c r="K84" t="s">
        <v>554</v>
      </c>
      <c r="L84" s="67">
        <v>0.25</v>
      </c>
      <c r="O84" s="68">
        <v>43983</v>
      </c>
      <c r="P84" s="68">
        <v>43993</v>
      </c>
      <c r="R84" t="s">
        <v>623</v>
      </c>
    </row>
    <row r="85" spans="1:18">
      <c r="A85">
        <v>1106</v>
      </c>
      <c r="B85" t="s">
        <v>796</v>
      </c>
      <c r="C85" t="s">
        <v>7</v>
      </c>
      <c r="D85" t="s">
        <v>791</v>
      </c>
      <c r="E85" t="s">
        <v>792</v>
      </c>
      <c r="H85" t="s">
        <v>793</v>
      </c>
      <c r="I85" t="s">
        <v>794</v>
      </c>
      <c r="J85">
        <v>16021425.937200001</v>
      </c>
      <c r="K85" t="s">
        <v>554</v>
      </c>
      <c r="L85" s="67">
        <v>0.25</v>
      </c>
      <c r="O85" s="68">
        <v>43983</v>
      </c>
      <c r="P85" s="68">
        <v>43993</v>
      </c>
      <c r="R85" t="s">
        <v>623</v>
      </c>
    </row>
    <row r="86" spans="1:18">
      <c r="A86">
        <v>1107</v>
      </c>
      <c r="B86" t="s">
        <v>797</v>
      </c>
      <c r="C86" t="s">
        <v>7</v>
      </c>
      <c r="D86" t="s">
        <v>791</v>
      </c>
      <c r="E86" t="s">
        <v>792</v>
      </c>
      <c r="H86" t="s">
        <v>793</v>
      </c>
      <c r="I86" t="s">
        <v>794</v>
      </c>
      <c r="J86">
        <v>27255236.223200001</v>
      </c>
      <c r="K86" t="s">
        <v>554</v>
      </c>
      <c r="L86" s="67">
        <v>0.25</v>
      </c>
      <c r="O86" s="68">
        <v>43983</v>
      </c>
      <c r="P86" s="68">
        <v>43993</v>
      </c>
      <c r="R86" t="s">
        <v>623</v>
      </c>
    </row>
    <row r="87" spans="1:18">
      <c r="A87">
        <v>1108</v>
      </c>
      <c r="B87" t="s">
        <v>798</v>
      </c>
      <c r="C87" t="s">
        <v>7</v>
      </c>
      <c r="D87" t="s">
        <v>791</v>
      </c>
      <c r="E87" t="s">
        <v>792</v>
      </c>
      <c r="H87" t="s">
        <v>793</v>
      </c>
      <c r="I87" t="s">
        <v>794</v>
      </c>
      <c r="J87">
        <v>2.31</v>
      </c>
      <c r="K87" t="s">
        <v>554</v>
      </c>
      <c r="L87" s="67">
        <v>0.25</v>
      </c>
      <c r="O87" s="68">
        <v>43983</v>
      </c>
      <c r="P87" s="68">
        <v>43993</v>
      </c>
      <c r="R87" t="s">
        <v>623</v>
      </c>
    </row>
    <row r="88" spans="1:18">
      <c r="A88">
        <v>1109</v>
      </c>
      <c r="B88" t="s">
        <v>802</v>
      </c>
      <c r="C88" t="s">
        <v>0</v>
      </c>
      <c r="D88" t="s">
        <v>799</v>
      </c>
      <c r="E88" t="s">
        <v>800</v>
      </c>
      <c r="G88">
        <v>3045627449</v>
      </c>
      <c r="I88" t="s">
        <v>801</v>
      </c>
      <c r="J88">
        <v>1.54</v>
      </c>
      <c r="K88" t="s">
        <v>313</v>
      </c>
      <c r="L88" s="67">
        <v>0.25</v>
      </c>
      <c r="N88" s="67">
        <v>0</v>
      </c>
      <c r="O88" s="68">
        <v>43984</v>
      </c>
      <c r="P88" s="68">
        <v>43994</v>
      </c>
      <c r="Q88" s="57">
        <v>10032174.956184875</v>
      </c>
      <c r="R88" t="s">
        <v>623</v>
      </c>
    </row>
    <row r="89" spans="1:18">
      <c r="A89">
        <v>1110</v>
      </c>
      <c r="B89" t="s">
        <v>803</v>
      </c>
      <c r="C89" t="s">
        <v>0</v>
      </c>
      <c r="D89" t="s">
        <v>799</v>
      </c>
      <c r="E89" t="s">
        <v>800</v>
      </c>
      <c r="G89">
        <v>3045627449</v>
      </c>
      <c r="I89" t="s">
        <v>801</v>
      </c>
      <c r="J89">
        <v>1.38</v>
      </c>
      <c r="K89" t="s">
        <v>313</v>
      </c>
      <c r="L89" s="67">
        <v>0.25</v>
      </c>
      <c r="N89" s="67">
        <v>0</v>
      </c>
      <c r="O89" s="68">
        <v>43984</v>
      </c>
      <c r="P89" s="68">
        <v>43994</v>
      </c>
      <c r="Q89" s="57">
        <v>9658121.6228515413</v>
      </c>
      <c r="R89" t="s">
        <v>623</v>
      </c>
    </row>
    <row r="90" spans="1:18">
      <c r="A90">
        <v>1111</v>
      </c>
      <c r="B90" t="s">
        <v>809</v>
      </c>
      <c r="C90" t="s">
        <v>0</v>
      </c>
      <c r="D90" t="s">
        <v>804</v>
      </c>
      <c r="E90" t="s">
        <v>805</v>
      </c>
      <c r="G90" t="s">
        <v>806</v>
      </c>
      <c r="H90" t="s">
        <v>807</v>
      </c>
      <c r="I90" t="s">
        <v>808</v>
      </c>
      <c r="J90">
        <v>9.24</v>
      </c>
      <c r="K90" t="s">
        <v>313</v>
      </c>
      <c r="L90" s="67">
        <v>0.25</v>
      </c>
      <c r="N90" s="67">
        <v>0.03</v>
      </c>
      <c r="O90" s="68">
        <v>43989</v>
      </c>
      <c r="P90" s="68">
        <v>43999</v>
      </c>
      <c r="Q90" s="57">
        <v>46370618.145129785</v>
      </c>
      <c r="R90" t="s">
        <v>623</v>
      </c>
    </row>
    <row r="91" spans="1:18">
      <c r="A91">
        <v>1112</v>
      </c>
      <c r="B91" t="s">
        <v>810</v>
      </c>
      <c r="C91" t="s">
        <v>0</v>
      </c>
      <c r="D91" t="s">
        <v>804</v>
      </c>
      <c r="E91" t="s">
        <v>805</v>
      </c>
      <c r="G91" t="s">
        <v>806</v>
      </c>
      <c r="H91" t="s">
        <v>807</v>
      </c>
      <c r="I91" t="s">
        <v>808</v>
      </c>
      <c r="J91">
        <v>9.24</v>
      </c>
      <c r="K91" t="s">
        <v>313</v>
      </c>
      <c r="L91" s="67">
        <v>0.25</v>
      </c>
      <c r="N91" s="67">
        <v>0.03</v>
      </c>
      <c r="O91" s="68">
        <v>43989</v>
      </c>
      <c r="P91" s="68">
        <v>43999</v>
      </c>
      <c r="Q91" s="57">
        <v>52194618.145129785</v>
      </c>
      <c r="R91" t="s">
        <v>623</v>
      </c>
    </row>
    <row r="92" spans="1:18">
      <c r="A92">
        <v>1113</v>
      </c>
      <c r="B92" t="s">
        <v>814</v>
      </c>
      <c r="C92" t="s">
        <v>0</v>
      </c>
      <c r="D92" t="s">
        <v>811</v>
      </c>
      <c r="E92" t="s">
        <v>812</v>
      </c>
      <c r="I92" t="s">
        <v>813</v>
      </c>
      <c r="J92">
        <v>6.4</v>
      </c>
      <c r="K92" t="s">
        <v>313</v>
      </c>
      <c r="L92" s="67">
        <v>0.25</v>
      </c>
      <c r="N92" s="67">
        <v>2.7E-2</v>
      </c>
      <c r="O92" s="68">
        <v>44007</v>
      </c>
      <c r="P92" s="68">
        <v>44017</v>
      </c>
      <c r="Q92" s="57">
        <v>33214441.174976442</v>
      </c>
      <c r="R92" t="s">
        <v>623</v>
      </c>
    </row>
    <row r="93" spans="1:18">
      <c r="A93">
        <v>1114</v>
      </c>
      <c r="B93" t="s">
        <v>818</v>
      </c>
      <c r="C93" t="s">
        <v>0</v>
      </c>
      <c r="D93" t="s">
        <v>815</v>
      </c>
      <c r="E93" t="s">
        <v>816</v>
      </c>
      <c r="I93" t="s">
        <v>817</v>
      </c>
      <c r="J93">
        <v>4.8</v>
      </c>
      <c r="K93" t="s">
        <v>313</v>
      </c>
      <c r="L93" s="67">
        <v>0.25</v>
      </c>
      <c r="N93" s="67">
        <v>0</v>
      </c>
      <c r="O93" s="68">
        <v>44008</v>
      </c>
      <c r="P93" s="68">
        <v>44018</v>
      </c>
      <c r="Q93" s="57">
        <v>24441943.575318396</v>
      </c>
      <c r="R93" t="s">
        <v>623</v>
      </c>
    </row>
    <row r="94" spans="1:18">
      <c r="A94">
        <v>1115</v>
      </c>
      <c r="B94" t="s">
        <v>819</v>
      </c>
      <c r="C94" t="s">
        <v>0</v>
      </c>
      <c r="D94" t="s">
        <v>815</v>
      </c>
      <c r="E94" t="s">
        <v>816</v>
      </c>
      <c r="I94" t="s">
        <v>817</v>
      </c>
      <c r="J94">
        <v>4.8</v>
      </c>
      <c r="K94" t="s">
        <v>313</v>
      </c>
      <c r="L94" s="67">
        <v>0.25</v>
      </c>
      <c r="N94" s="67">
        <v>0</v>
      </c>
      <c r="O94" s="68">
        <v>44008</v>
      </c>
      <c r="P94" s="68">
        <v>44018</v>
      </c>
      <c r="Q94" s="57">
        <v>23810832.464207284</v>
      </c>
      <c r="R94" t="s">
        <v>623</v>
      </c>
    </row>
    <row r="95" spans="1:18">
      <c r="A95">
        <v>1116</v>
      </c>
      <c r="B95" t="s">
        <v>822</v>
      </c>
      <c r="C95" t="s">
        <v>0</v>
      </c>
      <c r="D95" t="s">
        <v>820</v>
      </c>
      <c r="E95" t="s">
        <v>821</v>
      </c>
      <c r="I95" t="s">
        <v>24</v>
      </c>
      <c r="J95">
        <v>1.38</v>
      </c>
      <c r="K95" t="s">
        <v>313</v>
      </c>
      <c r="L95" s="67">
        <v>0.25</v>
      </c>
      <c r="N95" s="67">
        <v>0.01</v>
      </c>
      <c r="O95" s="68">
        <v>44008</v>
      </c>
      <c r="P95" s="68">
        <v>44018</v>
      </c>
      <c r="Q95" s="57">
        <v>9798820.9936983883</v>
      </c>
      <c r="R95" t="s">
        <v>623</v>
      </c>
    </row>
    <row r="96" spans="1:18">
      <c r="A96">
        <v>1117</v>
      </c>
      <c r="B96" t="s">
        <v>823</v>
      </c>
      <c r="C96" t="s">
        <v>0</v>
      </c>
      <c r="D96" t="s">
        <v>820</v>
      </c>
      <c r="E96" t="s">
        <v>821</v>
      </c>
      <c r="I96" t="s">
        <v>24</v>
      </c>
      <c r="J96">
        <v>1.38</v>
      </c>
      <c r="K96" t="s">
        <v>313</v>
      </c>
      <c r="L96" s="67">
        <v>0.25</v>
      </c>
      <c r="N96" s="67">
        <v>0.01</v>
      </c>
      <c r="O96" s="68">
        <v>44009</v>
      </c>
      <c r="P96" s="68">
        <v>44019</v>
      </c>
      <c r="Q96" s="57">
        <v>9798820.9936983883</v>
      </c>
      <c r="R96" t="s">
        <v>623</v>
      </c>
    </row>
    <row r="97" spans="1:18">
      <c r="A97">
        <v>1118</v>
      </c>
      <c r="B97" t="s">
        <v>828</v>
      </c>
      <c r="C97" t="s">
        <v>0</v>
      </c>
      <c r="D97" t="s">
        <v>825</v>
      </c>
      <c r="E97" t="s">
        <v>826</v>
      </c>
      <c r="F97" t="s">
        <v>827</v>
      </c>
      <c r="I97" t="s">
        <v>24</v>
      </c>
      <c r="J97">
        <v>0.8</v>
      </c>
      <c r="K97" t="s">
        <v>313</v>
      </c>
      <c r="L97" s="67">
        <v>0.25</v>
      </c>
      <c r="N97" s="67">
        <v>0</v>
      </c>
      <c r="O97" s="68">
        <v>44009</v>
      </c>
      <c r="P97" s="68">
        <v>44019</v>
      </c>
      <c r="Q97" s="57">
        <v>7869015.8058459386</v>
      </c>
      <c r="R97" t="s">
        <v>623</v>
      </c>
    </row>
    <row r="98" spans="1:18">
      <c r="A98">
        <v>1119</v>
      </c>
      <c r="B98" t="s">
        <v>832</v>
      </c>
      <c r="C98" t="s">
        <v>0</v>
      </c>
      <c r="D98" t="s">
        <v>829</v>
      </c>
      <c r="E98" t="s">
        <v>830</v>
      </c>
      <c r="I98" t="s">
        <v>831</v>
      </c>
      <c r="J98">
        <v>10</v>
      </c>
      <c r="K98" t="s">
        <v>313</v>
      </c>
      <c r="L98" s="67">
        <v>0.25</v>
      </c>
      <c r="N98" s="67">
        <v>0</v>
      </c>
      <c r="O98" s="68">
        <v>44011</v>
      </c>
      <c r="P98" s="68">
        <v>44021</v>
      </c>
      <c r="Q98" s="57">
        <v>49026272.80807703</v>
      </c>
      <c r="R98" t="s">
        <v>623</v>
      </c>
    </row>
    <row r="99" spans="1:18">
      <c r="A99">
        <v>1120</v>
      </c>
      <c r="B99" t="s">
        <v>836</v>
      </c>
      <c r="C99" t="s">
        <v>0</v>
      </c>
      <c r="D99" t="s">
        <v>833</v>
      </c>
      <c r="E99" t="s">
        <v>834</v>
      </c>
      <c r="H99" t="s">
        <v>835</v>
      </c>
      <c r="J99">
        <v>1.54</v>
      </c>
      <c r="K99" t="s">
        <v>554</v>
      </c>
      <c r="L99" s="67">
        <v>0.15</v>
      </c>
      <c r="O99" s="68">
        <v>44013</v>
      </c>
      <c r="P99" s="68">
        <v>44023</v>
      </c>
      <c r="R99" t="s">
        <v>623</v>
      </c>
    </row>
    <row r="100" spans="1:18">
      <c r="A100">
        <v>1121</v>
      </c>
      <c r="B100" t="s">
        <v>840</v>
      </c>
      <c r="C100" t="s">
        <v>0</v>
      </c>
      <c r="D100" t="s">
        <v>837</v>
      </c>
      <c r="E100" t="s">
        <v>838</v>
      </c>
      <c r="H100" t="s">
        <v>839</v>
      </c>
      <c r="I100" t="s">
        <v>715</v>
      </c>
      <c r="J100">
        <v>1.6</v>
      </c>
      <c r="K100" t="s">
        <v>554</v>
      </c>
      <c r="L100" s="67">
        <v>0.2</v>
      </c>
      <c r="O100" s="68">
        <v>44026</v>
      </c>
      <c r="P100" s="68">
        <v>44036</v>
      </c>
      <c r="R100" t="s">
        <v>623</v>
      </c>
    </row>
    <row r="101" spans="1:18">
      <c r="A101">
        <v>1122</v>
      </c>
      <c r="B101" t="s">
        <v>841</v>
      </c>
      <c r="C101" t="s">
        <v>0</v>
      </c>
      <c r="D101" t="s">
        <v>837</v>
      </c>
      <c r="E101" t="s">
        <v>838</v>
      </c>
      <c r="H101" t="s">
        <v>839</v>
      </c>
      <c r="I101" t="s">
        <v>715</v>
      </c>
      <c r="J101">
        <v>1.2</v>
      </c>
      <c r="K101" t="s">
        <v>554</v>
      </c>
      <c r="L101" s="67">
        <v>0.2</v>
      </c>
      <c r="O101" s="68">
        <v>44026</v>
      </c>
      <c r="P101" s="68">
        <v>44036</v>
      </c>
      <c r="R101" t="s">
        <v>623</v>
      </c>
    </row>
    <row r="102" spans="1:18">
      <c r="A102">
        <v>1123</v>
      </c>
      <c r="B102" t="s">
        <v>842</v>
      </c>
      <c r="C102" t="s">
        <v>0</v>
      </c>
      <c r="D102" t="s">
        <v>837</v>
      </c>
      <c r="E102" t="s">
        <v>838</v>
      </c>
      <c r="H102" t="s">
        <v>839</v>
      </c>
      <c r="I102" t="s">
        <v>715</v>
      </c>
      <c r="J102">
        <v>0.8</v>
      </c>
      <c r="K102" t="s">
        <v>554</v>
      </c>
      <c r="L102" s="67">
        <v>0.2</v>
      </c>
      <c r="O102" s="68">
        <v>44026</v>
      </c>
      <c r="P102" s="68">
        <v>44036</v>
      </c>
      <c r="R102" t="s">
        <v>623</v>
      </c>
    </row>
    <row r="103" spans="1:18">
      <c r="A103">
        <v>1124</v>
      </c>
      <c r="B103" t="s">
        <v>843</v>
      </c>
      <c r="C103" t="s">
        <v>0</v>
      </c>
      <c r="D103" t="s">
        <v>837</v>
      </c>
      <c r="E103" t="s">
        <v>838</v>
      </c>
      <c r="H103" t="s">
        <v>839</v>
      </c>
      <c r="I103" t="s">
        <v>715</v>
      </c>
      <c r="J103">
        <v>1.2</v>
      </c>
      <c r="K103" t="s">
        <v>554</v>
      </c>
      <c r="L103" s="67">
        <v>0.2</v>
      </c>
      <c r="O103" s="68">
        <v>44026</v>
      </c>
      <c r="P103" s="68">
        <v>44036</v>
      </c>
      <c r="R103" t="s">
        <v>623</v>
      </c>
    </row>
    <row r="104" spans="1:18">
      <c r="A104">
        <v>1125</v>
      </c>
      <c r="B104" t="s">
        <v>846</v>
      </c>
      <c r="C104" t="s">
        <v>0</v>
      </c>
      <c r="D104" t="s">
        <v>844</v>
      </c>
      <c r="E104" t="s">
        <v>845</v>
      </c>
      <c r="I104" t="s">
        <v>715</v>
      </c>
      <c r="J104">
        <v>2.76</v>
      </c>
      <c r="K104" t="s">
        <v>313</v>
      </c>
      <c r="L104" s="67">
        <v>0.25</v>
      </c>
      <c r="N104" s="67">
        <v>0.03</v>
      </c>
      <c r="O104" s="68">
        <v>44026</v>
      </c>
      <c r="P104" s="68">
        <v>44036</v>
      </c>
      <c r="Q104" s="57">
        <v>17275439.669625118</v>
      </c>
      <c r="R104" t="s">
        <v>623</v>
      </c>
    </row>
    <row r="105" spans="1:18">
      <c r="A105">
        <v>1126</v>
      </c>
      <c r="B105" t="s">
        <v>849</v>
      </c>
      <c r="C105" t="s">
        <v>0</v>
      </c>
      <c r="D105" t="s">
        <v>837</v>
      </c>
      <c r="E105" t="s">
        <v>838</v>
      </c>
      <c r="H105" t="s">
        <v>839</v>
      </c>
      <c r="I105" t="s">
        <v>715</v>
      </c>
      <c r="J105">
        <v>1.0349999999999999</v>
      </c>
      <c r="K105" t="s">
        <v>554</v>
      </c>
      <c r="L105" s="67">
        <v>0.2</v>
      </c>
      <c r="O105" s="68">
        <v>44039</v>
      </c>
      <c r="P105" s="68">
        <v>44049</v>
      </c>
      <c r="R105" t="s">
        <v>623</v>
      </c>
    </row>
    <row r="106" spans="1:18">
      <c r="A106">
        <v>1127</v>
      </c>
      <c r="B106" t="s">
        <v>850</v>
      </c>
      <c r="C106" t="s">
        <v>7</v>
      </c>
      <c r="D106" t="s">
        <v>847</v>
      </c>
      <c r="E106" t="s">
        <v>848</v>
      </c>
      <c r="I106" t="s">
        <v>24</v>
      </c>
      <c r="J106">
        <v>51.6</v>
      </c>
      <c r="K106" t="s">
        <v>313</v>
      </c>
      <c r="L106" s="67">
        <v>0.25</v>
      </c>
      <c r="N106" s="67">
        <v>0</v>
      </c>
      <c r="O106" s="68">
        <v>44043</v>
      </c>
      <c r="P106" s="68">
        <v>44053</v>
      </c>
      <c r="Q106" s="57">
        <v>199014253.81133518</v>
      </c>
      <c r="R106" t="s">
        <v>623</v>
      </c>
    </row>
    <row r="107" spans="1:18">
      <c r="A107">
        <v>1128</v>
      </c>
      <c r="B107" t="s">
        <v>856</v>
      </c>
      <c r="C107" t="s">
        <v>7</v>
      </c>
      <c r="D107" t="s">
        <v>851</v>
      </c>
      <c r="E107" t="s">
        <v>852</v>
      </c>
      <c r="I107" t="s">
        <v>24</v>
      </c>
      <c r="J107">
        <v>3.2</v>
      </c>
      <c r="K107" t="s">
        <v>313</v>
      </c>
      <c r="L107" s="67">
        <v>0.25</v>
      </c>
      <c r="M107" t="s">
        <v>853</v>
      </c>
      <c r="N107" s="67">
        <v>0.05</v>
      </c>
      <c r="O107" s="68">
        <v>44044</v>
      </c>
      <c r="P107" s="68">
        <v>44054</v>
      </c>
      <c r="Q107" s="57">
        <v>17898863.710959382</v>
      </c>
      <c r="R107" t="s">
        <v>623</v>
      </c>
    </row>
    <row r="108" spans="1:18">
      <c r="A108">
        <v>1129</v>
      </c>
      <c r="B108" t="s">
        <v>860</v>
      </c>
      <c r="C108" t="s">
        <v>7</v>
      </c>
      <c r="D108" t="s">
        <v>857</v>
      </c>
      <c r="E108" t="s">
        <v>858</v>
      </c>
      <c r="I108" t="s">
        <v>859</v>
      </c>
      <c r="J108">
        <v>5.6</v>
      </c>
      <c r="K108" t="s">
        <v>313</v>
      </c>
      <c r="L108" s="67">
        <v>0.25</v>
      </c>
      <c r="M108" t="s">
        <v>853</v>
      </c>
      <c r="N108" s="67">
        <v>0.05</v>
      </c>
      <c r="O108" s="68">
        <v>44044</v>
      </c>
      <c r="P108" s="68">
        <v>44054</v>
      </c>
      <c r="Q108" s="57">
        <v>29271506.884964984</v>
      </c>
      <c r="R108" t="s">
        <v>623</v>
      </c>
    </row>
    <row r="109" spans="1:18">
      <c r="A109">
        <v>1130</v>
      </c>
      <c r="B109" t="s">
        <v>861</v>
      </c>
      <c r="C109" t="s">
        <v>7</v>
      </c>
      <c r="D109" t="s">
        <v>857</v>
      </c>
      <c r="E109" t="s">
        <v>858</v>
      </c>
      <c r="I109" t="s">
        <v>859</v>
      </c>
      <c r="J109">
        <v>5.6</v>
      </c>
      <c r="K109" t="s">
        <v>313</v>
      </c>
      <c r="L109" s="67">
        <v>0.25</v>
      </c>
      <c r="M109" t="s">
        <v>853</v>
      </c>
      <c r="N109" s="67">
        <v>0.05</v>
      </c>
      <c r="O109" s="68">
        <v>44044</v>
      </c>
      <c r="P109" s="68">
        <v>44054</v>
      </c>
      <c r="Q109" s="57">
        <v>32444840.21829832</v>
      </c>
      <c r="R109" t="s">
        <v>623</v>
      </c>
    </row>
    <row r="110" spans="1:18">
      <c r="A110">
        <v>1131</v>
      </c>
      <c r="B110" t="s">
        <v>862</v>
      </c>
      <c r="C110" t="s">
        <v>7</v>
      </c>
      <c r="D110" t="s">
        <v>857</v>
      </c>
      <c r="E110" t="s">
        <v>858</v>
      </c>
      <c r="I110" t="s">
        <v>859</v>
      </c>
      <c r="J110">
        <v>4.8</v>
      </c>
      <c r="K110" t="s">
        <v>313</v>
      </c>
      <c r="L110" s="67">
        <v>0.25</v>
      </c>
      <c r="M110" t="s">
        <v>853</v>
      </c>
      <c r="N110" s="67">
        <v>0.05</v>
      </c>
      <c r="O110" s="68">
        <v>44044</v>
      </c>
      <c r="P110" s="68">
        <v>44054</v>
      </c>
      <c r="Q110" s="57">
        <v>28551903.604740899</v>
      </c>
      <c r="R110" t="s">
        <v>623</v>
      </c>
    </row>
    <row r="111" spans="1:18">
      <c r="A111">
        <v>1132</v>
      </c>
      <c r="B111" t="s">
        <v>863</v>
      </c>
      <c r="C111" t="s">
        <v>7</v>
      </c>
      <c r="D111" t="s">
        <v>857</v>
      </c>
      <c r="E111" t="s">
        <v>858</v>
      </c>
      <c r="I111" t="s">
        <v>859</v>
      </c>
      <c r="J111">
        <v>3.2</v>
      </c>
      <c r="K111" t="s">
        <v>313</v>
      </c>
      <c r="L111" s="67">
        <v>0.25</v>
      </c>
      <c r="M111" t="s">
        <v>853</v>
      </c>
      <c r="N111" s="67">
        <v>0.05</v>
      </c>
      <c r="O111" s="68">
        <v>44044</v>
      </c>
      <c r="P111" s="68">
        <v>44054</v>
      </c>
      <c r="Q111" s="57">
        <v>19802863.710959379</v>
      </c>
      <c r="R111" t="s">
        <v>623</v>
      </c>
    </row>
    <row r="112" spans="1:18">
      <c r="A112">
        <v>1133</v>
      </c>
      <c r="B112" t="s">
        <v>864</v>
      </c>
      <c r="C112" t="s">
        <v>7</v>
      </c>
      <c r="D112" t="s">
        <v>857</v>
      </c>
      <c r="E112" t="s">
        <v>858</v>
      </c>
      <c r="I112" t="s">
        <v>859</v>
      </c>
      <c r="J112">
        <v>1.6</v>
      </c>
      <c r="K112" t="s">
        <v>313</v>
      </c>
      <c r="L112" s="67">
        <v>0.25</v>
      </c>
      <c r="M112" t="s">
        <v>853</v>
      </c>
      <c r="N112" s="67">
        <v>0.05</v>
      </c>
      <c r="O112" s="68">
        <v>44044</v>
      </c>
      <c r="P112" s="68">
        <v>44054</v>
      </c>
      <c r="Q112" s="57">
        <v>13201157.150511205</v>
      </c>
      <c r="R112" t="s">
        <v>623</v>
      </c>
    </row>
    <row r="113" spans="1:18">
      <c r="A113">
        <v>1134</v>
      </c>
      <c r="B113" t="s">
        <v>868</v>
      </c>
      <c r="C113" t="s">
        <v>7</v>
      </c>
      <c r="D113" t="s">
        <v>865</v>
      </c>
      <c r="E113" t="s">
        <v>866</v>
      </c>
      <c r="I113" t="s">
        <v>867</v>
      </c>
      <c r="J113">
        <v>3.2</v>
      </c>
      <c r="K113" t="s">
        <v>313</v>
      </c>
      <c r="L113" s="67">
        <v>0.25</v>
      </c>
      <c r="M113" t="s">
        <v>853</v>
      </c>
      <c r="N113" s="67">
        <v>0.05</v>
      </c>
      <c r="O113" s="68">
        <v>44047</v>
      </c>
      <c r="P113" s="68">
        <v>44057</v>
      </c>
      <c r="Q113" s="57">
        <v>19393130.37762605</v>
      </c>
      <c r="R113" t="s">
        <v>623</v>
      </c>
    </row>
    <row r="114" spans="1:18">
      <c r="A114">
        <v>1135</v>
      </c>
      <c r="B114" t="s">
        <v>869</v>
      </c>
      <c r="C114" t="s">
        <v>7</v>
      </c>
      <c r="D114" t="s">
        <v>865</v>
      </c>
      <c r="E114" t="s">
        <v>866</v>
      </c>
      <c r="I114" t="s">
        <v>867</v>
      </c>
      <c r="J114">
        <v>3.2</v>
      </c>
      <c r="K114" t="s">
        <v>313</v>
      </c>
      <c r="L114" s="67">
        <v>0.25</v>
      </c>
      <c r="N114" s="67">
        <v>0</v>
      </c>
      <c r="O114" s="68">
        <v>44047</v>
      </c>
      <c r="P114" s="68">
        <v>44057</v>
      </c>
      <c r="Q114" s="57">
        <v>16902098.014180671</v>
      </c>
      <c r="R114" t="s">
        <v>623</v>
      </c>
    </row>
    <row r="115" spans="1:18">
      <c r="A115">
        <v>1136</v>
      </c>
      <c r="B115" t="s">
        <v>870</v>
      </c>
      <c r="C115" t="s">
        <v>7</v>
      </c>
      <c r="D115" t="s">
        <v>865</v>
      </c>
      <c r="E115" t="s">
        <v>866</v>
      </c>
      <c r="I115" t="s">
        <v>867</v>
      </c>
      <c r="J115">
        <v>1.6</v>
      </c>
      <c r="K115" t="s">
        <v>313</v>
      </c>
      <c r="L115" s="67">
        <v>0.25</v>
      </c>
      <c r="N115" s="67">
        <v>0</v>
      </c>
      <c r="O115" s="68">
        <v>44047</v>
      </c>
      <c r="P115" s="68">
        <v>44057</v>
      </c>
      <c r="Q115" s="57">
        <v>11001505.723760504</v>
      </c>
      <c r="R115" t="s">
        <v>623</v>
      </c>
    </row>
    <row r="116" spans="1:18">
      <c r="A116">
        <v>1137</v>
      </c>
      <c r="B116" t="s">
        <v>871</v>
      </c>
      <c r="C116" t="s">
        <v>7</v>
      </c>
      <c r="D116" t="s">
        <v>865</v>
      </c>
      <c r="E116" t="s">
        <v>866</v>
      </c>
      <c r="I116" t="s">
        <v>867</v>
      </c>
      <c r="J116">
        <v>2.4</v>
      </c>
      <c r="K116" t="s">
        <v>313</v>
      </c>
      <c r="L116" s="67">
        <v>0.25</v>
      </c>
      <c r="N116" s="67">
        <v>0</v>
      </c>
      <c r="O116" s="68">
        <v>44047</v>
      </c>
      <c r="P116" s="68">
        <v>44057</v>
      </c>
      <c r="Q116" s="57">
        <v>14710801.868970588</v>
      </c>
      <c r="R116" t="s">
        <v>623</v>
      </c>
    </row>
    <row r="117" spans="1:18">
      <c r="A117">
        <v>1138</v>
      </c>
      <c r="B117" t="s">
        <v>872</v>
      </c>
      <c r="C117" t="s">
        <v>7</v>
      </c>
      <c r="D117" t="s">
        <v>865</v>
      </c>
      <c r="E117" t="s">
        <v>866</v>
      </c>
      <c r="I117" t="s">
        <v>867</v>
      </c>
      <c r="J117">
        <v>1.6</v>
      </c>
      <c r="K117" t="s">
        <v>313</v>
      </c>
      <c r="L117" s="67">
        <v>0.25</v>
      </c>
      <c r="N117" s="67">
        <v>0</v>
      </c>
      <c r="O117" s="68">
        <v>44047</v>
      </c>
      <c r="P117" s="68">
        <v>44057</v>
      </c>
      <c r="Q117" s="57">
        <v>11001505.723760504</v>
      </c>
      <c r="R117" t="s">
        <v>623</v>
      </c>
    </row>
    <row r="118" spans="1:18">
      <c r="A118">
        <v>1139</v>
      </c>
      <c r="B118" t="s">
        <v>875</v>
      </c>
      <c r="C118" t="s">
        <v>7</v>
      </c>
      <c r="D118" t="s">
        <v>873</v>
      </c>
      <c r="E118" t="s">
        <v>874</v>
      </c>
      <c r="I118" t="s">
        <v>133</v>
      </c>
      <c r="J118">
        <v>17.600000000000001</v>
      </c>
      <c r="K118" t="s">
        <v>313</v>
      </c>
      <c r="L118" s="67">
        <v>0.25</v>
      </c>
      <c r="N118" s="67">
        <v>0</v>
      </c>
      <c r="O118" s="68">
        <v>44061</v>
      </c>
      <c r="P118" s="68">
        <v>44071</v>
      </c>
      <c r="Q118" s="57">
        <v>72653779.987962186</v>
      </c>
      <c r="R118" t="s">
        <v>541</v>
      </c>
    </row>
    <row r="119" spans="1:18">
      <c r="A119">
        <v>1140</v>
      </c>
      <c r="B119" t="s">
        <v>876</v>
      </c>
      <c r="C119" t="s">
        <v>7</v>
      </c>
      <c r="D119" t="s">
        <v>873</v>
      </c>
      <c r="E119" t="s">
        <v>874</v>
      </c>
      <c r="I119" t="s">
        <v>133</v>
      </c>
      <c r="J119">
        <v>17.600000000000001</v>
      </c>
      <c r="K119" t="s">
        <v>313</v>
      </c>
      <c r="L119" s="67">
        <v>0.25</v>
      </c>
      <c r="N119" s="67">
        <v>0</v>
      </c>
      <c r="O119" s="68">
        <v>44061</v>
      </c>
      <c r="P119" s="68">
        <v>44071</v>
      </c>
      <c r="Q119" s="57">
        <v>72653779.987962186</v>
      </c>
      <c r="R119" t="s">
        <v>541</v>
      </c>
    </row>
    <row r="120" spans="1:18">
      <c r="A120">
        <v>1141</v>
      </c>
      <c r="B120" t="s">
        <v>880</v>
      </c>
      <c r="C120" t="s">
        <v>0</v>
      </c>
      <c r="D120" t="s">
        <v>877</v>
      </c>
      <c r="E120" t="s">
        <v>878</v>
      </c>
      <c r="I120" t="s">
        <v>879</v>
      </c>
      <c r="J120">
        <v>7.2</v>
      </c>
      <c r="K120" t="s">
        <v>313</v>
      </c>
      <c r="L120" s="67">
        <v>0.25</v>
      </c>
      <c r="N120" s="67">
        <v>0</v>
      </c>
      <c r="O120" s="68">
        <v>44073</v>
      </c>
      <c r="P120" s="68">
        <v>44083</v>
      </c>
      <c r="Q120" s="57">
        <v>36137209.493057422</v>
      </c>
      <c r="R120" t="s">
        <v>541</v>
      </c>
    </row>
    <row r="121" spans="1:18">
      <c r="A121">
        <v>1142</v>
      </c>
      <c r="B121" t="s">
        <v>882</v>
      </c>
      <c r="C121" t="s">
        <v>7</v>
      </c>
      <c r="D121" t="s">
        <v>877</v>
      </c>
      <c r="E121" t="s">
        <v>878</v>
      </c>
      <c r="I121" t="s">
        <v>881</v>
      </c>
      <c r="J121">
        <v>23.2</v>
      </c>
      <c r="K121" t="s">
        <v>313</v>
      </c>
      <c r="L121" s="67">
        <v>0.25</v>
      </c>
      <c r="N121" s="67">
        <v>0</v>
      </c>
      <c r="O121" s="68">
        <v>44077</v>
      </c>
      <c r="P121" s="68">
        <v>44087</v>
      </c>
      <c r="Q121" s="57">
        <v>94043034.391340345</v>
      </c>
      <c r="R121" t="s">
        <v>541</v>
      </c>
    </row>
    <row r="122" spans="1:18">
      <c r="A122">
        <v>1143</v>
      </c>
      <c r="B122" t="s">
        <v>885</v>
      </c>
      <c r="C122" t="s">
        <v>7</v>
      </c>
      <c r="D122" t="s">
        <v>883</v>
      </c>
      <c r="I122" t="s">
        <v>884</v>
      </c>
      <c r="J122">
        <v>124.8</v>
      </c>
      <c r="K122" t="s">
        <v>313</v>
      </c>
      <c r="L122" s="67">
        <v>0.25</v>
      </c>
      <c r="N122" s="67">
        <v>0</v>
      </c>
      <c r="O122" s="68">
        <v>44077</v>
      </c>
      <c r="P122" s="68">
        <v>44087</v>
      </c>
      <c r="Q122" s="57">
        <v>465560317.31278014</v>
      </c>
      <c r="R122" t="s">
        <v>541</v>
      </c>
    </row>
    <row r="123" spans="1:18">
      <c r="A123">
        <v>1144</v>
      </c>
      <c r="B123" t="s">
        <v>910</v>
      </c>
      <c r="C123" t="s">
        <v>7</v>
      </c>
      <c r="D123" t="s">
        <v>908</v>
      </c>
      <c r="E123" t="s">
        <v>909</v>
      </c>
      <c r="I123" t="s">
        <v>884</v>
      </c>
      <c r="J123">
        <v>15.2</v>
      </c>
      <c r="K123" t="s">
        <v>313</v>
      </c>
      <c r="L123" s="67">
        <v>0.25</v>
      </c>
      <c r="N123" s="67">
        <v>0</v>
      </c>
      <c r="O123" s="68">
        <v>44092</v>
      </c>
      <c r="P123" s="68">
        <v>44092</v>
      </c>
      <c r="Q123" s="57">
        <v>63013715.913049221</v>
      </c>
      <c r="R123" t="s">
        <v>623</v>
      </c>
    </row>
    <row r="124" spans="1:18">
      <c r="A124">
        <v>1145</v>
      </c>
      <c r="B124" t="s">
        <v>914</v>
      </c>
      <c r="C124" t="s">
        <v>7</v>
      </c>
      <c r="D124" t="s">
        <v>908</v>
      </c>
      <c r="E124" t="s">
        <v>909</v>
      </c>
      <c r="I124" t="s">
        <v>884</v>
      </c>
      <c r="J124">
        <v>15.2</v>
      </c>
      <c r="K124" t="s">
        <v>313</v>
      </c>
      <c r="L124" s="67">
        <v>0.25</v>
      </c>
      <c r="N124" s="67">
        <v>0</v>
      </c>
      <c r="O124" s="68">
        <v>44092</v>
      </c>
      <c r="P124" s="68">
        <v>44092</v>
      </c>
      <c r="Q124" s="57">
        <v>63013715.913049221</v>
      </c>
      <c r="R124" t="s">
        <v>623</v>
      </c>
    </row>
    <row r="125" spans="1:18">
      <c r="A125">
        <v>1146</v>
      </c>
      <c r="B125" t="s">
        <v>915</v>
      </c>
      <c r="C125" t="s">
        <v>7</v>
      </c>
      <c r="D125" t="s">
        <v>908</v>
      </c>
      <c r="E125" t="s">
        <v>909</v>
      </c>
      <c r="I125" t="s">
        <v>884</v>
      </c>
      <c r="J125">
        <v>15.2</v>
      </c>
      <c r="K125" t="s">
        <v>313</v>
      </c>
      <c r="L125" s="67">
        <v>0.25</v>
      </c>
      <c r="N125" s="67">
        <v>0</v>
      </c>
      <c r="O125" s="68">
        <v>44092</v>
      </c>
      <c r="P125" s="68">
        <v>44092</v>
      </c>
      <c r="Q125" s="57">
        <v>63013715.913049221</v>
      </c>
      <c r="R125" t="s">
        <v>623</v>
      </c>
    </row>
    <row r="126" spans="1:18">
      <c r="A126">
        <v>1147</v>
      </c>
      <c r="B126" t="s">
        <v>919</v>
      </c>
      <c r="C126" t="s">
        <v>0</v>
      </c>
      <c r="D126" t="s">
        <v>917</v>
      </c>
      <c r="E126" t="s">
        <v>918</v>
      </c>
      <c r="I126" t="s">
        <v>884</v>
      </c>
      <c r="J126">
        <v>2.4</v>
      </c>
      <c r="K126" t="s">
        <v>313</v>
      </c>
      <c r="L126" s="67">
        <v>0.25</v>
      </c>
      <c r="N126" s="67">
        <v>0</v>
      </c>
      <c r="O126" s="68">
        <v>44099</v>
      </c>
      <c r="P126" s="68">
        <v>44099</v>
      </c>
      <c r="Q126" s="57">
        <v>16077839.867680337</v>
      </c>
      <c r="R126" t="s">
        <v>541</v>
      </c>
    </row>
    <row r="127" spans="1:18">
      <c r="A127">
        <v>1148</v>
      </c>
      <c r="B127" t="s">
        <v>926</v>
      </c>
      <c r="C127" t="s">
        <v>0</v>
      </c>
      <c r="D127" t="s">
        <v>917</v>
      </c>
      <c r="E127" t="s">
        <v>918</v>
      </c>
      <c r="I127" t="s">
        <v>884</v>
      </c>
      <c r="J127">
        <v>4</v>
      </c>
      <c r="K127" t="s">
        <v>313</v>
      </c>
      <c r="L127" s="67">
        <v>0.25</v>
      </c>
      <c r="N127" s="67">
        <v>0</v>
      </c>
      <c r="O127" s="68">
        <v>44104</v>
      </c>
      <c r="P127" s="68">
        <v>44104</v>
      </c>
      <c r="Q127" s="57">
        <v>22836785.723351449</v>
      </c>
      <c r="R127" t="s">
        <v>623</v>
      </c>
    </row>
    <row r="128" spans="1:18">
      <c r="A128">
        <v>1149</v>
      </c>
      <c r="B128" t="s">
        <v>929</v>
      </c>
      <c r="C128" t="s">
        <v>0</v>
      </c>
      <c r="D128" t="s">
        <v>927</v>
      </c>
      <c r="E128" t="s">
        <v>928</v>
      </c>
      <c r="I128" t="s">
        <v>715</v>
      </c>
      <c r="J128">
        <v>3.2</v>
      </c>
      <c r="K128" t="s">
        <v>313</v>
      </c>
      <c r="L128" s="67">
        <v>0.25</v>
      </c>
      <c r="N128" s="67">
        <v>0</v>
      </c>
      <c r="O128" s="68">
        <v>44104</v>
      </c>
      <c r="P128" s="68">
        <v>44104</v>
      </c>
      <c r="Q128" s="57">
        <v>18242000.188182559</v>
      </c>
      <c r="R128" t="s">
        <v>623</v>
      </c>
    </row>
    <row r="129" spans="1:18">
      <c r="A129">
        <v>1150</v>
      </c>
      <c r="B129" t="s">
        <v>930</v>
      </c>
      <c r="C129" t="s">
        <v>0</v>
      </c>
      <c r="D129" t="s">
        <v>927</v>
      </c>
      <c r="E129" t="s">
        <v>928</v>
      </c>
      <c r="I129" t="s">
        <v>715</v>
      </c>
      <c r="J129">
        <v>4</v>
      </c>
      <c r="K129" t="s">
        <v>313</v>
      </c>
      <c r="L129" s="67">
        <v>0.25</v>
      </c>
      <c r="N129" s="67">
        <v>0</v>
      </c>
      <c r="O129" s="68">
        <v>44104</v>
      </c>
      <c r="P129" s="68">
        <v>44104</v>
      </c>
      <c r="Q129" s="57">
        <v>22879452.390018113</v>
      </c>
      <c r="R129" t="s">
        <v>623</v>
      </c>
    </row>
    <row r="130" spans="1:18">
      <c r="A130">
        <v>1151</v>
      </c>
      <c r="B130" t="s">
        <v>931</v>
      </c>
      <c r="C130" t="s">
        <v>0</v>
      </c>
      <c r="D130" t="s">
        <v>927</v>
      </c>
      <c r="E130" t="s">
        <v>928</v>
      </c>
      <c r="I130" t="s">
        <v>715</v>
      </c>
      <c r="J130">
        <v>4.8</v>
      </c>
      <c r="K130" t="s">
        <v>313</v>
      </c>
      <c r="L130" s="67">
        <v>0.25</v>
      </c>
      <c r="N130" s="67">
        <v>0</v>
      </c>
      <c r="O130" s="68">
        <v>44104</v>
      </c>
      <c r="P130" s="68">
        <v>44104</v>
      </c>
      <c r="Q130" s="57">
        <v>26019091.663853668</v>
      </c>
      <c r="R130" t="s">
        <v>623</v>
      </c>
    </row>
    <row r="131" spans="1:18">
      <c r="A131">
        <v>1152</v>
      </c>
      <c r="B131" t="s">
        <v>935</v>
      </c>
      <c r="C131" t="s">
        <v>0</v>
      </c>
      <c r="D131" t="s">
        <v>932</v>
      </c>
      <c r="E131" t="s">
        <v>933</v>
      </c>
      <c r="I131" t="s">
        <v>934</v>
      </c>
      <c r="J131">
        <v>1.6</v>
      </c>
      <c r="K131" t="s">
        <v>313</v>
      </c>
      <c r="L131" s="67">
        <v>0.25</v>
      </c>
      <c r="N131" s="67">
        <v>0</v>
      </c>
      <c r="O131" s="68">
        <v>44106</v>
      </c>
      <c r="P131" s="68">
        <v>44106</v>
      </c>
      <c r="Q131" s="57">
        <v>11382688.389844781</v>
      </c>
      <c r="R131" t="s">
        <v>623</v>
      </c>
    </row>
    <row r="132" spans="1:18">
      <c r="A132">
        <v>1153</v>
      </c>
      <c r="B132" t="s">
        <v>939</v>
      </c>
      <c r="C132" t="s">
        <v>0</v>
      </c>
      <c r="D132" t="s">
        <v>936</v>
      </c>
      <c r="E132" t="s">
        <v>937</v>
      </c>
      <c r="I132" t="s">
        <v>938</v>
      </c>
      <c r="J132">
        <v>1.6</v>
      </c>
      <c r="K132" t="s">
        <v>313</v>
      </c>
      <c r="L132" s="67">
        <v>0.25</v>
      </c>
      <c r="N132" s="67">
        <v>0.03</v>
      </c>
      <c r="O132" s="68">
        <v>44106</v>
      </c>
      <c r="P132" s="68">
        <v>44106</v>
      </c>
      <c r="Q132" s="57">
        <v>13287109.64431395</v>
      </c>
      <c r="R132" t="s">
        <v>623</v>
      </c>
    </row>
    <row r="133" spans="1:18">
      <c r="A133">
        <v>1154</v>
      </c>
      <c r="B133" t="s">
        <v>942</v>
      </c>
      <c r="C133" t="s">
        <v>3</v>
      </c>
      <c r="D133" t="s">
        <v>940</v>
      </c>
      <c r="E133" t="s">
        <v>941</v>
      </c>
      <c r="I133" t="s">
        <v>938</v>
      </c>
      <c r="J133">
        <v>10</v>
      </c>
      <c r="K133" t="s">
        <v>313</v>
      </c>
      <c r="L133" s="67">
        <v>0.25</v>
      </c>
      <c r="N133" s="67">
        <v>0.03</v>
      </c>
      <c r="O133" s="68">
        <v>44110</v>
      </c>
      <c r="P133" s="68">
        <v>44110</v>
      </c>
      <c r="Q133" s="57">
        <v>53747828.641471162</v>
      </c>
      <c r="R133" t="s">
        <v>623</v>
      </c>
    </row>
    <row r="134" spans="1:18">
      <c r="A134">
        <v>1155</v>
      </c>
      <c r="B134" t="s">
        <v>946</v>
      </c>
      <c r="C134" t="s">
        <v>3</v>
      </c>
      <c r="D134" t="s">
        <v>943</v>
      </c>
      <c r="E134" t="s">
        <v>944</v>
      </c>
      <c r="I134" t="s">
        <v>945</v>
      </c>
      <c r="J134">
        <v>10</v>
      </c>
      <c r="K134" t="s">
        <v>313</v>
      </c>
      <c r="L134" s="67">
        <v>0.25</v>
      </c>
      <c r="N134" s="67">
        <v>0.03</v>
      </c>
      <c r="O134" s="68">
        <v>44117</v>
      </c>
      <c r="P134" s="68">
        <v>44117</v>
      </c>
      <c r="Q134" s="57">
        <v>53962068.641471162</v>
      </c>
      <c r="R134" t="s">
        <v>623</v>
      </c>
    </row>
    <row r="135" spans="1:18">
      <c r="A135">
        <v>1156</v>
      </c>
      <c r="B135" t="s">
        <v>947</v>
      </c>
      <c r="C135" t="s">
        <v>3</v>
      </c>
      <c r="D135" t="s">
        <v>943</v>
      </c>
      <c r="E135" t="s">
        <v>944</v>
      </c>
      <c r="I135" t="s">
        <v>945</v>
      </c>
      <c r="J135">
        <v>30</v>
      </c>
      <c r="K135" t="s">
        <v>313</v>
      </c>
      <c r="L135" s="67">
        <v>0.25</v>
      </c>
      <c r="N135" s="67">
        <v>0.03</v>
      </c>
      <c r="O135" s="68">
        <v>44117</v>
      </c>
      <c r="P135" s="68">
        <v>44117</v>
      </c>
      <c r="Q135" s="57">
        <v>133972139.23199894</v>
      </c>
      <c r="R135" t="s">
        <v>623</v>
      </c>
    </row>
    <row r="136" spans="1:18">
      <c r="A136">
        <v>1157</v>
      </c>
      <c r="B136" t="s">
        <v>948</v>
      </c>
      <c r="C136" t="s">
        <v>3</v>
      </c>
      <c r="D136" t="s">
        <v>943</v>
      </c>
      <c r="E136" t="s">
        <v>944</v>
      </c>
      <c r="I136" t="s">
        <v>945</v>
      </c>
      <c r="J136">
        <v>15.2</v>
      </c>
      <c r="K136" t="s">
        <v>313</v>
      </c>
      <c r="L136" s="67">
        <v>0.25</v>
      </c>
      <c r="N136" s="67">
        <v>0.03</v>
      </c>
      <c r="O136" s="68">
        <v>44117</v>
      </c>
      <c r="P136" s="68">
        <v>44117</v>
      </c>
      <c r="Q136" s="57">
        <v>70843209.697568387</v>
      </c>
      <c r="R136" t="s">
        <v>623</v>
      </c>
    </row>
    <row r="137" spans="1:18">
      <c r="A137">
        <v>1158</v>
      </c>
      <c r="B137" t="s">
        <v>951</v>
      </c>
      <c r="C137" t="s">
        <v>3</v>
      </c>
      <c r="D137" t="s">
        <v>949</v>
      </c>
      <c r="E137" t="s">
        <v>950</v>
      </c>
      <c r="I137" t="s">
        <v>813</v>
      </c>
      <c r="J137">
        <v>6.4</v>
      </c>
      <c r="K137" t="s">
        <v>313</v>
      </c>
      <c r="L137" s="67">
        <v>0.25</v>
      </c>
      <c r="N137" s="67">
        <v>0.04</v>
      </c>
      <c r="O137" s="68">
        <v>44117</v>
      </c>
      <c r="P137" s="68">
        <v>44117</v>
      </c>
      <c r="Q137" s="57">
        <v>34228834.05621849</v>
      </c>
      <c r="R137" t="s">
        <v>623</v>
      </c>
    </row>
    <row r="138" spans="1:18">
      <c r="A138">
        <v>1159</v>
      </c>
      <c r="B138" t="s">
        <v>952</v>
      </c>
      <c r="C138" t="s">
        <v>3</v>
      </c>
      <c r="D138" t="s">
        <v>949</v>
      </c>
      <c r="E138" t="s">
        <v>950</v>
      </c>
      <c r="I138" t="s">
        <v>813</v>
      </c>
      <c r="J138">
        <v>6.56</v>
      </c>
      <c r="K138" t="s">
        <v>313</v>
      </c>
      <c r="L138" s="67">
        <v>0.25</v>
      </c>
      <c r="N138" s="67">
        <v>0.04</v>
      </c>
      <c r="O138" s="68">
        <v>44117</v>
      </c>
      <c r="P138" s="68">
        <v>44117</v>
      </c>
      <c r="Q138" s="57">
        <v>34588887.389551818</v>
      </c>
      <c r="R138" t="s">
        <v>623</v>
      </c>
    </row>
    <row r="139" spans="1:18">
      <c r="A139">
        <v>1160</v>
      </c>
      <c r="B139" t="s">
        <v>953</v>
      </c>
      <c r="C139" t="s">
        <v>3</v>
      </c>
      <c r="D139" t="s">
        <v>949</v>
      </c>
      <c r="E139" t="s">
        <v>950</v>
      </c>
      <c r="I139" t="s">
        <v>813</v>
      </c>
      <c r="J139">
        <v>6.56</v>
      </c>
      <c r="K139" t="s">
        <v>313</v>
      </c>
      <c r="L139" s="67">
        <v>0.25</v>
      </c>
      <c r="N139" s="67">
        <v>0.04</v>
      </c>
      <c r="O139" s="68">
        <v>44118</v>
      </c>
      <c r="P139" s="68">
        <v>44118</v>
      </c>
      <c r="Q139" s="57">
        <v>33353031.830485154</v>
      </c>
      <c r="R139" t="s">
        <v>623</v>
      </c>
    </row>
    <row r="140" spans="1:18">
      <c r="A140">
        <v>1161</v>
      </c>
      <c r="B140" t="s">
        <v>956</v>
      </c>
      <c r="C140" t="s">
        <v>0</v>
      </c>
      <c r="D140" t="s">
        <v>954</v>
      </c>
      <c r="E140" t="s">
        <v>955</v>
      </c>
      <c r="I140" t="s">
        <v>24</v>
      </c>
      <c r="J140">
        <v>1.64</v>
      </c>
      <c r="K140" t="s">
        <v>313</v>
      </c>
      <c r="L140" s="67">
        <v>0.25</v>
      </c>
      <c r="N140" s="67">
        <v>0.05</v>
      </c>
      <c r="O140" s="68">
        <v>44119</v>
      </c>
      <c r="P140" s="68">
        <v>44119</v>
      </c>
      <c r="Q140" s="57">
        <v>12026575.665811917</v>
      </c>
      <c r="R140" t="s">
        <v>623</v>
      </c>
    </row>
    <row r="141" spans="1:18">
      <c r="A141">
        <v>1162</v>
      </c>
      <c r="B141" t="s">
        <v>957</v>
      </c>
      <c r="C141" t="s">
        <v>0</v>
      </c>
      <c r="D141" t="s">
        <v>954</v>
      </c>
      <c r="E141" t="s">
        <v>955</v>
      </c>
      <c r="I141" t="s">
        <v>24</v>
      </c>
      <c r="J141">
        <v>1.64</v>
      </c>
      <c r="K141" t="s">
        <v>313</v>
      </c>
      <c r="L141" s="67">
        <v>0.25</v>
      </c>
      <c r="N141" s="67">
        <v>0.05</v>
      </c>
      <c r="O141" s="68">
        <v>44119</v>
      </c>
      <c r="P141" s="68">
        <v>44119</v>
      </c>
      <c r="Q141" s="57">
        <v>11998575.665811915</v>
      </c>
      <c r="R141" t="s">
        <v>623</v>
      </c>
    </row>
    <row r="142" spans="1:18">
      <c r="A142">
        <v>1163</v>
      </c>
      <c r="B142" t="s">
        <v>960</v>
      </c>
      <c r="C142" t="s">
        <v>10</v>
      </c>
      <c r="D142" t="s">
        <v>958</v>
      </c>
      <c r="E142" t="s">
        <v>959</v>
      </c>
      <c r="I142" t="s">
        <v>24</v>
      </c>
      <c r="J142">
        <v>24.6</v>
      </c>
      <c r="K142" t="s">
        <v>313</v>
      </c>
      <c r="L142" s="67">
        <v>0.25</v>
      </c>
      <c r="N142" s="67">
        <v>0.03</v>
      </c>
      <c r="O142" s="68">
        <v>44120</v>
      </c>
      <c r="P142" s="68">
        <v>44120</v>
      </c>
      <c r="Q142" s="57">
        <v>105290082.24314062</v>
      </c>
      <c r="R142" t="s">
        <v>623</v>
      </c>
    </row>
    <row r="143" spans="1:18">
      <c r="A143">
        <v>1164</v>
      </c>
      <c r="B143" t="s">
        <v>961</v>
      </c>
      <c r="C143" t="s">
        <v>10</v>
      </c>
      <c r="D143" t="s">
        <v>958</v>
      </c>
      <c r="E143" t="s">
        <v>959</v>
      </c>
      <c r="I143" t="s">
        <v>24</v>
      </c>
      <c r="J143">
        <v>10.66</v>
      </c>
      <c r="K143" t="s">
        <v>313</v>
      </c>
      <c r="L143" s="67">
        <v>0.25</v>
      </c>
      <c r="N143" s="67">
        <v>0.03</v>
      </c>
      <c r="O143" s="68">
        <v>44120</v>
      </c>
      <c r="P143" s="68">
        <v>44120</v>
      </c>
      <c r="Q143" s="57">
        <v>50644227.126122832</v>
      </c>
      <c r="R143" t="s">
        <v>623</v>
      </c>
    </row>
    <row r="144" spans="1:18">
      <c r="A144">
        <v>1165</v>
      </c>
      <c r="B144" t="s">
        <v>962</v>
      </c>
      <c r="C144" t="s">
        <v>10</v>
      </c>
      <c r="D144" t="s">
        <v>958</v>
      </c>
      <c r="E144" t="s">
        <v>959</v>
      </c>
      <c r="I144" t="s">
        <v>24</v>
      </c>
      <c r="J144">
        <v>15.17</v>
      </c>
      <c r="K144" t="s">
        <v>313</v>
      </c>
      <c r="L144" s="67">
        <v>0.25</v>
      </c>
      <c r="N144" s="67">
        <v>0.03</v>
      </c>
      <c r="O144" s="68">
        <v>44120</v>
      </c>
      <c r="P144" s="68">
        <v>44120</v>
      </c>
      <c r="Q144" s="57">
        <v>64454412.092805058</v>
      </c>
      <c r="R144" t="s">
        <v>623</v>
      </c>
    </row>
    <row r="145" spans="1:18">
      <c r="A145">
        <v>1166</v>
      </c>
      <c r="B145" t="s">
        <v>963</v>
      </c>
      <c r="C145" t="s">
        <v>10</v>
      </c>
      <c r="D145" t="s">
        <v>958</v>
      </c>
      <c r="E145" t="s">
        <v>959</v>
      </c>
      <c r="I145" t="s">
        <v>24</v>
      </c>
      <c r="J145">
        <v>11.89</v>
      </c>
      <c r="K145" t="s">
        <v>313</v>
      </c>
      <c r="L145" s="67">
        <v>0.25</v>
      </c>
      <c r="N145" s="67">
        <v>0.03</v>
      </c>
      <c r="O145" s="68">
        <v>44120</v>
      </c>
      <c r="P145" s="68">
        <v>44120</v>
      </c>
      <c r="Q145" s="57">
        <v>53978797.469036169</v>
      </c>
      <c r="R145" t="s">
        <v>623</v>
      </c>
    </row>
    <row r="146" spans="1:18">
      <c r="A146">
        <v>1167</v>
      </c>
      <c r="B146" t="s">
        <v>964</v>
      </c>
      <c r="C146" t="s">
        <v>10</v>
      </c>
      <c r="D146" t="s">
        <v>958</v>
      </c>
      <c r="E146" t="s">
        <v>959</v>
      </c>
      <c r="I146" t="s">
        <v>24</v>
      </c>
      <c r="J146">
        <v>17.63</v>
      </c>
      <c r="K146" t="s">
        <v>313</v>
      </c>
      <c r="L146" s="67">
        <v>0.25</v>
      </c>
      <c r="N146" s="67">
        <v>0.03</v>
      </c>
      <c r="O146" s="68">
        <v>44120</v>
      </c>
      <c r="P146" s="68">
        <v>44120</v>
      </c>
      <c r="Q146" s="57">
        <v>72170302.36529839</v>
      </c>
      <c r="R146" t="s">
        <v>623</v>
      </c>
    </row>
    <row r="147" spans="1:18">
      <c r="A147">
        <v>1168</v>
      </c>
      <c r="B147" t="s">
        <v>965</v>
      </c>
      <c r="C147" t="s">
        <v>10</v>
      </c>
      <c r="D147" t="s">
        <v>958</v>
      </c>
      <c r="E147" t="s">
        <v>959</v>
      </c>
      <c r="I147" t="s">
        <v>24</v>
      </c>
      <c r="J147">
        <v>16.809999999999999</v>
      </c>
      <c r="K147" t="s">
        <v>313</v>
      </c>
      <c r="L147" s="67">
        <v>0.25</v>
      </c>
      <c r="N147" s="67">
        <v>0.03</v>
      </c>
      <c r="O147" s="68">
        <v>44120</v>
      </c>
      <c r="P147" s="68">
        <v>44120</v>
      </c>
      <c r="Q147" s="57">
        <v>69703694.496689498</v>
      </c>
      <c r="R147" t="s">
        <v>623</v>
      </c>
    </row>
    <row r="148" spans="1:18">
      <c r="A148">
        <v>1169</v>
      </c>
      <c r="B148" t="s">
        <v>968</v>
      </c>
      <c r="C148" t="s">
        <v>0</v>
      </c>
      <c r="D148" t="s">
        <v>967</v>
      </c>
      <c r="H148" t="s">
        <v>839</v>
      </c>
      <c r="I148" t="s">
        <v>715</v>
      </c>
      <c r="J148">
        <v>4</v>
      </c>
      <c r="K148" t="s">
        <v>554</v>
      </c>
      <c r="L148" s="67">
        <v>0.25</v>
      </c>
      <c r="N148" s="67">
        <v>0.03</v>
      </c>
      <c r="O148" s="68">
        <v>44123</v>
      </c>
      <c r="P148" s="68">
        <v>44133</v>
      </c>
      <c r="R148" t="s">
        <v>623</v>
      </c>
    </row>
    <row r="149" spans="1:18">
      <c r="A149">
        <v>1170</v>
      </c>
      <c r="B149" t="s">
        <v>970</v>
      </c>
      <c r="C149" t="s">
        <v>0</v>
      </c>
      <c r="D149" t="s">
        <v>967</v>
      </c>
      <c r="E149" t="s">
        <v>969</v>
      </c>
      <c r="J149">
        <v>4</v>
      </c>
      <c r="K149" t="s">
        <v>554</v>
      </c>
      <c r="L149" s="67">
        <v>0.25</v>
      </c>
      <c r="N149" s="67">
        <v>0.03</v>
      </c>
      <c r="O149" s="68">
        <v>44123</v>
      </c>
      <c r="P149" s="68">
        <v>44133</v>
      </c>
      <c r="R149" t="s">
        <v>623</v>
      </c>
    </row>
    <row r="150" spans="1:18">
      <c r="A150">
        <v>1171</v>
      </c>
      <c r="B150" t="s">
        <v>972</v>
      </c>
      <c r="C150" t="s">
        <v>10</v>
      </c>
      <c r="D150" t="s">
        <v>971</v>
      </c>
      <c r="E150" t="s">
        <v>845</v>
      </c>
      <c r="I150" t="s">
        <v>24</v>
      </c>
      <c r="J150">
        <v>0.79</v>
      </c>
      <c r="K150" t="s">
        <v>313</v>
      </c>
      <c r="L150" s="67">
        <v>0.25</v>
      </c>
      <c r="N150" s="67">
        <v>0.05</v>
      </c>
      <c r="O150" s="68">
        <v>44124</v>
      </c>
      <c r="P150" s="68">
        <v>44124</v>
      </c>
      <c r="Q150" s="57">
        <v>7076034.3700208031</v>
      </c>
      <c r="R150" t="s">
        <v>623</v>
      </c>
    </row>
    <row r="151" spans="1:18">
      <c r="A151">
        <v>1172</v>
      </c>
      <c r="B151" t="s">
        <v>973</v>
      </c>
      <c r="C151" t="s">
        <v>10</v>
      </c>
      <c r="D151" t="s">
        <v>971</v>
      </c>
      <c r="E151" t="s">
        <v>845</v>
      </c>
      <c r="I151" t="s">
        <v>24</v>
      </c>
      <c r="J151">
        <v>0.79</v>
      </c>
      <c r="K151" t="s">
        <v>313</v>
      </c>
      <c r="L151" s="67">
        <v>0.25</v>
      </c>
      <c r="N151" s="67">
        <v>0.05</v>
      </c>
      <c r="O151" s="68">
        <v>44124</v>
      </c>
      <c r="P151" s="68">
        <v>44124</v>
      </c>
      <c r="Q151" s="57">
        <v>7076034.3700208031</v>
      </c>
      <c r="R151" t="s">
        <v>623</v>
      </c>
    </row>
    <row r="152" spans="1:18">
      <c r="A152">
        <v>1173</v>
      </c>
      <c r="B152" t="s">
        <v>976</v>
      </c>
      <c r="C152" t="s">
        <v>7</v>
      </c>
      <c r="D152" t="s">
        <v>974</v>
      </c>
      <c r="E152" t="s">
        <v>975</v>
      </c>
      <c r="I152" t="s">
        <v>24</v>
      </c>
      <c r="J152">
        <v>3.28</v>
      </c>
      <c r="K152" t="s">
        <v>313</v>
      </c>
      <c r="L152" s="67">
        <v>0.25</v>
      </c>
      <c r="N152" s="67">
        <v>0</v>
      </c>
      <c r="O152" s="68">
        <v>44124</v>
      </c>
      <c r="P152" s="68">
        <v>44124</v>
      </c>
      <c r="Q152" s="57">
        <v>17410090.188182559</v>
      </c>
      <c r="R152" t="s">
        <v>623</v>
      </c>
    </row>
    <row r="153" spans="1:18">
      <c r="A153">
        <v>1174</v>
      </c>
      <c r="B153" t="s">
        <v>977</v>
      </c>
      <c r="C153" t="s">
        <v>7</v>
      </c>
      <c r="D153" t="s">
        <v>974</v>
      </c>
      <c r="E153" t="s">
        <v>975</v>
      </c>
      <c r="I153" t="s">
        <v>24</v>
      </c>
      <c r="J153">
        <v>0.82</v>
      </c>
      <c r="K153" t="s">
        <v>313</v>
      </c>
      <c r="L153" s="67">
        <v>0.25</v>
      </c>
      <c r="N153" s="67">
        <v>0</v>
      </c>
      <c r="O153" s="68">
        <v>44124</v>
      </c>
      <c r="P153" s="68">
        <v>44124</v>
      </c>
      <c r="Q153" s="57">
        <v>9426310.2453425582</v>
      </c>
      <c r="R153" t="s">
        <v>623</v>
      </c>
    </row>
    <row r="154" spans="1:18">
      <c r="A154">
        <v>1175</v>
      </c>
      <c r="B154" t="s">
        <v>979</v>
      </c>
      <c r="C154" t="s">
        <v>7</v>
      </c>
      <c r="D154" t="s">
        <v>978</v>
      </c>
      <c r="E154" t="s">
        <v>845</v>
      </c>
      <c r="I154" t="s">
        <v>24</v>
      </c>
      <c r="J154">
        <v>1.38</v>
      </c>
      <c r="K154" t="s">
        <v>313</v>
      </c>
      <c r="L154" s="67">
        <v>0.25</v>
      </c>
      <c r="N154" s="67">
        <v>0.05</v>
      </c>
      <c r="O154" s="68">
        <v>44125</v>
      </c>
      <c r="P154" s="68">
        <v>44125</v>
      </c>
      <c r="Q154" s="57">
        <v>10519698.999145247</v>
      </c>
      <c r="R154" t="s">
        <v>623</v>
      </c>
    </row>
    <row r="155" spans="1:18">
      <c r="A155">
        <v>1176</v>
      </c>
      <c r="B155" t="s">
        <v>981</v>
      </c>
      <c r="C155" t="s">
        <v>0</v>
      </c>
      <c r="D155" t="s">
        <v>66</v>
      </c>
      <c r="E155" t="s">
        <v>848</v>
      </c>
      <c r="H155" t="s">
        <v>980</v>
      </c>
      <c r="I155" t="s">
        <v>24</v>
      </c>
      <c r="J155">
        <v>3.69</v>
      </c>
      <c r="K155" t="s">
        <v>313</v>
      </c>
      <c r="L155" s="67">
        <v>0.25</v>
      </c>
      <c r="N155" s="67">
        <v>0.05</v>
      </c>
      <c r="O155" s="68">
        <v>44132</v>
      </c>
      <c r="P155" s="68">
        <v>44132</v>
      </c>
      <c r="Q155" s="57">
        <v>18342159.489289694</v>
      </c>
      <c r="R155" t="s">
        <v>623</v>
      </c>
    </row>
    <row r="156" spans="1:18">
      <c r="A156">
        <v>1177</v>
      </c>
      <c r="B156" t="s">
        <v>982</v>
      </c>
      <c r="C156" t="s">
        <v>0</v>
      </c>
      <c r="D156" t="s">
        <v>66</v>
      </c>
      <c r="E156" t="s">
        <v>848</v>
      </c>
      <c r="H156" t="s">
        <v>980</v>
      </c>
      <c r="I156" t="s">
        <v>24</v>
      </c>
      <c r="J156">
        <v>4.92</v>
      </c>
      <c r="K156" t="s">
        <v>313</v>
      </c>
      <c r="L156" s="67">
        <v>0.25</v>
      </c>
      <c r="N156" s="67">
        <v>0.05</v>
      </c>
      <c r="O156" s="68">
        <v>44132</v>
      </c>
      <c r="P156" s="68">
        <v>44132</v>
      </c>
      <c r="Q156" s="57">
        <v>25545744.891643025</v>
      </c>
      <c r="R156" t="s">
        <v>623</v>
      </c>
    </row>
    <row r="157" spans="1:18">
      <c r="A157">
        <v>1178</v>
      </c>
      <c r="B157" t="s">
        <v>983</v>
      </c>
      <c r="C157" t="s">
        <v>0</v>
      </c>
      <c r="D157" t="s">
        <v>66</v>
      </c>
      <c r="E157" t="s">
        <v>848</v>
      </c>
      <c r="H157" t="s">
        <v>980</v>
      </c>
      <c r="I157" t="s">
        <v>24</v>
      </c>
      <c r="J157">
        <v>4</v>
      </c>
      <c r="K157" t="s">
        <v>313</v>
      </c>
      <c r="L157" s="67">
        <v>0.25</v>
      </c>
      <c r="N157" s="67">
        <v>0.05</v>
      </c>
      <c r="O157" s="68">
        <v>44132</v>
      </c>
      <c r="P157" s="68">
        <v>44132</v>
      </c>
      <c r="Q157" s="57">
        <v>19440181.229851916</v>
      </c>
      <c r="R157" t="s">
        <v>623</v>
      </c>
    </row>
    <row r="158" spans="1:18">
      <c r="A158">
        <v>1179</v>
      </c>
      <c r="B158" t="s">
        <v>984</v>
      </c>
      <c r="C158" t="s">
        <v>0</v>
      </c>
      <c r="D158" t="s">
        <v>66</v>
      </c>
      <c r="E158" t="s">
        <v>848</v>
      </c>
      <c r="H158" t="s">
        <v>980</v>
      </c>
      <c r="I158" t="s">
        <v>24</v>
      </c>
      <c r="J158">
        <v>4</v>
      </c>
      <c r="K158" t="s">
        <v>313</v>
      </c>
      <c r="L158" s="67">
        <v>0.25</v>
      </c>
      <c r="N158" s="67">
        <v>0.05</v>
      </c>
      <c r="O158" s="68">
        <v>44132</v>
      </c>
      <c r="P158" s="68">
        <v>44132</v>
      </c>
      <c r="Q158" s="57">
        <v>19732847.896518584</v>
      </c>
      <c r="R158" t="s">
        <v>623</v>
      </c>
    </row>
    <row r="159" spans="1:18">
      <c r="A159">
        <v>1180</v>
      </c>
      <c r="B159" t="s">
        <v>987</v>
      </c>
      <c r="C159" t="s">
        <v>7</v>
      </c>
      <c r="D159" t="s">
        <v>985</v>
      </c>
      <c r="E159" t="s">
        <v>986</v>
      </c>
      <c r="I159" t="s">
        <v>24</v>
      </c>
      <c r="J159">
        <v>1.64</v>
      </c>
      <c r="K159" t="s">
        <v>313</v>
      </c>
      <c r="L159" s="67">
        <v>0.25</v>
      </c>
      <c r="N159" s="67">
        <v>0.05</v>
      </c>
      <c r="O159" s="68">
        <v>44132</v>
      </c>
      <c r="P159" s="68">
        <v>44132</v>
      </c>
      <c r="Q159" s="57">
        <v>12118568.999145247</v>
      </c>
      <c r="R159" t="s">
        <v>623</v>
      </c>
    </row>
    <row r="160" spans="1:18">
      <c r="A160">
        <v>1181</v>
      </c>
      <c r="B160" t="s">
        <v>990</v>
      </c>
      <c r="C160" t="s">
        <v>7</v>
      </c>
      <c r="D160" t="s">
        <v>988</v>
      </c>
      <c r="E160" t="s">
        <v>989</v>
      </c>
      <c r="I160" t="s">
        <v>24</v>
      </c>
      <c r="J160">
        <v>54.94</v>
      </c>
      <c r="K160" t="s">
        <v>313</v>
      </c>
      <c r="L160" s="67">
        <v>0.25</v>
      </c>
      <c r="N160" s="67">
        <v>0.03</v>
      </c>
      <c r="O160" s="68">
        <v>44139</v>
      </c>
      <c r="P160" s="68">
        <v>44139</v>
      </c>
      <c r="Q160" s="57">
        <v>206007995.29581147</v>
      </c>
      <c r="R160" t="s">
        <v>623</v>
      </c>
    </row>
    <row r="161" spans="1:18">
      <c r="A161">
        <v>1182</v>
      </c>
      <c r="B161" t="s">
        <v>991</v>
      </c>
      <c r="C161" t="s">
        <v>7</v>
      </c>
      <c r="D161" t="s">
        <v>988</v>
      </c>
      <c r="E161" t="s">
        <v>989</v>
      </c>
      <c r="I161" t="s">
        <v>24</v>
      </c>
      <c r="J161">
        <v>54.94</v>
      </c>
      <c r="K161" t="s">
        <v>313</v>
      </c>
      <c r="L161" s="67">
        <v>0.25</v>
      </c>
      <c r="N161" s="67">
        <v>0.03</v>
      </c>
      <c r="O161" s="68">
        <v>44140</v>
      </c>
      <c r="P161" s="68">
        <v>44140</v>
      </c>
      <c r="Q161" s="57">
        <v>206007995.29581147</v>
      </c>
      <c r="R161" t="s">
        <v>623</v>
      </c>
    </row>
    <row r="162" spans="1:18">
      <c r="A162">
        <v>1183</v>
      </c>
      <c r="B162" t="s">
        <v>995</v>
      </c>
      <c r="C162" t="s">
        <v>0</v>
      </c>
      <c r="D162" t="s">
        <v>992</v>
      </c>
      <c r="E162" t="s">
        <v>993</v>
      </c>
      <c r="I162" t="s">
        <v>994</v>
      </c>
      <c r="J162">
        <v>0.69</v>
      </c>
      <c r="K162" t="s">
        <v>313</v>
      </c>
      <c r="L162" s="67">
        <v>0.25</v>
      </c>
      <c r="N162" s="67">
        <v>0.03</v>
      </c>
      <c r="O162" s="68">
        <v>44143</v>
      </c>
      <c r="P162" s="68">
        <v>44143</v>
      </c>
      <c r="Q162" s="57">
        <v>11657425.896075336</v>
      </c>
      <c r="R162" t="s">
        <v>623</v>
      </c>
    </row>
    <row r="163" spans="1:18">
      <c r="A163">
        <v>1184</v>
      </c>
      <c r="B163" t="s">
        <v>996</v>
      </c>
      <c r="C163" t="s">
        <v>0</v>
      </c>
      <c r="D163" t="s">
        <v>992</v>
      </c>
      <c r="E163" t="s">
        <v>993</v>
      </c>
      <c r="I163" t="s">
        <v>994</v>
      </c>
      <c r="J163">
        <v>0.69</v>
      </c>
      <c r="K163" t="s">
        <v>313</v>
      </c>
      <c r="L163" s="67">
        <v>0.25</v>
      </c>
      <c r="N163" s="67">
        <v>0.03</v>
      </c>
      <c r="O163" s="68">
        <v>44143</v>
      </c>
      <c r="P163" s="68">
        <v>44143</v>
      </c>
      <c r="Q163" s="57">
        <v>12582336.092742005</v>
      </c>
      <c r="R163" t="s">
        <v>623</v>
      </c>
    </row>
    <row r="164" spans="1:18">
      <c r="A164">
        <v>1185</v>
      </c>
      <c r="B164" t="s">
        <v>997</v>
      </c>
      <c r="C164" t="s">
        <v>0</v>
      </c>
      <c r="D164" t="s">
        <v>967</v>
      </c>
      <c r="E164" t="s">
        <v>969</v>
      </c>
      <c r="J164">
        <v>2</v>
      </c>
      <c r="K164" t="s">
        <v>554</v>
      </c>
      <c r="L164" s="67">
        <v>0.25</v>
      </c>
      <c r="N164" s="67">
        <v>0.03</v>
      </c>
      <c r="O164" s="68">
        <v>44143</v>
      </c>
      <c r="P164" s="68">
        <v>44153</v>
      </c>
      <c r="R164" t="s">
        <v>623</v>
      </c>
    </row>
    <row r="165" spans="1:18">
      <c r="A165">
        <v>1186</v>
      </c>
      <c r="B165" t="s">
        <v>1001</v>
      </c>
      <c r="C165" t="s">
        <v>0</v>
      </c>
      <c r="D165" t="s">
        <v>998</v>
      </c>
      <c r="E165" t="s">
        <v>999</v>
      </c>
      <c r="I165" t="s">
        <v>1000</v>
      </c>
      <c r="J165">
        <v>2.76</v>
      </c>
      <c r="K165" t="s">
        <v>313</v>
      </c>
      <c r="L165" s="67">
        <v>0.25</v>
      </c>
      <c r="N165" s="67">
        <v>0.05</v>
      </c>
      <c r="O165" s="68">
        <v>44143</v>
      </c>
      <c r="P165" s="68">
        <v>44143</v>
      </c>
      <c r="Q165" s="57">
        <v>18254875.916813023</v>
      </c>
      <c r="R165" t="s">
        <v>623</v>
      </c>
    </row>
    <row r="166" spans="1:18">
      <c r="A166">
        <v>1187</v>
      </c>
      <c r="B166" t="s">
        <v>1004</v>
      </c>
      <c r="C166" t="s">
        <v>0</v>
      </c>
      <c r="D166" t="s">
        <v>1002</v>
      </c>
      <c r="E166" t="s">
        <v>1003</v>
      </c>
      <c r="I166" t="s">
        <v>24</v>
      </c>
      <c r="J166">
        <v>3.28</v>
      </c>
      <c r="K166" t="s">
        <v>313</v>
      </c>
      <c r="L166" s="67">
        <v>0.25</v>
      </c>
      <c r="N166" s="67">
        <v>0</v>
      </c>
      <c r="O166" s="68">
        <v>44147</v>
      </c>
      <c r="P166" s="68">
        <v>44147</v>
      </c>
      <c r="Q166" s="57">
        <v>17479786.854849227</v>
      </c>
      <c r="R166" t="s">
        <v>623</v>
      </c>
    </row>
    <row r="167" spans="1:18">
      <c r="A167">
        <v>1188</v>
      </c>
      <c r="B167" t="s">
        <v>1005</v>
      </c>
      <c r="C167" t="s">
        <v>0</v>
      </c>
      <c r="D167" t="s">
        <v>967</v>
      </c>
      <c r="E167" t="s">
        <v>969</v>
      </c>
      <c r="J167">
        <v>4.4000000000000004</v>
      </c>
      <c r="K167" t="s">
        <v>554</v>
      </c>
      <c r="L167" s="67">
        <v>0.25</v>
      </c>
      <c r="N167" s="67">
        <v>0.03</v>
      </c>
      <c r="O167" s="68">
        <v>44147</v>
      </c>
      <c r="P167" s="68">
        <v>44157</v>
      </c>
      <c r="R167" t="s">
        <v>623</v>
      </c>
    </row>
    <row r="168" spans="1:18">
      <c r="A168">
        <v>1189</v>
      </c>
      <c r="B168" t="s">
        <v>1006</v>
      </c>
      <c r="C168" t="s">
        <v>0</v>
      </c>
      <c r="D168" t="s">
        <v>1002</v>
      </c>
      <c r="E168" t="s">
        <v>1003</v>
      </c>
      <c r="I168" t="s">
        <v>24</v>
      </c>
      <c r="J168">
        <v>3.28</v>
      </c>
      <c r="K168" t="s">
        <v>313</v>
      </c>
      <c r="L168" s="67">
        <v>0.25</v>
      </c>
      <c r="N168" s="67">
        <v>0</v>
      </c>
      <c r="O168" s="68">
        <v>44147</v>
      </c>
      <c r="P168" s="68">
        <v>44147</v>
      </c>
      <c r="Q168" s="57">
        <v>17479786.854849227</v>
      </c>
      <c r="R168" t="s">
        <v>623</v>
      </c>
    </row>
    <row r="169" spans="1:18">
      <c r="A169">
        <v>1190</v>
      </c>
      <c r="B169" t="s">
        <v>1009</v>
      </c>
      <c r="C169" t="s">
        <v>0</v>
      </c>
      <c r="D169" t="s">
        <v>1007</v>
      </c>
      <c r="E169" t="s">
        <v>1008</v>
      </c>
      <c r="J169">
        <v>4.8</v>
      </c>
      <c r="K169" t="s">
        <v>554</v>
      </c>
      <c r="L169" s="67">
        <v>0.25</v>
      </c>
      <c r="N169" s="67">
        <v>0.03</v>
      </c>
      <c r="O169" s="68">
        <v>44152</v>
      </c>
      <c r="P169" s="68">
        <v>44162</v>
      </c>
      <c r="R169" t="s">
        <v>623</v>
      </c>
    </row>
    <row r="170" spans="1:18">
      <c r="A170">
        <v>1191</v>
      </c>
      <c r="B170" t="s">
        <v>1013</v>
      </c>
      <c r="C170" t="s">
        <v>0</v>
      </c>
      <c r="D170" t="s">
        <v>1010</v>
      </c>
      <c r="E170" t="s">
        <v>1011</v>
      </c>
      <c r="I170" t="s">
        <v>1012</v>
      </c>
      <c r="J170">
        <v>2.76</v>
      </c>
      <c r="K170" t="s">
        <v>313</v>
      </c>
      <c r="L170" s="67">
        <v>0.25</v>
      </c>
      <c r="M170" t="s">
        <v>406</v>
      </c>
      <c r="N170" s="67">
        <v>0.05</v>
      </c>
      <c r="O170" s="68">
        <v>44170</v>
      </c>
      <c r="P170" s="68">
        <v>44170</v>
      </c>
      <c r="Q170" s="57">
        <v>16803601.376729693</v>
      </c>
      <c r="R170" t="s">
        <v>623</v>
      </c>
    </row>
    <row r="171" spans="1:18">
      <c r="A171">
        <v>1192</v>
      </c>
      <c r="B171" t="s">
        <v>1017</v>
      </c>
      <c r="C171" t="s">
        <v>0</v>
      </c>
      <c r="D171" t="s">
        <v>873</v>
      </c>
      <c r="E171" t="s">
        <v>1014</v>
      </c>
      <c r="I171" t="s">
        <v>1015</v>
      </c>
      <c r="J171">
        <v>4.0999999999999996</v>
      </c>
      <c r="K171" t="s">
        <v>313</v>
      </c>
      <c r="L171" s="67">
        <v>0.25</v>
      </c>
      <c r="M171" t="s">
        <v>1016</v>
      </c>
      <c r="N171" s="67">
        <v>0.03</v>
      </c>
      <c r="O171" s="68">
        <v>44174</v>
      </c>
      <c r="P171" s="68">
        <v>44174</v>
      </c>
      <c r="Q171" s="57">
        <v>23424777.933473952</v>
      </c>
      <c r="R171" t="s">
        <v>623</v>
      </c>
    </row>
    <row r="172" spans="1:18">
      <c r="A172">
        <v>1193</v>
      </c>
      <c r="B172" t="s">
        <v>1020</v>
      </c>
      <c r="C172" t="s">
        <v>0</v>
      </c>
      <c r="D172" t="s">
        <v>1018</v>
      </c>
      <c r="E172" t="s">
        <v>562</v>
      </c>
      <c r="I172" t="s">
        <v>1015</v>
      </c>
      <c r="J172">
        <v>1.84</v>
      </c>
      <c r="K172" t="s">
        <v>313</v>
      </c>
      <c r="L172" s="67">
        <v>0.25</v>
      </c>
      <c r="M172" t="s">
        <v>1019</v>
      </c>
      <c r="N172" s="67">
        <v>0.03</v>
      </c>
      <c r="O172" s="68">
        <v>44186</v>
      </c>
      <c r="P172" s="68">
        <v>44186</v>
      </c>
      <c r="Q172" s="57">
        <v>12354167.422091726</v>
      </c>
      <c r="R172" t="s">
        <v>623</v>
      </c>
    </row>
    <row r="173" spans="1:18">
      <c r="A173">
        <v>1194</v>
      </c>
      <c r="B173" t="s">
        <v>1021</v>
      </c>
      <c r="C173" t="s">
        <v>0</v>
      </c>
      <c r="D173" t="s">
        <v>1018</v>
      </c>
      <c r="E173" t="s">
        <v>562</v>
      </c>
      <c r="I173" t="s">
        <v>1015</v>
      </c>
      <c r="J173">
        <v>2.76</v>
      </c>
      <c r="K173" t="s">
        <v>313</v>
      </c>
      <c r="L173" s="67">
        <v>0.25</v>
      </c>
      <c r="M173" t="s">
        <v>1019</v>
      </c>
      <c r="N173" s="67">
        <v>0.03</v>
      </c>
      <c r="O173" s="68">
        <v>44186</v>
      </c>
      <c r="P173" s="68">
        <v>44186</v>
      </c>
      <c r="Q173" s="57">
        <v>15633115.040700614</v>
      </c>
      <c r="R173" t="s">
        <v>623</v>
      </c>
    </row>
    <row r="174" spans="1:18">
      <c r="A174">
        <v>1195</v>
      </c>
      <c r="B174" t="s">
        <v>1024</v>
      </c>
      <c r="C174" t="s">
        <v>7</v>
      </c>
      <c r="D174" t="s">
        <v>1022</v>
      </c>
      <c r="E174" t="s">
        <v>1023</v>
      </c>
      <c r="I174" t="s">
        <v>715</v>
      </c>
      <c r="J174">
        <v>16.559999999999999</v>
      </c>
      <c r="K174" t="s">
        <v>313</v>
      </c>
      <c r="L174" s="67">
        <v>0.25</v>
      </c>
      <c r="N174" s="67">
        <v>0</v>
      </c>
      <c r="O174" s="68">
        <v>44198</v>
      </c>
      <c r="P174" s="68">
        <v>44198</v>
      </c>
      <c r="Q174" s="57">
        <v>63598342.960898668</v>
      </c>
      <c r="R174" t="s">
        <v>748</v>
      </c>
    </row>
    <row r="175" spans="1:18">
      <c r="A175">
        <v>1196</v>
      </c>
      <c r="B175" t="s">
        <v>1031</v>
      </c>
      <c r="C175" t="s">
        <v>7</v>
      </c>
      <c r="D175" t="s">
        <v>1027</v>
      </c>
      <c r="E175" t="s">
        <v>1028</v>
      </c>
      <c r="I175" t="s">
        <v>1026</v>
      </c>
      <c r="J175">
        <v>12.88</v>
      </c>
      <c r="K175" t="s">
        <v>313</v>
      </c>
      <c r="L175" s="67">
        <v>0.25</v>
      </c>
      <c r="N175" s="67">
        <v>0</v>
      </c>
      <c r="O175" s="68">
        <v>44207</v>
      </c>
      <c r="P175" s="68">
        <v>44207</v>
      </c>
      <c r="Q175" s="57">
        <v>62101461.130236104</v>
      </c>
      <c r="R175" t="s">
        <v>748</v>
      </c>
    </row>
    <row r="176" spans="1:18">
      <c r="A176">
        <v>1197</v>
      </c>
      <c r="B176" t="s">
        <v>1032</v>
      </c>
      <c r="C176" t="s">
        <v>7</v>
      </c>
      <c r="D176" t="s">
        <v>1027</v>
      </c>
      <c r="E176" t="s">
        <v>1028</v>
      </c>
      <c r="I176" t="s">
        <v>1026</v>
      </c>
      <c r="J176">
        <v>12.88</v>
      </c>
      <c r="K176" t="s">
        <v>313</v>
      </c>
      <c r="L176" s="67">
        <v>0.25</v>
      </c>
      <c r="N176" s="67">
        <v>0</v>
      </c>
      <c r="O176" s="68">
        <v>44208</v>
      </c>
      <c r="P176" s="68">
        <v>44208</v>
      </c>
      <c r="Q176" s="57">
        <v>60082097.721702769</v>
      </c>
      <c r="R176" t="s">
        <v>748</v>
      </c>
    </row>
    <row r="177" spans="1:18">
      <c r="A177">
        <v>1198</v>
      </c>
      <c r="B177" t="s">
        <v>1043</v>
      </c>
      <c r="C177" t="s">
        <v>7</v>
      </c>
      <c r="D177" t="s">
        <v>1041</v>
      </c>
      <c r="E177" t="s">
        <v>1042</v>
      </c>
      <c r="I177" t="s">
        <v>24</v>
      </c>
      <c r="J177">
        <v>12.42</v>
      </c>
      <c r="K177" t="s">
        <v>313</v>
      </c>
      <c r="L177" s="67">
        <v>0.2</v>
      </c>
      <c r="N177" s="67">
        <v>0</v>
      </c>
      <c r="O177" s="68">
        <v>44215</v>
      </c>
      <c r="P177" s="68">
        <v>44215</v>
      </c>
      <c r="Q177" s="57">
        <v>41124257.316492185</v>
      </c>
      <c r="R177" t="s">
        <v>748</v>
      </c>
    </row>
    <row r="178" spans="1:18">
      <c r="A178">
        <v>1199</v>
      </c>
      <c r="B178" t="s">
        <v>1047</v>
      </c>
      <c r="C178" t="s">
        <v>0</v>
      </c>
      <c r="D178" t="s">
        <v>1044</v>
      </c>
      <c r="E178" t="s">
        <v>1045</v>
      </c>
      <c r="I178" t="s">
        <v>1046</v>
      </c>
      <c r="J178">
        <v>9.66</v>
      </c>
      <c r="K178" t="s">
        <v>313</v>
      </c>
      <c r="L178" s="67">
        <v>0.25</v>
      </c>
      <c r="N178" s="67">
        <v>0</v>
      </c>
      <c r="O178" s="68">
        <v>44215</v>
      </c>
      <c r="P178" s="68">
        <v>44215</v>
      </c>
      <c r="Q178" s="57">
        <v>37801272.12905208</v>
      </c>
      <c r="R178" t="s">
        <v>748</v>
      </c>
    </row>
    <row r="179" spans="1:18">
      <c r="A179">
        <v>1200</v>
      </c>
      <c r="B179" t="s">
        <v>1051</v>
      </c>
      <c r="C179" t="s">
        <v>0</v>
      </c>
      <c r="D179" t="s">
        <v>1048</v>
      </c>
      <c r="E179" t="s">
        <v>1049</v>
      </c>
      <c r="I179" t="s">
        <v>1050</v>
      </c>
      <c r="J179">
        <v>94</v>
      </c>
      <c r="K179" t="s">
        <v>313</v>
      </c>
      <c r="L179" s="67">
        <v>0.25</v>
      </c>
      <c r="N179" s="67">
        <v>0</v>
      </c>
      <c r="O179" s="68">
        <v>44215</v>
      </c>
      <c r="P179" s="68">
        <v>44215</v>
      </c>
      <c r="R179" t="s">
        <v>748</v>
      </c>
    </row>
    <row r="180" spans="1:18">
      <c r="A180">
        <v>1201</v>
      </c>
      <c r="B180" t="s">
        <v>1056</v>
      </c>
      <c r="C180" t="s">
        <v>0</v>
      </c>
      <c r="D180" t="s">
        <v>1054</v>
      </c>
      <c r="I180" t="s">
        <v>1055</v>
      </c>
      <c r="J180">
        <v>9</v>
      </c>
      <c r="K180" t="s">
        <v>313</v>
      </c>
      <c r="L180" s="67">
        <v>0.2</v>
      </c>
      <c r="N180" s="67">
        <v>0</v>
      </c>
      <c r="O180" s="68">
        <v>44222</v>
      </c>
      <c r="P180" s="68">
        <v>44222</v>
      </c>
      <c r="R180" t="s">
        <v>748</v>
      </c>
    </row>
    <row r="181" spans="1:18">
      <c r="A181">
        <v>1202</v>
      </c>
      <c r="B181" t="s">
        <v>1059</v>
      </c>
      <c r="C181" t="s">
        <v>0</v>
      </c>
      <c r="D181" t="s">
        <v>1057</v>
      </c>
      <c r="I181" t="s">
        <v>1058</v>
      </c>
      <c r="J181">
        <v>8</v>
      </c>
      <c r="K181" t="s">
        <v>313</v>
      </c>
      <c r="L181" s="67">
        <v>0.2</v>
      </c>
      <c r="N181" s="67">
        <v>0</v>
      </c>
      <c r="O181" s="68">
        <v>44222</v>
      </c>
      <c r="P181" s="68">
        <v>44222</v>
      </c>
      <c r="R181" t="s">
        <v>748</v>
      </c>
    </row>
    <row r="182" spans="1:18">
      <c r="A182">
        <v>1203</v>
      </c>
      <c r="B182" t="s">
        <v>1062</v>
      </c>
      <c r="C182" t="s">
        <v>0</v>
      </c>
      <c r="D182" t="s">
        <v>1060</v>
      </c>
      <c r="I182" t="s">
        <v>1061</v>
      </c>
      <c r="J182">
        <v>16</v>
      </c>
      <c r="K182" t="s">
        <v>313</v>
      </c>
      <c r="L182" s="67">
        <v>0.2</v>
      </c>
      <c r="N182" s="67">
        <v>0</v>
      </c>
      <c r="O182" s="68">
        <v>44222</v>
      </c>
      <c r="P182" s="68">
        <v>44222</v>
      </c>
      <c r="R182" t="s">
        <v>748</v>
      </c>
    </row>
    <row r="183" spans="1:18">
      <c r="A183">
        <v>1204</v>
      </c>
      <c r="B183" t="s">
        <v>1064</v>
      </c>
      <c r="C183" t="s">
        <v>10</v>
      </c>
      <c r="D183" t="s">
        <v>1063</v>
      </c>
      <c r="I183" t="s">
        <v>715</v>
      </c>
      <c r="J183">
        <v>79</v>
      </c>
      <c r="K183" t="s">
        <v>313</v>
      </c>
      <c r="L183" s="67">
        <v>0.25</v>
      </c>
      <c r="N183" s="67">
        <v>0</v>
      </c>
      <c r="O183" s="68">
        <v>44224</v>
      </c>
      <c r="P183" s="68">
        <v>44224</v>
      </c>
      <c r="R183" t="s">
        <v>748</v>
      </c>
    </row>
    <row r="184" spans="1:18">
      <c r="A184">
        <v>1205</v>
      </c>
      <c r="B184" t="s">
        <v>1065</v>
      </c>
      <c r="C184" t="s">
        <v>10</v>
      </c>
      <c r="D184" t="s">
        <v>1063</v>
      </c>
      <c r="I184" t="s">
        <v>715</v>
      </c>
      <c r="J184">
        <v>80</v>
      </c>
      <c r="K184" t="s">
        <v>313</v>
      </c>
      <c r="L184" s="67">
        <v>0.25</v>
      </c>
      <c r="N184" s="67">
        <v>0</v>
      </c>
      <c r="O184" s="68">
        <v>44224</v>
      </c>
      <c r="P184" s="68">
        <v>44224</v>
      </c>
      <c r="R184" t="s">
        <v>748</v>
      </c>
    </row>
    <row r="185" spans="1:18">
      <c r="A185">
        <v>1206</v>
      </c>
      <c r="B185" t="s">
        <v>1070</v>
      </c>
      <c r="C185" t="s">
        <v>0</v>
      </c>
      <c r="D185" t="s">
        <v>1066</v>
      </c>
      <c r="I185" t="s">
        <v>1069</v>
      </c>
      <c r="J185">
        <v>10</v>
      </c>
      <c r="K185" t="s">
        <v>313</v>
      </c>
      <c r="L185" s="67">
        <v>0.25</v>
      </c>
      <c r="N185" s="67">
        <v>0</v>
      </c>
      <c r="O185" s="68">
        <v>44224</v>
      </c>
      <c r="P185" s="68">
        <v>44224</v>
      </c>
      <c r="R185" t="s">
        <v>748</v>
      </c>
    </row>
    <row r="186" spans="1:18">
      <c r="A186">
        <v>1207</v>
      </c>
      <c r="B186" t="s">
        <v>1072</v>
      </c>
      <c r="C186" t="s">
        <v>0</v>
      </c>
      <c r="D186" t="s">
        <v>1071</v>
      </c>
      <c r="I186" t="s">
        <v>715</v>
      </c>
      <c r="J186">
        <v>44</v>
      </c>
      <c r="K186" t="s">
        <v>313</v>
      </c>
      <c r="L186" s="67">
        <v>0.25</v>
      </c>
      <c r="N186" s="67">
        <v>0</v>
      </c>
      <c r="O186" s="68">
        <v>44225</v>
      </c>
      <c r="P186" s="68">
        <v>44225</v>
      </c>
      <c r="R186" t="s">
        <v>748</v>
      </c>
    </row>
    <row r="187" spans="1:18">
      <c r="A187">
        <v>1208</v>
      </c>
      <c r="B187" t="s">
        <v>1073</v>
      </c>
      <c r="C187" t="s">
        <v>0</v>
      </c>
      <c r="D187" t="s">
        <v>1071</v>
      </c>
      <c r="I187" t="s">
        <v>715</v>
      </c>
      <c r="J187">
        <v>44</v>
      </c>
      <c r="K187" t="s">
        <v>313</v>
      </c>
      <c r="L187" s="67">
        <v>0.25</v>
      </c>
      <c r="N187" s="67">
        <v>0</v>
      </c>
      <c r="O187" s="68">
        <v>44225</v>
      </c>
      <c r="P187" s="68">
        <v>44225</v>
      </c>
      <c r="R187" t="s">
        <v>748</v>
      </c>
    </row>
    <row r="188" spans="1:18">
      <c r="A188">
        <v>1209</v>
      </c>
      <c r="B188" t="s">
        <v>1078</v>
      </c>
      <c r="C188" t="s">
        <v>0</v>
      </c>
      <c r="D188" t="s">
        <v>1076</v>
      </c>
      <c r="E188" t="s">
        <v>1077</v>
      </c>
      <c r="I188" t="s">
        <v>1074</v>
      </c>
      <c r="J188">
        <v>4</v>
      </c>
      <c r="K188" t="s">
        <v>313</v>
      </c>
      <c r="L188" s="67">
        <v>0.25</v>
      </c>
      <c r="O188" s="68">
        <v>44232</v>
      </c>
      <c r="P188" s="68">
        <v>44232</v>
      </c>
      <c r="R188" t="s">
        <v>1075</v>
      </c>
    </row>
    <row r="189" spans="1:18">
      <c r="A189">
        <v>1210</v>
      </c>
      <c r="B189" t="s">
        <v>1081</v>
      </c>
      <c r="C189" t="s">
        <v>7</v>
      </c>
      <c r="D189" t="s">
        <v>1080</v>
      </c>
      <c r="I189" t="s">
        <v>24</v>
      </c>
      <c r="J189">
        <v>43</v>
      </c>
      <c r="K189" t="s">
        <v>313</v>
      </c>
      <c r="L189" s="67">
        <v>0.22</v>
      </c>
      <c r="O189" s="68">
        <v>44235</v>
      </c>
      <c r="P189" s="68">
        <v>44235</v>
      </c>
      <c r="R189" t="s">
        <v>748</v>
      </c>
    </row>
    <row r="190" spans="1:18">
      <c r="A190">
        <v>1211</v>
      </c>
      <c r="B190" t="s">
        <v>1083</v>
      </c>
      <c r="C190" t="s">
        <v>7</v>
      </c>
      <c r="D190" t="s">
        <v>1082</v>
      </c>
      <c r="I190" t="s">
        <v>24</v>
      </c>
      <c r="J190">
        <v>34</v>
      </c>
      <c r="K190" t="s">
        <v>313</v>
      </c>
      <c r="L190" s="67">
        <v>0.25</v>
      </c>
      <c r="O190" s="68">
        <v>44235</v>
      </c>
      <c r="P190" s="68">
        <v>44235</v>
      </c>
      <c r="R190" t="s">
        <v>748</v>
      </c>
    </row>
    <row r="191" spans="1:18">
      <c r="A191">
        <v>1212</v>
      </c>
      <c r="B191" t="s">
        <v>1084</v>
      </c>
      <c r="C191" t="s">
        <v>7</v>
      </c>
      <c r="D191" t="s">
        <v>1082</v>
      </c>
      <c r="I191" t="s">
        <v>24</v>
      </c>
      <c r="J191">
        <v>36</v>
      </c>
      <c r="K191" t="s">
        <v>313</v>
      </c>
      <c r="L191" s="67">
        <v>0.25</v>
      </c>
      <c r="O191" s="68">
        <v>44235</v>
      </c>
      <c r="P191" s="68">
        <v>44235</v>
      </c>
      <c r="R191" t="s">
        <v>748</v>
      </c>
    </row>
    <row r="192" spans="1:18">
      <c r="A192">
        <v>1213</v>
      </c>
      <c r="B192" t="s">
        <v>1088</v>
      </c>
      <c r="C192" t="s">
        <v>7</v>
      </c>
      <c r="D192" t="s">
        <v>1085</v>
      </c>
      <c r="E192" t="s">
        <v>1086</v>
      </c>
      <c r="I192" t="s">
        <v>1058</v>
      </c>
      <c r="J192">
        <v>60</v>
      </c>
      <c r="K192" t="s">
        <v>313</v>
      </c>
      <c r="L192" s="67">
        <v>0.2</v>
      </c>
      <c r="O192" s="68">
        <v>44235</v>
      </c>
      <c r="P192" s="68">
        <v>44235</v>
      </c>
      <c r="R192" t="s">
        <v>748</v>
      </c>
    </row>
    <row r="193" spans="1:18">
      <c r="A193">
        <v>1214</v>
      </c>
      <c r="B193" t="s">
        <v>1091</v>
      </c>
      <c r="C193" t="s">
        <v>7</v>
      </c>
      <c r="D193" t="s">
        <v>1085</v>
      </c>
      <c r="E193" t="s">
        <v>1089</v>
      </c>
      <c r="I193" t="s">
        <v>1058</v>
      </c>
      <c r="J193">
        <v>80</v>
      </c>
      <c r="K193" t="s">
        <v>313</v>
      </c>
      <c r="L193" s="67">
        <v>0.2</v>
      </c>
      <c r="O193" s="68">
        <v>44235</v>
      </c>
      <c r="P193" s="68">
        <v>44235</v>
      </c>
      <c r="R193" t="s">
        <v>748</v>
      </c>
    </row>
    <row r="194" spans="1:18">
      <c r="A194">
        <v>1215</v>
      </c>
      <c r="B194" t="s">
        <v>1092</v>
      </c>
      <c r="C194" t="s">
        <v>7</v>
      </c>
      <c r="D194" t="s">
        <v>1085</v>
      </c>
      <c r="E194" t="s">
        <v>1089</v>
      </c>
      <c r="I194" t="s">
        <v>1058</v>
      </c>
      <c r="J194">
        <v>383</v>
      </c>
      <c r="K194" t="s">
        <v>313</v>
      </c>
      <c r="L194" s="67">
        <v>0.2</v>
      </c>
      <c r="O194" s="68">
        <v>44235</v>
      </c>
      <c r="P194" s="68">
        <v>44235</v>
      </c>
      <c r="R194" t="s">
        <v>748</v>
      </c>
    </row>
    <row r="195" spans="1:18">
      <c r="A195">
        <v>1216</v>
      </c>
      <c r="B195" t="s">
        <v>1094</v>
      </c>
      <c r="C195" t="s">
        <v>7</v>
      </c>
      <c r="D195" t="s">
        <v>1085</v>
      </c>
      <c r="E195" t="s">
        <v>1093</v>
      </c>
      <c r="I195" t="s">
        <v>1058</v>
      </c>
      <c r="J195">
        <v>349</v>
      </c>
      <c r="K195" t="s">
        <v>313</v>
      </c>
      <c r="L195" s="67">
        <v>0.2</v>
      </c>
      <c r="O195" s="68">
        <v>44236</v>
      </c>
      <c r="P195" s="68">
        <v>44236</v>
      </c>
      <c r="R195" t="s">
        <v>748</v>
      </c>
    </row>
    <row r="196" spans="1:18">
      <c r="A196">
        <v>1217</v>
      </c>
      <c r="B196" t="s">
        <v>1096</v>
      </c>
      <c r="C196" t="s">
        <v>7</v>
      </c>
      <c r="D196" t="s">
        <v>1085</v>
      </c>
      <c r="E196" t="s">
        <v>1093</v>
      </c>
      <c r="I196" t="s">
        <v>1058</v>
      </c>
      <c r="J196">
        <v>249</v>
      </c>
      <c r="K196" t="s">
        <v>313</v>
      </c>
      <c r="L196" s="67">
        <v>0.2</v>
      </c>
      <c r="O196" s="68">
        <v>44236</v>
      </c>
      <c r="P196" s="68">
        <v>44236</v>
      </c>
      <c r="R196" t="s">
        <v>748</v>
      </c>
    </row>
    <row r="197" spans="1:18">
      <c r="A197">
        <v>1218</v>
      </c>
      <c r="B197" t="s">
        <v>1098</v>
      </c>
      <c r="C197" t="s">
        <v>0</v>
      </c>
      <c r="D197" t="s">
        <v>1097</v>
      </c>
      <c r="I197" t="s">
        <v>133</v>
      </c>
      <c r="J197">
        <v>4</v>
      </c>
      <c r="K197" t="s">
        <v>313</v>
      </c>
      <c r="L197" s="67">
        <v>0.25</v>
      </c>
      <c r="O197" s="68">
        <v>44236</v>
      </c>
      <c r="P197" s="68">
        <v>44236</v>
      </c>
      <c r="R197" t="s">
        <v>748</v>
      </c>
    </row>
    <row r="198" spans="1:18">
      <c r="A198">
        <v>1219</v>
      </c>
      <c r="B198" t="s">
        <v>1099</v>
      </c>
      <c r="C198" t="s">
        <v>0</v>
      </c>
      <c r="D198" t="s">
        <v>1097</v>
      </c>
      <c r="I198" t="s">
        <v>133</v>
      </c>
      <c r="J198">
        <v>6</v>
      </c>
      <c r="K198" t="s">
        <v>313</v>
      </c>
      <c r="L198" s="67">
        <v>0.25</v>
      </c>
      <c r="O198" s="68">
        <v>44236</v>
      </c>
      <c r="P198" s="68">
        <v>44236</v>
      </c>
      <c r="R198" t="s">
        <v>748</v>
      </c>
    </row>
    <row r="199" spans="1:18">
      <c r="A199">
        <v>1220</v>
      </c>
      <c r="B199" t="s">
        <v>1101</v>
      </c>
      <c r="C199" t="s">
        <v>0</v>
      </c>
      <c r="D199" t="s">
        <v>1100</v>
      </c>
      <c r="I199" t="s">
        <v>24</v>
      </c>
      <c r="J199">
        <v>24</v>
      </c>
      <c r="K199" t="s">
        <v>313</v>
      </c>
      <c r="L199" s="67">
        <v>0.25</v>
      </c>
      <c r="O199" s="68">
        <v>44237</v>
      </c>
      <c r="P199" s="68">
        <v>44237</v>
      </c>
      <c r="R199" t="s">
        <v>748</v>
      </c>
    </row>
    <row r="200" spans="1:18">
      <c r="A200">
        <v>1221</v>
      </c>
      <c r="B200" t="s">
        <v>1104</v>
      </c>
      <c r="C200" t="s">
        <v>7</v>
      </c>
      <c r="D200" t="s">
        <v>1102</v>
      </c>
      <c r="E200" t="s">
        <v>1103</v>
      </c>
      <c r="I200" t="s">
        <v>867</v>
      </c>
      <c r="J200">
        <v>24</v>
      </c>
      <c r="K200" t="s">
        <v>313</v>
      </c>
      <c r="L200" s="67">
        <v>0.25</v>
      </c>
      <c r="O200" s="68">
        <v>44237</v>
      </c>
      <c r="P200" s="68">
        <v>44237</v>
      </c>
      <c r="R200" t="s">
        <v>748</v>
      </c>
    </row>
    <row r="201" spans="1:18">
      <c r="A201">
        <v>1222</v>
      </c>
      <c r="B201" t="s">
        <v>1107</v>
      </c>
      <c r="C201" t="s">
        <v>7</v>
      </c>
      <c r="D201" t="s">
        <v>1105</v>
      </c>
      <c r="E201" t="s">
        <v>1106</v>
      </c>
      <c r="I201" t="s">
        <v>1012</v>
      </c>
      <c r="J201">
        <v>8</v>
      </c>
      <c r="K201" t="s">
        <v>313</v>
      </c>
      <c r="L201" s="67">
        <v>0.25</v>
      </c>
      <c r="N201" s="67">
        <v>0.06</v>
      </c>
      <c r="O201" s="68">
        <v>44238</v>
      </c>
      <c r="P201" s="68">
        <v>44238</v>
      </c>
      <c r="R201" t="s">
        <v>748</v>
      </c>
    </row>
    <row r="202" spans="1:18">
      <c r="A202">
        <v>1223</v>
      </c>
      <c r="B202" t="s">
        <v>1109</v>
      </c>
      <c r="C202" t="s">
        <v>7</v>
      </c>
      <c r="D202" t="s">
        <v>873</v>
      </c>
      <c r="E202" t="s">
        <v>1108</v>
      </c>
      <c r="I202" t="s">
        <v>1012</v>
      </c>
      <c r="J202">
        <v>18</v>
      </c>
      <c r="K202" t="s">
        <v>313</v>
      </c>
      <c r="L202" s="67">
        <v>0.25</v>
      </c>
      <c r="N202" s="67">
        <v>0</v>
      </c>
      <c r="O202" s="68">
        <v>44238</v>
      </c>
      <c r="P202" s="68">
        <v>44238</v>
      </c>
      <c r="R202" t="s">
        <v>748</v>
      </c>
    </row>
    <row r="203" spans="1:18">
      <c r="A203">
        <v>1224</v>
      </c>
      <c r="B203" t="s">
        <v>1110</v>
      </c>
      <c r="C203" t="s">
        <v>7</v>
      </c>
      <c r="D203" t="s">
        <v>873</v>
      </c>
      <c r="E203" t="s">
        <v>1108</v>
      </c>
      <c r="I203" t="s">
        <v>1012</v>
      </c>
      <c r="J203">
        <v>12</v>
      </c>
      <c r="K203" t="s">
        <v>313</v>
      </c>
      <c r="L203" s="67">
        <v>0.25</v>
      </c>
      <c r="N203" s="67">
        <v>0.04</v>
      </c>
      <c r="O203" s="68">
        <v>44239</v>
      </c>
      <c r="P203" s="68">
        <v>44239</v>
      </c>
      <c r="R203" t="s">
        <v>748</v>
      </c>
    </row>
    <row r="204" spans="1:18">
      <c r="A204">
        <v>1225</v>
      </c>
      <c r="B204" t="s">
        <v>1111</v>
      </c>
      <c r="C204" t="s">
        <v>7</v>
      </c>
      <c r="D204" t="s">
        <v>873</v>
      </c>
      <c r="E204" t="s">
        <v>1108</v>
      </c>
      <c r="I204" t="s">
        <v>1012</v>
      </c>
      <c r="J204">
        <v>10</v>
      </c>
      <c r="K204" t="s">
        <v>313</v>
      </c>
      <c r="L204" s="67">
        <v>0.25</v>
      </c>
      <c r="N204" s="67">
        <v>0</v>
      </c>
      <c r="O204" s="68">
        <v>44239</v>
      </c>
      <c r="P204" s="68">
        <v>44239</v>
      </c>
      <c r="R204" t="s">
        <v>748</v>
      </c>
    </row>
    <row r="205" spans="1:18">
      <c r="A205">
        <v>1226</v>
      </c>
      <c r="B205" t="s">
        <v>1113</v>
      </c>
      <c r="C205" t="s">
        <v>7</v>
      </c>
      <c r="D205" t="s">
        <v>1010</v>
      </c>
      <c r="E205" t="s">
        <v>1112</v>
      </c>
      <c r="I205" t="s">
        <v>1012</v>
      </c>
      <c r="J205">
        <v>10</v>
      </c>
      <c r="K205" t="s">
        <v>313</v>
      </c>
      <c r="L205" s="67">
        <v>0.24</v>
      </c>
      <c r="N205" s="67">
        <v>0.05</v>
      </c>
      <c r="O205" s="68">
        <v>44243</v>
      </c>
      <c r="P205" s="68">
        <v>44243</v>
      </c>
      <c r="R205" t="s">
        <v>748</v>
      </c>
    </row>
    <row r="206" spans="1:18">
      <c r="A206">
        <v>1227</v>
      </c>
      <c r="B206" t="s">
        <v>1114</v>
      </c>
      <c r="C206" t="s">
        <v>7</v>
      </c>
      <c r="D206" t="s">
        <v>1010</v>
      </c>
      <c r="E206" t="s">
        <v>1112</v>
      </c>
      <c r="I206" t="s">
        <v>1012</v>
      </c>
      <c r="J206">
        <v>10</v>
      </c>
      <c r="K206" t="s">
        <v>313</v>
      </c>
      <c r="L206" s="67">
        <v>0.24</v>
      </c>
      <c r="N206" s="67">
        <v>0</v>
      </c>
      <c r="O206" s="68">
        <v>44243</v>
      </c>
      <c r="P206" s="68">
        <v>44243</v>
      </c>
      <c r="R206" t="s">
        <v>748</v>
      </c>
    </row>
    <row r="207" spans="1:18">
      <c r="A207">
        <v>1228</v>
      </c>
      <c r="B207" t="s">
        <v>1118</v>
      </c>
      <c r="C207" t="s">
        <v>7</v>
      </c>
      <c r="D207" t="s">
        <v>1116</v>
      </c>
      <c r="I207" t="s">
        <v>1117</v>
      </c>
      <c r="J207">
        <v>41</v>
      </c>
      <c r="K207" t="s">
        <v>313</v>
      </c>
      <c r="L207" s="67">
        <v>0.25</v>
      </c>
      <c r="N207" s="67">
        <v>0</v>
      </c>
      <c r="O207" s="68">
        <v>44244</v>
      </c>
      <c r="P207" s="68">
        <v>44244</v>
      </c>
      <c r="R207" t="s">
        <v>748</v>
      </c>
    </row>
    <row r="208" spans="1:18">
      <c r="A208">
        <v>1229</v>
      </c>
      <c r="B208" t="s">
        <v>1120</v>
      </c>
      <c r="C208" t="s">
        <v>7</v>
      </c>
      <c r="D208" t="s">
        <v>1119</v>
      </c>
      <c r="I208" t="s">
        <v>24</v>
      </c>
      <c r="J208">
        <v>24</v>
      </c>
      <c r="K208" t="s">
        <v>313</v>
      </c>
      <c r="L208" s="67">
        <v>0.2</v>
      </c>
      <c r="N208" s="67">
        <v>0</v>
      </c>
      <c r="O208" s="68">
        <v>44246</v>
      </c>
      <c r="P208" s="68">
        <v>44246</v>
      </c>
      <c r="R208" t="s">
        <v>748</v>
      </c>
    </row>
    <row r="209" spans="1:18">
      <c r="A209">
        <v>1230</v>
      </c>
      <c r="B209" t="s">
        <v>1132</v>
      </c>
      <c r="C209" t="s">
        <v>7</v>
      </c>
      <c r="D209" t="s">
        <v>1131</v>
      </c>
      <c r="I209" t="s">
        <v>1058</v>
      </c>
      <c r="K209" t="s">
        <v>313</v>
      </c>
      <c r="L209" s="67">
        <v>0.2</v>
      </c>
      <c r="N209" s="67">
        <v>0</v>
      </c>
      <c r="O209" s="68">
        <v>44271</v>
      </c>
      <c r="P209" s="68">
        <v>44271</v>
      </c>
      <c r="R209" t="s">
        <v>748</v>
      </c>
    </row>
    <row r="210" spans="1:18">
      <c r="A210">
        <v>1231</v>
      </c>
      <c r="B210" t="s">
        <v>1135</v>
      </c>
      <c r="C210" t="s">
        <v>7</v>
      </c>
      <c r="D210" t="s">
        <v>1133</v>
      </c>
      <c r="I210" t="s">
        <v>1134</v>
      </c>
      <c r="K210" t="s">
        <v>313</v>
      </c>
      <c r="L210" s="67">
        <v>0.25</v>
      </c>
      <c r="N210" s="67">
        <v>0</v>
      </c>
      <c r="O210" s="68">
        <v>44274</v>
      </c>
      <c r="P210" s="68">
        <v>44274</v>
      </c>
      <c r="R210" t="s">
        <v>748</v>
      </c>
    </row>
    <row r="211" spans="1:18">
      <c r="A211">
        <v>1232</v>
      </c>
      <c r="B211" t="s">
        <v>1138</v>
      </c>
      <c r="C211" t="s">
        <v>7</v>
      </c>
      <c r="D211" t="s">
        <v>1137</v>
      </c>
      <c r="E211" t="s">
        <v>1136</v>
      </c>
      <c r="I211" t="s">
        <v>1136</v>
      </c>
      <c r="K211" t="s">
        <v>313</v>
      </c>
      <c r="L211" s="67">
        <v>0.25</v>
      </c>
      <c r="N211" s="67">
        <v>0.05</v>
      </c>
      <c r="O211" s="68">
        <v>44278</v>
      </c>
      <c r="P211" s="68">
        <v>44278</v>
      </c>
      <c r="R211" t="s">
        <v>748</v>
      </c>
    </row>
    <row r="212" spans="1:18">
      <c r="A212">
        <v>1233</v>
      </c>
      <c r="B212" t="s">
        <v>1140</v>
      </c>
      <c r="C212" t="s">
        <v>0</v>
      </c>
      <c r="D212" t="s">
        <v>1139</v>
      </c>
      <c r="I212" t="s">
        <v>1058</v>
      </c>
      <c r="K212" t="s">
        <v>313</v>
      </c>
      <c r="L212" s="67">
        <v>0.2</v>
      </c>
      <c r="N212" s="67">
        <v>0</v>
      </c>
      <c r="O212" s="68">
        <v>44279</v>
      </c>
      <c r="P212" s="68">
        <v>44279</v>
      </c>
      <c r="R212" t="s">
        <v>748</v>
      </c>
    </row>
    <row r="213" spans="1:18">
      <c r="A213">
        <v>1234</v>
      </c>
      <c r="B213" t="s">
        <v>1141</v>
      </c>
      <c r="C213" t="s">
        <v>0</v>
      </c>
      <c r="D213" t="s">
        <v>1139</v>
      </c>
      <c r="I213" t="s">
        <v>1058</v>
      </c>
      <c r="K213" t="s">
        <v>313</v>
      </c>
      <c r="L213" s="67">
        <v>0.2</v>
      </c>
      <c r="N213" s="67">
        <v>0</v>
      </c>
      <c r="O213" s="68">
        <v>44279</v>
      </c>
      <c r="P213" s="68">
        <v>44279</v>
      </c>
      <c r="R213" t="s">
        <v>748</v>
      </c>
    </row>
    <row r="214" spans="1:18">
      <c r="A214">
        <v>1235</v>
      </c>
      <c r="B214" t="s">
        <v>1144</v>
      </c>
      <c r="C214" t="s">
        <v>0</v>
      </c>
      <c r="D214" t="s">
        <v>1142</v>
      </c>
      <c r="E214" t="s">
        <v>1143</v>
      </c>
      <c r="I214" t="s">
        <v>24</v>
      </c>
      <c r="K214" t="s">
        <v>313</v>
      </c>
      <c r="L214" s="67">
        <v>0.25</v>
      </c>
      <c r="N214" s="67">
        <v>0</v>
      </c>
      <c r="O214" s="68">
        <v>44281</v>
      </c>
      <c r="P214" s="68">
        <v>44281</v>
      </c>
      <c r="R214" t="s">
        <v>748</v>
      </c>
    </row>
    <row r="215" spans="1:18">
      <c r="A215">
        <v>1236</v>
      </c>
      <c r="B215" t="s">
        <v>1147</v>
      </c>
      <c r="C215" t="s">
        <v>7</v>
      </c>
      <c r="D215" t="s">
        <v>1044</v>
      </c>
      <c r="E215" t="s">
        <v>1145</v>
      </c>
      <c r="I215" t="s">
        <v>1146</v>
      </c>
      <c r="K215" t="s">
        <v>313</v>
      </c>
      <c r="L215" s="67">
        <v>0.25</v>
      </c>
      <c r="N215" s="67">
        <v>0</v>
      </c>
      <c r="O215" s="68">
        <v>44290</v>
      </c>
      <c r="P215" s="68">
        <v>44290</v>
      </c>
      <c r="R215" t="s">
        <v>748</v>
      </c>
    </row>
    <row r="216" spans="1:18">
      <c r="A216">
        <v>1237</v>
      </c>
      <c r="B216" t="s">
        <v>1150</v>
      </c>
      <c r="C216" t="s">
        <v>0</v>
      </c>
      <c r="D216" t="s">
        <v>1148</v>
      </c>
      <c r="E216" t="s">
        <v>1149</v>
      </c>
      <c r="I216" t="s">
        <v>24</v>
      </c>
      <c r="K216" t="s">
        <v>313</v>
      </c>
      <c r="L216" s="67">
        <v>0.25</v>
      </c>
      <c r="N216" s="67">
        <v>0</v>
      </c>
      <c r="O216" s="68">
        <v>44290</v>
      </c>
      <c r="P216" s="68">
        <v>44290</v>
      </c>
      <c r="R216" t="s">
        <v>748</v>
      </c>
    </row>
    <row r="217" spans="1:18">
      <c r="A217">
        <v>1238</v>
      </c>
      <c r="B217" t="s">
        <v>1153</v>
      </c>
      <c r="C217" t="s">
        <v>7</v>
      </c>
      <c r="D217" t="s">
        <v>1151</v>
      </c>
      <c r="I217" t="s">
        <v>715</v>
      </c>
      <c r="K217" t="s">
        <v>313</v>
      </c>
      <c r="L217" s="67">
        <v>0.24</v>
      </c>
      <c r="M217" t="s">
        <v>1152</v>
      </c>
      <c r="N217" s="67">
        <v>0.05</v>
      </c>
      <c r="O217" s="68">
        <v>44290</v>
      </c>
      <c r="P217" s="68">
        <v>44290</v>
      </c>
      <c r="R217" t="s">
        <v>748</v>
      </c>
    </row>
    <row r="218" spans="1:18">
      <c r="A218">
        <v>1239</v>
      </c>
      <c r="B218" t="s">
        <v>1155</v>
      </c>
      <c r="C218" t="s">
        <v>7</v>
      </c>
      <c r="D218" t="s">
        <v>1154</v>
      </c>
      <c r="E218">
        <v>11573930</v>
      </c>
      <c r="I218" t="s">
        <v>24</v>
      </c>
      <c r="K218" t="s">
        <v>313</v>
      </c>
      <c r="L218" s="67">
        <v>0.24</v>
      </c>
      <c r="M218" t="s">
        <v>406</v>
      </c>
      <c r="N218" s="67">
        <v>0.05</v>
      </c>
      <c r="O218" s="68">
        <v>44290</v>
      </c>
      <c r="P218" s="68">
        <v>44290</v>
      </c>
      <c r="R218" t="s">
        <v>748</v>
      </c>
    </row>
    <row r="219" spans="1:18">
      <c r="A219">
        <v>1240</v>
      </c>
      <c r="B219" t="s">
        <v>1156</v>
      </c>
      <c r="C219" t="s">
        <v>7</v>
      </c>
      <c r="D219" t="s">
        <v>1154</v>
      </c>
      <c r="E219">
        <v>12094498</v>
      </c>
      <c r="I219" t="s">
        <v>24</v>
      </c>
      <c r="K219" t="s">
        <v>313</v>
      </c>
      <c r="L219" s="67">
        <v>0.24</v>
      </c>
      <c r="M219" t="s">
        <v>406</v>
      </c>
      <c r="N219" s="67">
        <v>0.05</v>
      </c>
      <c r="O219" s="68">
        <v>44290</v>
      </c>
      <c r="P219" s="68">
        <v>44290</v>
      </c>
      <c r="R219" t="s">
        <v>748</v>
      </c>
    </row>
    <row r="220" spans="1:18">
      <c r="A220">
        <v>1241</v>
      </c>
      <c r="B220" t="s">
        <v>1157</v>
      </c>
      <c r="C220" t="s">
        <v>7</v>
      </c>
      <c r="D220" t="s">
        <v>1154</v>
      </c>
      <c r="E220">
        <v>4015050</v>
      </c>
      <c r="I220" t="s">
        <v>24</v>
      </c>
      <c r="K220" t="s">
        <v>313</v>
      </c>
      <c r="L220" s="67">
        <v>0.24</v>
      </c>
      <c r="M220" t="s">
        <v>406</v>
      </c>
      <c r="N220" s="67">
        <v>0.05</v>
      </c>
      <c r="O220" s="68">
        <v>44290</v>
      </c>
      <c r="P220" s="68">
        <v>44290</v>
      </c>
      <c r="R220" t="s">
        <v>748</v>
      </c>
    </row>
    <row r="221" spans="1:18">
      <c r="A221">
        <v>1242</v>
      </c>
      <c r="B221" t="s">
        <v>1160</v>
      </c>
      <c r="C221" t="s">
        <v>7</v>
      </c>
      <c r="D221" t="s">
        <v>1158</v>
      </c>
      <c r="E221">
        <v>511587</v>
      </c>
      <c r="I221" t="s">
        <v>753</v>
      </c>
      <c r="K221" t="s">
        <v>313</v>
      </c>
      <c r="L221" s="67">
        <v>0.24</v>
      </c>
      <c r="M221" t="s">
        <v>406</v>
      </c>
      <c r="N221" s="67">
        <v>0.05</v>
      </c>
      <c r="O221" s="68">
        <v>44290</v>
      </c>
      <c r="P221" s="68">
        <v>44290</v>
      </c>
      <c r="R221" t="s">
        <v>748</v>
      </c>
    </row>
    <row r="222" spans="1:18">
      <c r="A222">
        <v>1243</v>
      </c>
      <c r="B222" t="s">
        <v>1161</v>
      </c>
      <c r="C222" t="s">
        <v>7</v>
      </c>
      <c r="D222" t="s">
        <v>1158</v>
      </c>
      <c r="E222">
        <v>511587</v>
      </c>
      <c r="I222" t="s">
        <v>753</v>
      </c>
      <c r="K222" t="s">
        <v>313</v>
      </c>
      <c r="L222" s="67">
        <v>0.24</v>
      </c>
      <c r="M222" t="s">
        <v>406</v>
      </c>
      <c r="N222" s="67">
        <v>0.05</v>
      </c>
      <c r="O222" s="68">
        <v>44290</v>
      </c>
      <c r="P222" s="68">
        <v>44290</v>
      </c>
      <c r="R222" t="s">
        <v>748</v>
      </c>
    </row>
    <row r="223" spans="1:18">
      <c r="A223">
        <v>1244</v>
      </c>
      <c r="B223" t="s">
        <v>1162</v>
      </c>
      <c r="C223" t="s">
        <v>7</v>
      </c>
      <c r="D223" t="s">
        <v>1158</v>
      </c>
      <c r="E223">
        <v>2249759</v>
      </c>
      <c r="I223" t="s">
        <v>753</v>
      </c>
      <c r="K223" t="s">
        <v>313</v>
      </c>
      <c r="L223" s="67">
        <v>0.24</v>
      </c>
      <c r="M223" t="s">
        <v>406</v>
      </c>
      <c r="N223" s="67">
        <v>0.05</v>
      </c>
      <c r="O223" s="68">
        <v>44290</v>
      </c>
      <c r="P223" s="68">
        <v>44290</v>
      </c>
      <c r="R223" t="s">
        <v>748</v>
      </c>
    </row>
    <row r="224" spans="1:18">
      <c r="A224">
        <v>1245</v>
      </c>
      <c r="B224" t="s">
        <v>1168</v>
      </c>
      <c r="C224" t="s">
        <v>7</v>
      </c>
      <c r="D224" t="s">
        <v>1167</v>
      </c>
      <c r="I224" t="s">
        <v>1058</v>
      </c>
      <c r="J224">
        <v>2827924.8019766742</v>
      </c>
      <c r="K224" t="s">
        <v>313</v>
      </c>
      <c r="L224" s="67">
        <v>0.2</v>
      </c>
      <c r="N224" s="67">
        <v>0</v>
      </c>
      <c r="O224" s="68">
        <v>44301</v>
      </c>
      <c r="P224" s="68">
        <v>44301</v>
      </c>
      <c r="R224" t="s">
        <v>748</v>
      </c>
    </row>
    <row r="225" spans="1:18">
      <c r="A225">
        <v>1246</v>
      </c>
      <c r="B225" t="s">
        <v>1171</v>
      </c>
      <c r="C225" t="s">
        <v>7</v>
      </c>
      <c r="D225" t="s">
        <v>1169</v>
      </c>
      <c r="I225" t="s">
        <v>1170</v>
      </c>
      <c r="J225">
        <v>4205530.8557576332</v>
      </c>
      <c r="K225" t="s">
        <v>313</v>
      </c>
      <c r="L225" s="67">
        <v>0.2</v>
      </c>
      <c r="N225" s="67">
        <v>0</v>
      </c>
      <c r="O225" s="68">
        <v>44302</v>
      </c>
      <c r="P225" s="68">
        <v>44302</v>
      </c>
      <c r="R225" t="s">
        <v>748</v>
      </c>
    </row>
    <row r="226" spans="1:18">
      <c r="A226">
        <v>1247</v>
      </c>
      <c r="B226" t="s">
        <v>1174</v>
      </c>
      <c r="C226" t="s">
        <v>7</v>
      </c>
      <c r="D226" t="s">
        <v>1172</v>
      </c>
      <c r="E226" t="s">
        <v>1173</v>
      </c>
      <c r="I226" t="s">
        <v>1172</v>
      </c>
      <c r="K226" t="s">
        <v>313</v>
      </c>
      <c r="L226" s="67">
        <v>0.2</v>
      </c>
      <c r="N226" s="67">
        <v>0</v>
      </c>
      <c r="O226" s="68">
        <v>44304</v>
      </c>
      <c r="P226" s="68">
        <v>44304</v>
      </c>
      <c r="R226" t="s">
        <v>748</v>
      </c>
    </row>
    <row r="227" spans="1:18">
      <c r="A227">
        <v>1248</v>
      </c>
      <c r="B227" t="s">
        <v>1176</v>
      </c>
      <c r="C227" t="s">
        <v>7</v>
      </c>
      <c r="D227" t="s">
        <v>1085</v>
      </c>
      <c r="E227" t="s">
        <v>1175</v>
      </c>
      <c r="I227">
        <v>0</v>
      </c>
      <c r="J227">
        <v>3376629.9370549913</v>
      </c>
      <c r="K227" t="s">
        <v>313</v>
      </c>
      <c r="L227" s="67">
        <v>0.2</v>
      </c>
      <c r="N227" s="67">
        <v>0</v>
      </c>
      <c r="O227" s="68">
        <v>44310</v>
      </c>
      <c r="P227" s="68">
        <v>44310</v>
      </c>
      <c r="R227" t="s">
        <v>748</v>
      </c>
    </row>
    <row r="228" spans="1:18">
      <c r="A228">
        <v>1249</v>
      </c>
      <c r="B228" t="s">
        <v>1179</v>
      </c>
      <c r="C228" t="s">
        <v>7</v>
      </c>
      <c r="D228" t="s">
        <v>1177</v>
      </c>
      <c r="E228" t="s">
        <v>1178</v>
      </c>
      <c r="I228">
        <v>0</v>
      </c>
      <c r="J228">
        <v>3135460.7532789218</v>
      </c>
      <c r="K228" t="s">
        <v>313</v>
      </c>
      <c r="L228" s="67">
        <v>0.2</v>
      </c>
      <c r="N228" s="67">
        <v>0</v>
      </c>
      <c r="O228" s="68">
        <v>44310</v>
      </c>
      <c r="P228" s="68">
        <v>44310</v>
      </c>
      <c r="R228" t="s">
        <v>748</v>
      </c>
    </row>
    <row r="229" spans="1:18">
      <c r="A229">
        <v>1250</v>
      </c>
      <c r="B229" t="s">
        <v>1182</v>
      </c>
      <c r="C229" t="s">
        <v>7</v>
      </c>
      <c r="D229" t="s">
        <v>1180</v>
      </c>
      <c r="E229" t="s">
        <v>1181</v>
      </c>
      <c r="I229" t="s">
        <v>938</v>
      </c>
      <c r="J229">
        <v>5600210.5701873982</v>
      </c>
      <c r="K229" t="s">
        <v>313</v>
      </c>
      <c r="L229" s="67">
        <v>0.2</v>
      </c>
      <c r="N229" s="67">
        <v>0</v>
      </c>
      <c r="O229" s="68">
        <v>44310</v>
      </c>
      <c r="P229" s="68">
        <v>44310</v>
      </c>
      <c r="R229" t="s">
        <v>748</v>
      </c>
    </row>
    <row r="230" spans="1:18">
      <c r="A230">
        <v>1251</v>
      </c>
      <c r="B230" t="s">
        <v>1185</v>
      </c>
      <c r="C230" t="s">
        <v>7</v>
      </c>
      <c r="D230" t="s">
        <v>1183</v>
      </c>
      <c r="E230" t="s">
        <v>1184</v>
      </c>
      <c r="I230" t="s">
        <v>24</v>
      </c>
      <c r="J230">
        <v>3994737.2541838866</v>
      </c>
      <c r="K230" t="s">
        <v>313</v>
      </c>
      <c r="L230" s="67">
        <v>0.24</v>
      </c>
      <c r="N230" s="67">
        <v>0.05</v>
      </c>
      <c r="O230" s="68">
        <v>44319</v>
      </c>
      <c r="P230" s="68">
        <v>44319</v>
      </c>
      <c r="R230" t="s">
        <v>748</v>
      </c>
    </row>
    <row r="231" spans="1:18">
      <c r="A231">
        <v>1252</v>
      </c>
      <c r="B231" t="s">
        <v>1187</v>
      </c>
      <c r="C231" t="s">
        <v>7</v>
      </c>
      <c r="D231" t="s">
        <v>1183</v>
      </c>
      <c r="E231" t="s">
        <v>1186</v>
      </c>
      <c r="I231" t="s">
        <v>24</v>
      </c>
      <c r="J231">
        <v>3796857.8640437392</v>
      </c>
      <c r="K231" t="s">
        <v>313</v>
      </c>
      <c r="L231" s="67">
        <v>0.24</v>
      </c>
      <c r="N231" s="67">
        <v>0.05</v>
      </c>
      <c r="O231" s="68">
        <v>44319</v>
      </c>
      <c r="P231" s="68">
        <v>44319</v>
      </c>
      <c r="R231" t="s">
        <v>748</v>
      </c>
    </row>
    <row r="232" spans="1:18">
      <c r="A232">
        <v>1253</v>
      </c>
      <c r="B232" t="s">
        <v>1190</v>
      </c>
      <c r="C232" t="s">
        <v>7</v>
      </c>
      <c r="D232" t="s">
        <v>1188</v>
      </c>
      <c r="E232" t="s">
        <v>1189</v>
      </c>
      <c r="I232" t="s">
        <v>24</v>
      </c>
      <c r="J232">
        <v>3370137.4584434801</v>
      </c>
      <c r="K232" t="s">
        <v>313</v>
      </c>
      <c r="L232" s="67">
        <v>0.24</v>
      </c>
      <c r="N232" s="67">
        <v>0.05</v>
      </c>
      <c r="O232" s="68">
        <v>44319</v>
      </c>
      <c r="P232" s="68">
        <v>44319</v>
      </c>
      <c r="R232" t="s">
        <v>748</v>
      </c>
    </row>
    <row r="233" spans="1:18">
      <c r="A233">
        <v>1254</v>
      </c>
      <c r="B233" t="s">
        <v>1198</v>
      </c>
      <c r="C233" t="s">
        <v>0</v>
      </c>
      <c r="D233" t="s">
        <v>1197</v>
      </c>
      <c r="I233" t="s">
        <v>1046</v>
      </c>
      <c r="J233">
        <v>5550666.9521000003</v>
      </c>
      <c r="K233" t="s">
        <v>313</v>
      </c>
      <c r="L233" s="67">
        <v>0.25</v>
      </c>
      <c r="N233" s="67">
        <v>0</v>
      </c>
      <c r="O233" s="68">
        <v>44321</v>
      </c>
      <c r="P233" s="68">
        <v>44321</v>
      </c>
      <c r="R233" t="s">
        <v>748</v>
      </c>
    </row>
    <row r="234" spans="1:18">
      <c r="A234">
        <v>1255</v>
      </c>
      <c r="B234" t="s">
        <v>1200</v>
      </c>
      <c r="C234" t="s">
        <v>3</v>
      </c>
      <c r="D234" t="s">
        <v>1199</v>
      </c>
      <c r="I234" t="s">
        <v>135</v>
      </c>
      <c r="J234">
        <v>4151836.6880000001</v>
      </c>
      <c r="K234" t="s">
        <v>313</v>
      </c>
      <c r="L234" s="67">
        <v>0.25</v>
      </c>
      <c r="N234" s="67">
        <v>0</v>
      </c>
      <c r="O234" s="68">
        <v>44322</v>
      </c>
      <c r="P234" s="68">
        <v>44322</v>
      </c>
      <c r="R234" t="s">
        <v>748</v>
      </c>
    </row>
    <row r="235" spans="1:18">
      <c r="A235">
        <v>1256</v>
      </c>
      <c r="B235" t="s">
        <v>1203</v>
      </c>
      <c r="C235" t="s">
        <v>7</v>
      </c>
      <c r="D235" t="s">
        <v>1201</v>
      </c>
      <c r="E235" t="s">
        <v>1202</v>
      </c>
      <c r="I235" t="s">
        <v>135</v>
      </c>
      <c r="J235">
        <v>3225800.9912</v>
      </c>
      <c r="K235" t="s">
        <v>313</v>
      </c>
      <c r="L235" s="67">
        <v>0.2</v>
      </c>
      <c r="N235" s="67">
        <v>0</v>
      </c>
      <c r="O235" s="68">
        <v>44323</v>
      </c>
      <c r="P235" s="68">
        <v>44323</v>
      </c>
      <c r="Q235" s="57">
        <v>3158.1514999999999</v>
      </c>
      <c r="R235" t="s">
        <v>748</v>
      </c>
    </row>
    <row r="236" spans="1:18">
      <c r="A236">
        <v>1257</v>
      </c>
      <c r="B236" t="s">
        <v>1205</v>
      </c>
      <c r="C236" t="s">
        <v>7</v>
      </c>
      <c r="D236" t="s">
        <v>1201</v>
      </c>
      <c r="E236" t="s">
        <v>1204</v>
      </c>
      <c r="I236" t="s">
        <v>135</v>
      </c>
      <c r="J236">
        <v>3325105.3758</v>
      </c>
      <c r="K236" t="s">
        <v>313</v>
      </c>
      <c r="L236" s="67">
        <v>0.2</v>
      </c>
      <c r="N236" s="67">
        <v>0</v>
      </c>
      <c r="O236" s="68">
        <v>44323</v>
      </c>
      <c r="P236" s="68">
        <v>44323</v>
      </c>
      <c r="Q236" s="57">
        <v>3202.6019999999999</v>
      </c>
      <c r="R236" t="s">
        <v>748</v>
      </c>
    </row>
    <row r="237" spans="1:18">
      <c r="A237">
        <v>1258</v>
      </c>
      <c r="B237" t="s">
        <v>1207</v>
      </c>
      <c r="C237" t="s">
        <v>7</v>
      </c>
      <c r="D237" t="s">
        <v>1206</v>
      </c>
      <c r="I237" t="s">
        <v>24</v>
      </c>
      <c r="J237">
        <v>4357087.3883999996</v>
      </c>
      <c r="K237" t="s">
        <v>313</v>
      </c>
      <c r="L237" s="67">
        <v>0.25</v>
      </c>
      <c r="N237" s="67">
        <v>0</v>
      </c>
      <c r="O237" s="68">
        <v>44323</v>
      </c>
      <c r="P237" s="68">
        <v>44323</v>
      </c>
      <c r="Q237" s="57">
        <v>3522.9252000000001</v>
      </c>
      <c r="R237" t="s">
        <v>748</v>
      </c>
    </row>
    <row r="238" spans="1:18">
      <c r="A238">
        <v>1259</v>
      </c>
      <c r="B238" t="s">
        <v>1209</v>
      </c>
      <c r="C238" t="s">
        <v>3</v>
      </c>
      <c r="D238" t="s">
        <v>1208</v>
      </c>
      <c r="I238" t="s">
        <v>135</v>
      </c>
      <c r="J238">
        <v>4403487.1289999997</v>
      </c>
      <c r="K238" t="s">
        <v>313</v>
      </c>
      <c r="L238" s="67">
        <v>0.25</v>
      </c>
      <c r="N238" s="67">
        <v>0.05</v>
      </c>
      <c r="O238" s="68">
        <v>44329</v>
      </c>
      <c r="P238" s="68">
        <v>44329</v>
      </c>
      <c r="Q238" s="57">
        <v>2667.4000999999998</v>
      </c>
      <c r="R238" t="s">
        <v>748</v>
      </c>
    </row>
    <row r="239" spans="1:18">
      <c r="A239">
        <v>1260</v>
      </c>
      <c r="B239" t="s">
        <v>1219</v>
      </c>
      <c r="C239" t="s">
        <v>7</v>
      </c>
      <c r="D239" t="s">
        <v>1217</v>
      </c>
      <c r="E239" t="s">
        <v>1218</v>
      </c>
      <c r="I239" t="s">
        <v>24</v>
      </c>
      <c r="K239" t="s">
        <v>313</v>
      </c>
      <c r="L239" s="67">
        <v>0.25</v>
      </c>
      <c r="N239" s="67">
        <v>0.05</v>
      </c>
      <c r="O239" s="68">
        <v>44341</v>
      </c>
      <c r="P239" s="68">
        <v>44341</v>
      </c>
      <c r="Q239" s="57">
        <v>1249.401351</v>
      </c>
      <c r="R239" t="s">
        <v>748</v>
      </c>
    </row>
    <row r="240" spans="1:18">
      <c r="A240">
        <v>1261</v>
      </c>
      <c r="B240" t="s">
        <v>1222</v>
      </c>
      <c r="C240" t="s">
        <v>7</v>
      </c>
      <c r="D240" t="s">
        <v>1220</v>
      </c>
      <c r="E240" t="s">
        <v>1221</v>
      </c>
      <c r="I240" t="s">
        <v>1172</v>
      </c>
      <c r="K240" t="s">
        <v>313</v>
      </c>
      <c r="L240" s="67">
        <v>0.2</v>
      </c>
      <c r="N240" s="67">
        <v>0</v>
      </c>
      <c r="O240" s="68">
        <v>44341</v>
      </c>
      <c r="P240" s="68">
        <v>44341</v>
      </c>
      <c r="Q240" s="57">
        <v>1146.3864549188909</v>
      </c>
      <c r="R240" t="s">
        <v>748</v>
      </c>
    </row>
    <row r="241" spans="1:18">
      <c r="A241">
        <v>1262</v>
      </c>
      <c r="B241" t="s">
        <v>1224</v>
      </c>
      <c r="C241" t="s">
        <v>7</v>
      </c>
      <c r="D241" t="s">
        <v>1223</v>
      </c>
      <c r="E241" t="s">
        <v>1221</v>
      </c>
      <c r="I241" t="s">
        <v>1058</v>
      </c>
      <c r="K241" t="s">
        <v>313</v>
      </c>
      <c r="L241" s="67">
        <v>0.2</v>
      </c>
      <c r="N241" s="67">
        <v>0</v>
      </c>
      <c r="O241" s="68">
        <v>44341</v>
      </c>
      <c r="P241" s="68">
        <v>44341</v>
      </c>
      <c r="Q241" s="57">
        <v>1071.0380725853183</v>
      </c>
      <c r="R241" t="s">
        <v>748</v>
      </c>
    </row>
    <row r="242" spans="1:18">
      <c r="A242">
        <v>1263</v>
      </c>
      <c r="B242" t="s">
        <v>1226</v>
      </c>
      <c r="C242" t="s">
        <v>7</v>
      </c>
      <c r="D242" t="s">
        <v>1225</v>
      </c>
      <c r="I242" t="s">
        <v>24</v>
      </c>
      <c r="K242" t="s">
        <v>313</v>
      </c>
      <c r="L242" s="67">
        <v>0.25</v>
      </c>
      <c r="N242" s="67">
        <v>0.05</v>
      </c>
      <c r="O242" s="68">
        <v>44349</v>
      </c>
      <c r="P242" s="68">
        <v>44349</v>
      </c>
      <c r="Q242" s="57">
        <v>1236.7811353333339</v>
      </c>
      <c r="R242" t="s">
        <v>748</v>
      </c>
    </row>
    <row r="243" spans="1:18">
      <c r="A243">
        <v>1264</v>
      </c>
      <c r="B243" t="s">
        <v>1228</v>
      </c>
      <c r="C243" t="s">
        <v>7</v>
      </c>
      <c r="D243" t="s">
        <v>1227</v>
      </c>
      <c r="I243" t="s">
        <v>24</v>
      </c>
      <c r="K243" t="s">
        <v>313</v>
      </c>
      <c r="L243" s="67">
        <v>0.25</v>
      </c>
      <c r="N243" s="67">
        <v>0.05</v>
      </c>
      <c r="O243" s="68">
        <v>44349</v>
      </c>
      <c r="P243" s="68">
        <v>44349</v>
      </c>
      <c r="Q243" s="57">
        <v>1236.7811353333334</v>
      </c>
      <c r="R243" t="s">
        <v>748</v>
      </c>
    </row>
    <row r="244" spans="1:18">
      <c r="A244">
        <v>1265</v>
      </c>
      <c r="B244" t="s">
        <v>1230</v>
      </c>
      <c r="C244" t="s">
        <v>0</v>
      </c>
      <c r="D244" t="s">
        <v>1229</v>
      </c>
      <c r="I244" t="s">
        <v>24</v>
      </c>
      <c r="K244" t="s">
        <v>313</v>
      </c>
      <c r="L244" s="67">
        <v>0.25</v>
      </c>
      <c r="N244" s="67">
        <v>0</v>
      </c>
      <c r="O244" s="68">
        <v>44349</v>
      </c>
      <c r="P244" s="68">
        <v>44349</v>
      </c>
      <c r="Q244" s="57">
        <v>1236.7811353333339</v>
      </c>
      <c r="R244" t="s">
        <v>748</v>
      </c>
    </row>
    <row r="245" spans="1:18">
      <c r="A245">
        <v>1266</v>
      </c>
      <c r="B245" t="s">
        <v>1231</v>
      </c>
      <c r="C245" t="s">
        <v>0</v>
      </c>
      <c r="D245" t="s">
        <v>1229</v>
      </c>
      <c r="I245" t="s">
        <v>24</v>
      </c>
      <c r="K245" t="s">
        <v>313</v>
      </c>
      <c r="L245" s="67">
        <v>0.25</v>
      </c>
      <c r="N245" s="67">
        <v>0</v>
      </c>
      <c r="O245" s="68">
        <v>44349</v>
      </c>
      <c r="P245" s="68">
        <v>44349</v>
      </c>
      <c r="Q245" s="57">
        <v>1236.7811353333336</v>
      </c>
      <c r="R245" t="s">
        <v>748</v>
      </c>
    </row>
    <row r="246" spans="1:18">
      <c r="A246">
        <v>1267</v>
      </c>
      <c r="B246" t="s">
        <v>1241</v>
      </c>
      <c r="C246" t="s">
        <v>0</v>
      </c>
      <c r="D246" t="s">
        <v>1239</v>
      </c>
      <c r="I246" t="s">
        <v>1240</v>
      </c>
      <c r="K246" t="s">
        <v>313</v>
      </c>
      <c r="L246" s="67">
        <v>0.24</v>
      </c>
      <c r="N246" s="67">
        <v>0</v>
      </c>
      <c r="O246" s="68">
        <v>44365</v>
      </c>
      <c r="P246" s="68">
        <v>44365</v>
      </c>
      <c r="Q246" s="57">
        <v>1169.7820968560113</v>
      </c>
      <c r="R246" t="s">
        <v>748</v>
      </c>
    </row>
    <row r="247" spans="1:18">
      <c r="A247">
        <v>1268</v>
      </c>
      <c r="B247" t="s">
        <v>1245</v>
      </c>
      <c r="C247" t="s">
        <v>0</v>
      </c>
      <c r="D247" t="s">
        <v>1242</v>
      </c>
      <c r="E247" t="s">
        <v>1243</v>
      </c>
      <c r="I247" t="s">
        <v>1244</v>
      </c>
      <c r="K247" t="s">
        <v>313</v>
      </c>
      <c r="L247" s="67">
        <v>0.25</v>
      </c>
      <c r="N247" s="67">
        <v>0.05</v>
      </c>
      <c r="O247" s="68">
        <v>44368</v>
      </c>
      <c r="P247" s="68">
        <v>44368</v>
      </c>
      <c r="Q247" s="57">
        <v>1370.8743000000002</v>
      </c>
      <c r="R247" t="s">
        <v>748</v>
      </c>
    </row>
    <row r="248" spans="1:18">
      <c r="A248">
        <v>1269</v>
      </c>
      <c r="B248" t="s">
        <v>1254</v>
      </c>
      <c r="C248" t="s">
        <v>7</v>
      </c>
      <c r="D248" t="s">
        <v>1052</v>
      </c>
      <c r="E248" t="s">
        <v>1053</v>
      </c>
      <c r="J248">
        <v>2.7</v>
      </c>
      <c r="K248" t="s">
        <v>554</v>
      </c>
      <c r="L248" s="67">
        <v>0.25</v>
      </c>
      <c r="N248" s="67">
        <v>0</v>
      </c>
      <c r="O248" s="68">
        <v>44376</v>
      </c>
      <c r="P248" s="68">
        <v>44386</v>
      </c>
      <c r="R248" t="s">
        <v>748</v>
      </c>
    </row>
    <row r="249" spans="1:18">
      <c r="A249">
        <v>1270</v>
      </c>
      <c r="B249" t="s">
        <v>1257</v>
      </c>
      <c r="C249" t="s">
        <v>7</v>
      </c>
      <c r="D249" t="s">
        <v>1255</v>
      </c>
      <c r="E249" t="s">
        <v>1256</v>
      </c>
      <c r="J249">
        <v>1.8</v>
      </c>
      <c r="K249" t="s">
        <v>554</v>
      </c>
      <c r="L249" s="67">
        <v>0.25</v>
      </c>
      <c r="N249" s="67">
        <v>0</v>
      </c>
      <c r="O249" s="68">
        <v>44376</v>
      </c>
      <c r="P249" s="68">
        <v>44386</v>
      </c>
      <c r="R249" t="s">
        <v>748</v>
      </c>
    </row>
    <row r="250" spans="1:18">
      <c r="A250">
        <v>1271</v>
      </c>
      <c r="B250" t="s">
        <v>1259</v>
      </c>
      <c r="C250" t="s">
        <v>7</v>
      </c>
      <c r="D250" t="s">
        <v>1255</v>
      </c>
      <c r="E250" t="s">
        <v>1258</v>
      </c>
      <c r="J250">
        <v>0.9</v>
      </c>
      <c r="K250" t="s">
        <v>554</v>
      </c>
      <c r="L250" s="67">
        <v>0.25</v>
      </c>
      <c r="N250" s="67">
        <v>0</v>
      </c>
      <c r="O250" s="68">
        <v>44376</v>
      </c>
      <c r="P250" s="68">
        <v>44386</v>
      </c>
      <c r="R250" t="s">
        <v>748</v>
      </c>
    </row>
    <row r="251" spans="1:18">
      <c r="A251">
        <v>1272</v>
      </c>
      <c r="B251" t="s">
        <v>1262</v>
      </c>
      <c r="C251" t="s">
        <v>7</v>
      </c>
      <c r="D251" t="s">
        <v>1260</v>
      </c>
      <c r="E251" t="s">
        <v>1261</v>
      </c>
      <c r="I251" t="s">
        <v>24</v>
      </c>
      <c r="K251" t="s">
        <v>313</v>
      </c>
      <c r="L251" s="67">
        <v>0.23</v>
      </c>
      <c r="N251" s="67">
        <v>0.04</v>
      </c>
      <c r="O251" s="68">
        <v>44377</v>
      </c>
      <c r="P251" s="68">
        <v>44377</v>
      </c>
      <c r="Q251" s="57">
        <v>1236.7811353333336</v>
      </c>
      <c r="R251" t="s">
        <v>748</v>
      </c>
    </row>
    <row r="252" spans="1:18">
      <c r="A252">
        <v>1273</v>
      </c>
      <c r="B252" t="s">
        <v>1265</v>
      </c>
      <c r="C252" t="s">
        <v>0</v>
      </c>
      <c r="D252" t="s">
        <v>1263</v>
      </c>
      <c r="E252" t="s">
        <v>1264</v>
      </c>
      <c r="I252" t="s">
        <v>133</v>
      </c>
      <c r="K252" t="s">
        <v>313</v>
      </c>
      <c r="L252" s="67">
        <v>0.25</v>
      </c>
      <c r="N252" s="67">
        <v>0</v>
      </c>
      <c r="O252" s="68">
        <v>44386</v>
      </c>
      <c r="P252" s="68">
        <v>44386</v>
      </c>
      <c r="Q252" s="57">
        <v>1238.5892479999995</v>
      </c>
      <c r="R252" t="s">
        <v>748</v>
      </c>
    </row>
    <row r="253" spans="1:18">
      <c r="A253">
        <v>1274</v>
      </c>
      <c r="B253" t="s">
        <v>1267</v>
      </c>
      <c r="C253" t="s">
        <v>0</v>
      </c>
      <c r="D253" t="s">
        <v>1263</v>
      </c>
      <c r="E253" t="s">
        <v>1266</v>
      </c>
      <c r="I253" t="s">
        <v>133</v>
      </c>
      <c r="K253" t="s">
        <v>313</v>
      </c>
      <c r="L253" s="67">
        <v>0.25</v>
      </c>
      <c r="N253" s="67">
        <v>0</v>
      </c>
      <c r="O253" s="68">
        <v>44386</v>
      </c>
      <c r="P253" s="68">
        <v>44386</v>
      </c>
      <c r="Q253" s="57">
        <v>1238.5892479999995</v>
      </c>
      <c r="R253" t="s">
        <v>748</v>
      </c>
    </row>
    <row r="254" spans="1:18">
      <c r="A254">
        <v>1275</v>
      </c>
      <c r="B254" t="s">
        <v>1268</v>
      </c>
      <c r="C254" t="s">
        <v>0</v>
      </c>
      <c r="D254" t="s">
        <v>1263</v>
      </c>
      <c r="E254" t="s">
        <v>1266</v>
      </c>
      <c r="I254" t="s">
        <v>133</v>
      </c>
      <c r="K254" t="s">
        <v>313</v>
      </c>
      <c r="L254" s="67">
        <v>0.25</v>
      </c>
      <c r="N254" s="67">
        <v>0</v>
      </c>
      <c r="O254" s="68">
        <v>44386</v>
      </c>
      <c r="P254" s="68">
        <v>44386</v>
      </c>
      <c r="Q254" s="57">
        <v>1238.5892479999995</v>
      </c>
      <c r="R254" t="s">
        <v>748</v>
      </c>
    </row>
    <row r="255" spans="1:18">
      <c r="A255">
        <v>1276</v>
      </c>
      <c r="B255" t="s">
        <v>1269</v>
      </c>
      <c r="C255" t="s">
        <v>0</v>
      </c>
      <c r="D255" t="s">
        <v>1263</v>
      </c>
      <c r="E255" t="s">
        <v>1266</v>
      </c>
      <c r="I255" t="s">
        <v>1055</v>
      </c>
      <c r="K255" t="s">
        <v>313</v>
      </c>
      <c r="L255" s="67">
        <v>0.27</v>
      </c>
      <c r="N255" s="67">
        <v>0</v>
      </c>
      <c r="O255" s="68">
        <v>44391</v>
      </c>
      <c r="P255" s="68">
        <v>44391</v>
      </c>
      <c r="Q255" s="57">
        <v>1316.0393280000003</v>
      </c>
      <c r="R255" t="s">
        <v>748</v>
      </c>
    </row>
    <row r="256" spans="1:18">
      <c r="A256">
        <v>1277</v>
      </c>
      <c r="B256" t="s">
        <v>1273</v>
      </c>
      <c r="C256" t="s">
        <v>0</v>
      </c>
      <c r="D256" t="s">
        <v>1270</v>
      </c>
      <c r="E256" t="s">
        <v>1271</v>
      </c>
      <c r="I256" t="s">
        <v>1272</v>
      </c>
      <c r="K256" t="s">
        <v>313</v>
      </c>
      <c r="L256" s="67">
        <v>0.25</v>
      </c>
      <c r="N256" s="67">
        <v>0</v>
      </c>
      <c r="O256" s="68">
        <v>44392</v>
      </c>
      <c r="P256" s="68">
        <v>44392</v>
      </c>
      <c r="Q256" s="57">
        <v>1262.0215666666668</v>
      </c>
      <c r="R256" t="s">
        <v>748</v>
      </c>
    </row>
    <row r="257" spans="1:18">
      <c r="A257">
        <v>1278</v>
      </c>
      <c r="B257" t="s">
        <v>1276</v>
      </c>
      <c r="C257" t="s">
        <v>7</v>
      </c>
      <c r="D257" t="s">
        <v>1274</v>
      </c>
      <c r="E257" t="s">
        <v>1275</v>
      </c>
      <c r="I257" t="s">
        <v>24</v>
      </c>
      <c r="K257" t="s">
        <v>313</v>
      </c>
      <c r="L257" s="67">
        <v>0.25</v>
      </c>
      <c r="N257" s="67">
        <v>0</v>
      </c>
      <c r="O257" s="68">
        <v>44396</v>
      </c>
      <c r="P257" s="68">
        <v>44396</v>
      </c>
      <c r="Q257" s="57">
        <v>1236.7811353333336</v>
      </c>
      <c r="R257" t="s">
        <v>748</v>
      </c>
    </row>
    <row r="258" spans="1:18">
      <c r="A258">
        <v>1279</v>
      </c>
      <c r="B258" t="s">
        <v>1278</v>
      </c>
      <c r="C258" t="s">
        <v>7</v>
      </c>
      <c r="D258" t="s">
        <v>1274</v>
      </c>
      <c r="E258" t="s">
        <v>1277</v>
      </c>
      <c r="I258" t="s">
        <v>24</v>
      </c>
      <c r="K258" t="s">
        <v>313</v>
      </c>
      <c r="L258" s="67">
        <v>0.25</v>
      </c>
      <c r="N258" s="67">
        <v>0</v>
      </c>
      <c r="O258" s="68">
        <v>44396</v>
      </c>
      <c r="P258" s="68">
        <v>44396</v>
      </c>
      <c r="Q258" s="57">
        <v>1236.7811353333334</v>
      </c>
      <c r="R258" t="s">
        <v>748</v>
      </c>
    </row>
    <row r="259" spans="1:18">
      <c r="A259">
        <v>1280</v>
      </c>
      <c r="B259" t="s">
        <v>1280</v>
      </c>
      <c r="C259" t="s">
        <v>7</v>
      </c>
      <c r="D259" t="s">
        <v>1274</v>
      </c>
      <c r="E259" t="s">
        <v>1279</v>
      </c>
      <c r="I259" t="s">
        <v>24</v>
      </c>
      <c r="K259" t="s">
        <v>313</v>
      </c>
      <c r="L259" s="67">
        <v>0.25</v>
      </c>
      <c r="N259" s="67">
        <v>0</v>
      </c>
      <c r="O259" s="68">
        <v>44396</v>
      </c>
      <c r="P259" s="68">
        <v>44396</v>
      </c>
      <c r="Q259" s="57">
        <v>1236.7811353333336</v>
      </c>
      <c r="R259" t="s">
        <v>748</v>
      </c>
    </row>
    <row r="260" spans="1:18">
      <c r="A260">
        <v>1281</v>
      </c>
      <c r="B260" t="s">
        <v>1283</v>
      </c>
      <c r="C260" t="s">
        <v>7</v>
      </c>
      <c r="D260" t="s">
        <v>1281</v>
      </c>
      <c r="E260" t="s">
        <v>1282</v>
      </c>
      <c r="I260" t="s">
        <v>715</v>
      </c>
      <c r="K260" t="s">
        <v>313</v>
      </c>
      <c r="L260" s="67">
        <v>0.27</v>
      </c>
      <c r="N260" s="67">
        <v>0</v>
      </c>
      <c r="O260" s="68">
        <v>44403</v>
      </c>
      <c r="P260" s="68">
        <v>44403</v>
      </c>
      <c r="Q260" s="57">
        <v>1264.3931906666664</v>
      </c>
      <c r="R260" t="s">
        <v>748</v>
      </c>
    </row>
    <row r="261" spans="1:18">
      <c r="A261">
        <v>1282</v>
      </c>
      <c r="B261" t="s">
        <v>1285</v>
      </c>
      <c r="C261" t="s">
        <v>7</v>
      </c>
      <c r="D261" t="s">
        <v>1284</v>
      </c>
      <c r="E261" t="s">
        <v>1170</v>
      </c>
      <c r="I261" t="s">
        <v>24</v>
      </c>
      <c r="K261" t="s">
        <v>313</v>
      </c>
      <c r="L261" s="67">
        <v>0.27</v>
      </c>
      <c r="N261" s="67">
        <v>0</v>
      </c>
      <c r="O261" s="68">
        <v>44403</v>
      </c>
      <c r="P261" s="68">
        <v>44403</v>
      </c>
      <c r="Q261" s="57">
        <v>1236.7811353333336</v>
      </c>
      <c r="R261" t="s">
        <v>748</v>
      </c>
    </row>
    <row r="262" spans="1:18">
      <c r="A262">
        <v>1283</v>
      </c>
      <c r="B262" t="s">
        <v>1287</v>
      </c>
      <c r="C262" t="s">
        <v>7</v>
      </c>
      <c r="D262" t="s">
        <v>1286</v>
      </c>
      <c r="E262" t="s">
        <v>1170</v>
      </c>
      <c r="I262" t="s">
        <v>24</v>
      </c>
      <c r="K262" t="s">
        <v>313</v>
      </c>
      <c r="L262" s="67">
        <v>0.27</v>
      </c>
      <c r="N262" s="67">
        <v>0</v>
      </c>
      <c r="O262" s="68">
        <v>44403</v>
      </c>
      <c r="P262" s="68">
        <v>44403</v>
      </c>
      <c r="Q262" s="57">
        <v>1236.7811353333339</v>
      </c>
      <c r="R262" t="s">
        <v>748</v>
      </c>
    </row>
    <row r="263" spans="1:18">
      <c r="A263">
        <v>1284</v>
      </c>
      <c r="B263" t="s">
        <v>1289</v>
      </c>
      <c r="C263" t="s">
        <v>0</v>
      </c>
      <c r="D263" t="s">
        <v>1288</v>
      </c>
      <c r="E263" t="s">
        <v>1170</v>
      </c>
      <c r="I263" t="s">
        <v>1055</v>
      </c>
      <c r="K263" t="s">
        <v>313</v>
      </c>
      <c r="L263" s="67">
        <v>0.215</v>
      </c>
      <c r="N263" s="67">
        <v>0</v>
      </c>
      <c r="O263" s="68">
        <v>44406</v>
      </c>
      <c r="P263" s="68">
        <v>44406</v>
      </c>
      <c r="Q263" s="57">
        <v>1343.4568140000003</v>
      </c>
      <c r="R263" t="s">
        <v>748</v>
      </c>
    </row>
    <row r="264" spans="1:18">
      <c r="A264">
        <v>1285</v>
      </c>
      <c r="B264" t="s">
        <v>1299</v>
      </c>
      <c r="C264" t="s">
        <v>7</v>
      </c>
      <c r="D264" t="s">
        <v>1298</v>
      </c>
      <c r="J264">
        <v>9.6300000000000008</v>
      </c>
      <c r="K264" t="s">
        <v>554</v>
      </c>
      <c r="L264" s="67">
        <v>0.25</v>
      </c>
      <c r="N264" s="67">
        <v>0.05</v>
      </c>
      <c r="O264" s="68">
        <v>44411</v>
      </c>
      <c r="P264" s="68">
        <v>44421</v>
      </c>
      <c r="R264" t="s">
        <v>748</v>
      </c>
    </row>
    <row r="265" spans="1:18">
      <c r="A265">
        <v>1286</v>
      </c>
      <c r="B265" t="s">
        <v>1301</v>
      </c>
      <c r="C265" t="s">
        <v>7</v>
      </c>
      <c r="D265" t="s">
        <v>1300</v>
      </c>
      <c r="I265" t="s">
        <v>24</v>
      </c>
      <c r="K265" t="s">
        <v>313</v>
      </c>
      <c r="L265" s="67">
        <v>0.25</v>
      </c>
      <c r="N265" s="67">
        <v>0</v>
      </c>
      <c r="O265" s="68">
        <v>44417</v>
      </c>
      <c r="P265" s="68">
        <v>44417</v>
      </c>
      <c r="Q265" s="57">
        <v>1173.6800570000003</v>
      </c>
      <c r="R265" t="s">
        <v>748</v>
      </c>
    </row>
    <row r="266" spans="1:18">
      <c r="A266">
        <v>1287</v>
      </c>
      <c r="B266" t="s">
        <v>1302</v>
      </c>
      <c r="C266" t="s">
        <v>7</v>
      </c>
      <c r="D266" t="s">
        <v>1300</v>
      </c>
      <c r="I266" t="s">
        <v>24</v>
      </c>
      <c r="K266" t="s">
        <v>313</v>
      </c>
      <c r="L266" s="67">
        <v>0.22</v>
      </c>
      <c r="N266" s="67">
        <v>0</v>
      </c>
      <c r="O266" s="68">
        <v>44419</v>
      </c>
      <c r="P266" s="68">
        <v>44419</v>
      </c>
      <c r="Q266" s="57">
        <v>1236.7811353333339</v>
      </c>
      <c r="R266" t="s">
        <v>748</v>
      </c>
    </row>
    <row r="267" spans="1:18">
      <c r="A267">
        <v>1288</v>
      </c>
      <c r="B267" t="s">
        <v>1304</v>
      </c>
      <c r="C267" t="s">
        <v>0</v>
      </c>
      <c r="D267" t="s">
        <v>1027</v>
      </c>
      <c r="E267" t="s">
        <v>1303</v>
      </c>
      <c r="I267" t="s">
        <v>1030</v>
      </c>
      <c r="K267" t="s">
        <v>313</v>
      </c>
      <c r="L267" s="67">
        <v>0.25</v>
      </c>
      <c r="N267" s="67">
        <v>0</v>
      </c>
      <c r="O267" s="68">
        <v>44425</v>
      </c>
      <c r="P267" s="68">
        <v>44425</v>
      </c>
      <c r="Q267" s="57">
        <v>1343.4568140000001</v>
      </c>
      <c r="R267" t="s">
        <v>748</v>
      </c>
    </row>
    <row r="268" spans="1:18">
      <c r="A268">
        <v>1289</v>
      </c>
      <c r="B268" t="s">
        <v>1306</v>
      </c>
      <c r="C268" t="s">
        <v>0</v>
      </c>
      <c r="D268" t="s">
        <v>1305</v>
      </c>
      <c r="E268" t="s">
        <v>1189</v>
      </c>
      <c r="I268" t="s">
        <v>24</v>
      </c>
      <c r="K268" t="s">
        <v>313</v>
      </c>
      <c r="L268" s="67">
        <v>0.25</v>
      </c>
      <c r="N268" s="67">
        <v>0</v>
      </c>
      <c r="O268" s="68">
        <v>44425</v>
      </c>
      <c r="P268" s="68">
        <v>44425</v>
      </c>
      <c r="Q268" s="57">
        <v>1236.7811353333336</v>
      </c>
      <c r="R268" t="s">
        <v>748</v>
      </c>
    </row>
    <row r="269" spans="1:18">
      <c r="A269">
        <v>1290</v>
      </c>
      <c r="B269" t="s">
        <v>1307</v>
      </c>
      <c r="C269" t="s">
        <v>0</v>
      </c>
      <c r="D269" t="s">
        <v>1305</v>
      </c>
      <c r="E269" t="s">
        <v>1189</v>
      </c>
      <c r="I269" t="s">
        <v>24</v>
      </c>
      <c r="K269" t="s">
        <v>313</v>
      </c>
      <c r="L269" s="67">
        <v>0.25</v>
      </c>
      <c r="N269" s="67">
        <v>0</v>
      </c>
      <c r="O269" s="68">
        <v>44425</v>
      </c>
      <c r="P269" s="68">
        <v>44425</v>
      </c>
      <c r="Q269" s="57">
        <v>1343.4568140000001</v>
      </c>
      <c r="R269" t="s">
        <v>748</v>
      </c>
    </row>
    <row r="270" spans="1:18">
      <c r="A270">
        <v>1291</v>
      </c>
      <c r="B270" t="s">
        <v>1309</v>
      </c>
      <c r="C270" t="s">
        <v>7</v>
      </c>
      <c r="D270" t="s">
        <v>1308</v>
      </c>
      <c r="E270" t="s">
        <v>1298</v>
      </c>
      <c r="I270" t="s">
        <v>1298</v>
      </c>
      <c r="J270">
        <v>11.234999999999999</v>
      </c>
      <c r="K270" t="s">
        <v>554</v>
      </c>
      <c r="L270" s="67">
        <v>0.25</v>
      </c>
      <c r="N270" s="67">
        <v>0</v>
      </c>
      <c r="O270" s="68">
        <v>44426</v>
      </c>
      <c r="P270" s="68">
        <v>44426.15</v>
      </c>
      <c r="R270" t="s">
        <v>748</v>
      </c>
    </row>
    <row r="271" spans="1:18">
      <c r="A271">
        <v>1292</v>
      </c>
      <c r="B271" t="s">
        <v>1310</v>
      </c>
      <c r="C271" t="s">
        <v>7</v>
      </c>
      <c r="D271" t="s">
        <v>1308</v>
      </c>
      <c r="E271" t="s">
        <v>1298</v>
      </c>
      <c r="I271" t="s">
        <v>1298</v>
      </c>
      <c r="J271">
        <v>11.234999999999999</v>
      </c>
      <c r="K271" t="s">
        <v>554</v>
      </c>
      <c r="L271" s="67">
        <v>0.25</v>
      </c>
      <c r="N271" s="67">
        <v>0</v>
      </c>
      <c r="O271" s="68">
        <v>44426</v>
      </c>
      <c r="P271" s="68">
        <v>44426.15</v>
      </c>
      <c r="R271" t="s">
        <v>748</v>
      </c>
    </row>
    <row r="272" spans="1:18">
      <c r="A272">
        <v>1293</v>
      </c>
      <c r="B272" t="s">
        <v>1313</v>
      </c>
      <c r="C272" t="s">
        <v>0</v>
      </c>
      <c r="D272" t="s">
        <v>1311</v>
      </c>
      <c r="E272" t="s">
        <v>1312</v>
      </c>
      <c r="I272" t="s">
        <v>715</v>
      </c>
      <c r="K272" t="s">
        <v>313</v>
      </c>
      <c r="L272" s="67">
        <v>0.25</v>
      </c>
      <c r="N272" s="67">
        <v>0</v>
      </c>
      <c r="O272" s="68">
        <v>44430</v>
      </c>
      <c r="P272" s="68">
        <v>44430</v>
      </c>
      <c r="Q272" s="57">
        <v>1264.3931906666664</v>
      </c>
      <c r="R272" t="s">
        <v>748</v>
      </c>
    </row>
    <row r="273" spans="1:18">
      <c r="A273">
        <v>1294</v>
      </c>
      <c r="B273" t="s">
        <v>1316</v>
      </c>
      <c r="C273" t="s">
        <v>0</v>
      </c>
      <c r="D273" t="s">
        <v>1314</v>
      </c>
      <c r="I273" t="s">
        <v>1315</v>
      </c>
      <c r="K273" t="s">
        <v>313</v>
      </c>
      <c r="L273" s="67">
        <v>0.25</v>
      </c>
      <c r="N273" s="67">
        <v>0.05</v>
      </c>
      <c r="O273" s="68">
        <v>44430</v>
      </c>
      <c r="P273" s="68">
        <v>44430</v>
      </c>
      <c r="Q273" s="57">
        <v>1155.4139240000002</v>
      </c>
      <c r="R273" t="s">
        <v>748</v>
      </c>
    </row>
    <row r="274" spans="1:18">
      <c r="A274">
        <v>1295</v>
      </c>
      <c r="B274" t="s">
        <v>1318</v>
      </c>
      <c r="C274" t="s">
        <v>7</v>
      </c>
      <c r="D274" t="s">
        <v>1317</v>
      </c>
      <c r="I274" t="s">
        <v>24</v>
      </c>
      <c r="K274" t="s">
        <v>313</v>
      </c>
      <c r="L274" s="67">
        <v>0.25</v>
      </c>
      <c r="N274" s="67">
        <v>0.05</v>
      </c>
      <c r="O274" s="68">
        <v>44430</v>
      </c>
      <c r="P274" s="68">
        <v>44430</v>
      </c>
      <c r="Q274" s="57">
        <v>1236.7811353333336</v>
      </c>
      <c r="R274" t="s">
        <v>748</v>
      </c>
    </row>
    <row r="275" spans="1:18">
      <c r="A275">
        <v>1296</v>
      </c>
      <c r="B275" t="s">
        <v>1320</v>
      </c>
      <c r="C275" t="s">
        <v>3</v>
      </c>
      <c r="D275" t="s">
        <v>1319</v>
      </c>
      <c r="I275" t="s">
        <v>24</v>
      </c>
      <c r="K275" t="s">
        <v>313</v>
      </c>
      <c r="L275" s="67">
        <v>0.25</v>
      </c>
      <c r="N275" s="67">
        <v>0.05</v>
      </c>
      <c r="O275" s="68">
        <v>44430</v>
      </c>
      <c r="P275" s="68">
        <v>44430</v>
      </c>
      <c r="Q275" s="57">
        <v>1236.7811353333336</v>
      </c>
      <c r="R275" t="s">
        <v>748</v>
      </c>
    </row>
    <row r="276" spans="1:18">
      <c r="A276">
        <v>1297</v>
      </c>
      <c r="B276" t="s">
        <v>1321</v>
      </c>
      <c r="C276" t="s">
        <v>3</v>
      </c>
      <c r="D276" t="s">
        <v>1319</v>
      </c>
      <c r="I276" t="s">
        <v>24</v>
      </c>
      <c r="K276" t="s">
        <v>313</v>
      </c>
      <c r="L276" s="67">
        <v>0.25</v>
      </c>
      <c r="N276" s="67">
        <v>0.05</v>
      </c>
      <c r="O276" s="68">
        <v>44430</v>
      </c>
      <c r="P276" s="68">
        <v>44430</v>
      </c>
      <c r="Q276" s="57">
        <v>1236.7811353333336</v>
      </c>
      <c r="R276" t="s">
        <v>748</v>
      </c>
    </row>
    <row r="277" spans="1:18">
      <c r="A277">
        <v>1298</v>
      </c>
      <c r="B277" t="s">
        <v>1322</v>
      </c>
      <c r="C277" t="s">
        <v>3</v>
      </c>
      <c r="D277" t="s">
        <v>1319</v>
      </c>
      <c r="I277" t="s">
        <v>24</v>
      </c>
      <c r="K277" t="s">
        <v>313</v>
      </c>
      <c r="L277" s="67">
        <v>0.25</v>
      </c>
      <c r="N277" s="67">
        <v>0.05</v>
      </c>
      <c r="O277" s="68">
        <v>44430</v>
      </c>
      <c r="P277" s="68">
        <v>44430</v>
      </c>
      <c r="Q277" s="57">
        <v>1236.7811353333336</v>
      </c>
      <c r="R277" t="s">
        <v>748</v>
      </c>
    </row>
    <row r="278" spans="1:18">
      <c r="A278">
        <v>1299</v>
      </c>
      <c r="B278" t="s">
        <v>1324</v>
      </c>
      <c r="C278" t="s">
        <v>7</v>
      </c>
      <c r="D278" t="s">
        <v>1323</v>
      </c>
      <c r="I278" t="s">
        <v>1244</v>
      </c>
      <c r="K278" t="s">
        <v>313</v>
      </c>
      <c r="L278" s="67">
        <v>0.25</v>
      </c>
      <c r="N278" s="67">
        <v>0.05</v>
      </c>
      <c r="O278" s="68">
        <v>44430</v>
      </c>
      <c r="P278" s="68">
        <v>44430</v>
      </c>
      <c r="Q278" s="57">
        <v>1203.3661550643819</v>
      </c>
      <c r="R278" t="s">
        <v>748</v>
      </c>
    </row>
    <row r="279" spans="1:18">
      <c r="A279">
        <v>1300</v>
      </c>
      <c r="B279" t="s">
        <v>1325</v>
      </c>
      <c r="C279" t="s">
        <v>0</v>
      </c>
      <c r="D279" t="s">
        <v>811</v>
      </c>
      <c r="E279" t="s">
        <v>1055</v>
      </c>
      <c r="I279" t="s">
        <v>1055</v>
      </c>
      <c r="J279">
        <v>3.21</v>
      </c>
      <c r="K279" t="s">
        <v>554</v>
      </c>
      <c r="L279" s="67">
        <v>0.25</v>
      </c>
      <c r="N279" s="67">
        <v>0.05</v>
      </c>
      <c r="O279" s="68">
        <v>44430</v>
      </c>
      <c r="P279" s="68">
        <v>44430.15</v>
      </c>
      <c r="R279" t="s">
        <v>748</v>
      </c>
    </row>
    <row r="280" spans="1:18">
      <c r="A280">
        <v>1301</v>
      </c>
      <c r="B280" t="s">
        <v>1326</v>
      </c>
      <c r="C280" t="s">
        <v>0</v>
      </c>
      <c r="D280" t="s">
        <v>811</v>
      </c>
      <c r="E280" t="s">
        <v>1055</v>
      </c>
      <c r="I280" t="s">
        <v>1055</v>
      </c>
      <c r="K280" t="s">
        <v>313</v>
      </c>
      <c r="L280" s="67">
        <v>0.25</v>
      </c>
      <c r="N280" s="67">
        <v>0.05</v>
      </c>
      <c r="O280" s="68">
        <v>44430</v>
      </c>
      <c r="P280" s="68">
        <v>44430</v>
      </c>
      <c r="Q280" s="57">
        <v>1343.4568140000001</v>
      </c>
      <c r="R280" t="s">
        <v>748</v>
      </c>
    </row>
    <row r="281" spans="1:18">
      <c r="A281">
        <v>1302</v>
      </c>
      <c r="B281" t="s">
        <v>1329</v>
      </c>
      <c r="C281" t="s">
        <v>0</v>
      </c>
      <c r="D281" t="s">
        <v>1044</v>
      </c>
      <c r="E281" t="s">
        <v>1328</v>
      </c>
      <c r="I281" t="s">
        <v>1327</v>
      </c>
      <c r="K281" t="s">
        <v>313</v>
      </c>
      <c r="L281" s="67">
        <v>0.25</v>
      </c>
      <c r="N281" s="67">
        <v>0</v>
      </c>
      <c r="O281" s="68">
        <v>44431</v>
      </c>
      <c r="P281" s="68">
        <v>44431</v>
      </c>
      <c r="Q281" s="57">
        <v>1262.021566666667</v>
      </c>
      <c r="R281" t="s">
        <v>748</v>
      </c>
    </row>
    <row r="282" spans="1:18">
      <c r="A282">
        <v>1303</v>
      </c>
      <c r="B282" t="s">
        <v>1332</v>
      </c>
      <c r="C282" t="s">
        <v>0</v>
      </c>
      <c r="D282" t="s">
        <v>1330</v>
      </c>
      <c r="E282" t="s">
        <v>1331</v>
      </c>
      <c r="I282" t="s">
        <v>1030</v>
      </c>
      <c r="K282" t="s">
        <v>313</v>
      </c>
      <c r="L282" s="67">
        <v>0.25</v>
      </c>
      <c r="N282" s="67">
        <v>0</v>
      </c>
      <c r="O282" s="68">
        <v>44432</v>
      </c>
      <c r="P282" s="68">
        <v>44432</v>
      </c>
      <c r="Q282" s="57">
        <v>1329.7480710000002</v>
      </c>
      <c r="R282" t="s">
        <v>748</v>
      </c>
    </row>
    <row r="283" spans="1:18">
      <c r="A283">
        <v>1304</v>
      </c>
      <c r="B283" t="s">
        <v>1335</v>
      </c>
      <c r="C283" t="s">
        <v>7</v>
      </c>
      <c r="D283" t="s">
        <v>1333</v>
      </c>
      <c r="E283" t="s">
        <v>1334</v>
      </c>
      <c r="I283" t="s">
        <v>1334</v>
      </c>
      <c r="K283" t="s">
        <v>313</v>
      </c>
      <c r="L283" s="67">
        <v>0.25</v>
      </c>
      <c r="N283" s="67">
        <v>0.05</v>
      </c>
      <c r="O283" s="68">
        <v>44432</v>
      </c>
      <c r="P283" s="68">
        <v>44432</v>
      </c>
      <c r="Q283" s="57">
        <v>1224.160919666667</v>
      </c>
      <c r="R283" t="s">
        <v>748</v>
      </c>
    </row>
    <row r="284" spans="1:18">
      <c r="A284">
        <v>1305</v>
      </c>
      <c r="B284" t="s">
        <v>1339</v>
      </c>
      <c r="C284" t="s">
        <v>7</v>
      </c>
      <c r="D284" t="s">
        <v>1336</v>
      </c>
      <c r="E284" t="s">
        <v>1337</v>
      </c>
      <c r="I284" t="s">
        <v>1338</v>
      </c>
      <c r="K284" t="s">
        <v>313</v>
      </c>
      <c r="L284" s="67">
        <v>0.25</v>
      </c>
      <c r="N284" s="67">
        <v>0</v>
      </c>
      <c r="O284" s="68">
        <v>44432</v>
      </c>
      <c r="P284" s="68">
        <v>44432</v>
      </c>
      <c r="Q284" s="57">
        <v>1224.1609196666668</v>
      </c>
      <c r="R284" t="s">
        <v>748</v>
      </c>
    </row>
    <row r="285" spans="1:18">
      <c r="A285">
        <v>1306</v>
      </c>
      <c r="B285" t="s">
        <v>1342</v>
      </c>
      <c r="C285" t="s">
        <v>7</v>
      </c>
      <c r="D285" t="s">
        <v>1340</v>
      </c>
      <c r="E285" t="s">
        <v>1341</v>
      </c>
      <c r="I285" t="s">
        <v>1136</v>
      </c>
      <c r="K285" t="s">
        <v>313</v>
      </c>
      <c r="L285" s="67">
        <v>0.25</v>
      </c>
      <c r="N285" s="67">
        <v>0.05</v>
      </c>
      <c r="O285" s="68">
        <v>44432</v>
      </c>
      <c r="P285" s="68">
        <v>44432</v>
      </c>
      <c r="Q285" s="57">
        <v>1348.5347823092704</v>
      </c>
      <c r="R285" t="s">
        <v>748</v>
      </c>
    </row>
    <row r="286" spans="1:18">
      <c r="A286">
        <v>1307</v>
      </c>
      <c r="B286" t="s">
        <v>1343</v>
      </c>
      <c r="C286" t="s">
        <v>7</v>
      </c>
      <c r="D286" t="s">
        <v>1244</v>
      </c>
      <c r="I286" t="s">
        <v>867</v>
      </c>
      <c r="K286" t="s">
        <v>313</v>
      </c>
      <c r="L286" s="67">
        <v>0.25</v>
      </c>
      <c r="N286" s="67">
        <v>0.05</v>
      </c>
      <c r="O286" s="68">
        <v>44440</v>
      </c>
      <c r="P286" s="68">
        <v>44440</v>
      </c>
      <c r="Q286" s="57">
        <v>1329.7480710000002</v>
      </c>
      <c r="R286" t="s">
        <v>748</v>
      </c>
    </row>
    <row r="287" spans="1:18">
      <c r="A287">
        <v>1308</v>
      </c>
      <c r="B287" t="s">
        <v>1345</v>
      </c>
      <c r="C287" t="s">
        <v>7</v>
      </c>
      <c r="D287" t="s">
        <v>1344</v>
      </c>
      <c r="I287" t="s">
        <v>1244</v>
      </c>
      <c r="K287" t="s">
        <v>313</v>
      </c>
      <c r="L287" s="67">
        <v>0.25</v>
      </c>
      <c r="N287" s="67">
        <v>0.05</v>
      </c>
      <c r="O287" s="68">
        <v>44440</v>
      </c>
      <c r="P287" s="68">
        <v>44440</v>
      </c>
      <c r="Q287" s="57">
        <v>1329.7480710000002</v>
      </c>
      <c r="R287" t="s">
        <v>748</v>
      </c>
    </row>
    <row r="288" spans="1:18">
      <c r="A288">
        <v>1309</v>
      </c>
      <c r="B288" t="s">
        <v>1347</v>
      </c>
      <c r="C288" t="s">
        <v>7</v>
      </c>
      <c r="D288" t="s">
        <v>1346</v>
      </c>
      <c r="I288" t="s">
        <v>1244</v>
      </c>
      <c r="K288" t="s">
        <v>313</v>
      </c>
      <c r="L288" s="67">
        <v>0.25</v>
      </c>
      <c r="N288" s="67">
        <v>0.05</v>
      </c>
      <c r="O288" s="68">
        <v>44440</v>
      </c>
      <c r="P288" s="68">
        <v>44440</v>
      </c>
      <c r="Q288" s="57">
        <v>1329.7480710000002</v>
      </c>
      <c r="R288" t="s">
        <v>748</v>
      </c>
    </row>
    <row r="289" spans="1:18">
      <c r="A289">
        <v>1310</v>
      </c>
      <c r="B289" t="s">
        <v>1349</v>
      </c>
      <c r="C289" t="s">
        <v>7</v>
      </c>
      <c r="D289" t="s">
        <v>1348</v>
      </c>
      <c r="I289" t="s">
        <v>1244</v>
      </c>
      <c r="K289" t="s">
        <v>313</v>
      </c>
      <c r="L289" s="67">
        <v>0.25</v>
      </c>
      <c r="N289" s="67">
        <v>0.05</v>
      </c>
      <c r="O289" s="68">
        <v>44440</v>
      </c>
      <c r="P289" s="68">
        <v>44440</v>
      </c>
      <c r="Q289" s="57">
        <v>1329.7480710000002</v>
      </c>
      <c r="R289" t="s">
        <v>748</v>
      </c>
    </row>
    <row r="290" spans="1:18">
      <c r="A290">
        <v>1311</v>
      </c>
      <c r="B290" t="s">
        <v>1351</v>
      </c>
      <c r="C290" t="s">
        <v>7</v>
      </c>
      <c r="D290" t="s">
        <v>1350</v>
      </c>
      <c r="I290" t="s">
        <v>24</v>
      </c>
      <c r="K290" t="s">
        <v>313</v>
      </c>
      <c r="L290" s="67">
        <v>0.25</v>
      </c>
      <c r="N290" s="67">
        <v>0.05</v>
      </c>
      <c r="O290" s="68">
        <v>44447</v>
      </c>
      <c r="P290" s="68">
        <v>44447</v>
      </c>
      <c r="Q290" s="57">
        <v>962.29144458333337</v>
      </c>
      <c r="R290" t="s">
        <v>748</v>
      </c>
    </row>
    <row r="291" spans="1:18">
      <c r="A291">
        <v>1312</v>
      </c>
      <c r="B291" t="s">
        <v>1354</v>
      </c>
      <c r="C291" t="s">
        <v>3</v>
      </c>
      <c r="D291" t="s">
        <v>1352</v>
      </c>
      <c r="E291" t="s">
        <v>1353</v>
      </c>
      <c r="I291" t="s">
        <v>135</v>
      </c>
      <c r="K291" t="s">
        <v>313</v>
      </c>
      <c r="L291" s="67">
        <v>0.25</v>
      </c>
      <c r="N291" s="67">
        <v>0.05</v>
      </c>
      <c r="O291" s="68">
        <v>44447</v>
      </c>
      <c r="P291" s="68">
        <v>44447</v>
      </c>
      <c r="Q291" s="57">
        <v>1685.6084466666673</v>
      </c>
      <c r="R291" t="s">
        <v>748</v>
      </c>
    </row>
    <row r="292" spans="1:18">
      <c r="A292">
        <v>1313</v>
      </c>
      <c r="B292" t="s">
        <v>1356</v>
      </c>
      <c r="C292" t="s">
        <v>3</v>
      </c>
      <c r="D292" t="s">
        <v>1352</v>
      </c>
      <c r="E292" t="s">
        <v>1355</v>
      </c>
      <c r="I292" t="s">
        <v>135</v>
      </c>
      <c r="K292" t="s">
        <v>313</v>
      </c>
      <c r="L292" s="67">
        <v>0.25</v>
      </c>
      <c r="N292" s="67">
        <v>0.05</v>
      </c>
      <c r="O292" s="68">
        <v>44447</v>
      </c>
      <c r="P292" s="68">
        <v>44447</v>
      </c>
      <c r="Q292" s="57">
        <v>1685.6084466666673</v>
      </c>
      <c r="R292" t="s">
        <v>748</v>
      </c>
    </row>
    <row r="293" spans="1:18">
      <c r="A293">
        <v>1314</v>
      </c>
      <c r="B293" t="s">
        <v>1359</v>
      </c>
      <c r="C293" t="s">
        <v>7</v>
      </c>
      <c r="D293" t="s">
        <v>1357</v>
      </c>
      <c r="E293" t="s">
        <v>1358</v>
      </c>
      <c r="I293" t="s">
        <v>1358</v>
      </c>
      <c r="K293" t="s">
        <v>313</v>
      </c>
      <c r="L293" s="67">
        <v>0.25</v>
      </c>
      <c r="N293" s="67">
        <v>0.05</v>
      </c>
      <c r="O293" s="68">
        <v>44447</v>
      </c>
      <c r="P293" s="68">
        <v>44447</v>
      </c>
      <c r="Q293" s="57">
        <v>1348.5347823092704</v>
      </c>
      <c r="R293" t="s">
        <v>748</v>
      </c>
    </row>
    <row r="294" spans="1:18">
      <c r="A294">
        <v>1315</v>
      </c>
      <c r="B294" t="s">
        <v>1360</v>
      </c>
      <c r="C294" t="s">
        <v>7</v>
      </c>
      <c r="D294" t="s">
        <v>1137</v>
      </c>
      <c r="E294" t="s">
        <v>1136</v>
      </c>
      <c r="I294" t="s">
        <v>1136</v>
      </c>
      <c r="K294" t="s">
        <v>313</v>
      </c>
      <c r="L294" s="67">
        <v>0.25</v>
      </c>
      <c r="N294" s="67">
        <v>0</v>
      </c>
      <c r="O294" s="68">
        <v>44453</v>
      </c>
      <c r="P294" s="68">
        <v>44453</v>
      </c>
      <c r="Q294" s="57">
        <v>1362.4372027454485</v>
      </c>
      <c r="R294" t="s">
        <v>748</v>
      </c>
    </row>
    <row r="295" spans="1:18">
      <c r="A295">
        <v>1316</v>
      </c>
      <c r="B295" t="s">
        <v>1361</v>
      </c>
      <c r="C295" t="s">
        <v>7</v>
      </c>
      <c r="D295" t="s">
        <v>1137</v>
      </c>
      <c r="E295" t="s">
        <v>1136</v>
      </c>
      <c r="I295" t="s">
        <v>1136</v>
      </c>
      <c r="K295" t="s">
        <v>313</v>
      </c>
      <c r="L295" s="67">
        <v>0.25</v>
      </c>
      <c r="N295" s="67">
        <v>0</v>
      </c>
      <c r="O295" s="68">
        <v>44453</v>
      </c>
      <c r="P295" s="68">
        <v>44453</v>
      </c>
      <c r="Q295" s="57">
        <v>1390.2420436178045</v>
      </c>
      <c r="R295" t="s">
        <v>748</v>
      </c>
    </row>
    <row r="296" spans="1:18">
      <c r="A296">
        <v>1317</v>
      </c>
      <c r="B296" t="s">
        <v>1364</v>
      </c>
      <c r="C296" t="s">
        <v>0</v>
      </c>
      <c r="D296" t="s">
        <v>1362</v>
      </c>
      <c r="E296" t="s">
        <v>1363</v>
      </c>
      <c r="I296" t="s">
        <v>24</v>
      </c>
      <c r="K296" t="s">
        <v>313</v>
      </c>
      <c r="L296" s="67">
        <v>0.23</v>
      </c>
      <c r="N296" s="67">
        <v>7.0000000000000007E-2</v>
      </c>
      <c r="O296" s="68">
        <v>44453</v>
      </c>
      <c r="P296" s="68">
        <v>44453</v>
      </c>
      <c r="Q296" s="57">
        <v>1236.7811353333336</v>
      </c>
      <c r="R296" t="s">
        <v>748</v>
      </c>
    </row>
    <row r="297" spans="1:18">
      <c r="A297">
        <v>1318</v>
      </c>
      <c r="B297" t="s">
        <v>1366</v>
      </c>
      <c r="C297" t="s">
        <v>0</v>
      </c>
      <c r="D297" t="s">
        <v>1365</v>
      </c>
      <c r="E297" t="s">
        <v>1149</v>
      </c>
      <c r="I297" t="s">
        <v>24</v>
      </c>
      <c r="K297" t="s">
        <v>313</v>
      </c>
      <c r="L297" s="67">
        <v>0.23</v>
      </c>
      <c r="N297" s="67">
        <v>7.0000000000000007E-2</v>
      </c>
      <c r="O297" s="68">
        <v>44453</v>
      </c>
      <c r="P297" s="68">
        <v>44453</v>
      </c>
      <c r="Q297" s="57">
        <v>1236.7811353333336</v>
      </c>
      <c r="R297" t="s">
        <v>748</v>
      </c>
    </row>
    <row r="298" spans="1:18">
      <c r="A298">
        <v>1319</v>
      </c>
      <c r="B298" t="s">
        <v>1369</v>
      </c>
      <c r="C298" t="s">
        <v>0</v>
      </c>
      <c r="D298" t="s">
        <v>1367</v>
      </c>
      <c r="E298" t="s">
        <v>1368</v>
      </c>
      <c r="I298" t="s">
        <v>24</v>
      </c>
      <c r="K298" t="s">
        <v>313</v>
      </c>
      <c r="L298" s="67">
        <v>0.23</v>
      </c>
      <c r="N298" s="67">
        <v>7.0000000000000007E-2</v>
      </c>
      <c r="O298" s="68">
        <v>44453</v>
      </c>
      <c r="P298" s="68">
        <v>44453</v>
      </c>
      <c r="Q298" s="57">
        <v>1236.7811353333334</v>
      </c>
      <c r="R298" t="s">
        <v>748</v>
      </c>
    </row>
    <row r="299" spans="1:18">
      <c r="A299">
        <v>1320</v>
      </c>
      <c r="B299" t="s">
        <v>1371</v>
      </c>
      <c r="C299" t="s">
        <v>0</v>
      </c>
      <c r="D299" t="s">
        <v>1370</v>
      </c>
      <c r="E299" t="s">
        <v>881</v>
      </c>
      <c r="I299" t="s">
        <v>1053</v>
      </c>
      <c r="J299">
        <v>1.07</v>
      </c>
      <c r="K299" t="s">
        <v>554</v>
      </c>
      <c r="L299" s="67">
        <v>0.25</v>
      </c>
      <c r="N299" s="67">
        <v>0.05</v>
      </c>
      <c r="O299" s="68">
        <v>44453</v>
      </c>
      <c r="P299" s="68">
        <v>44453.15</v>
      </c>
      <c r="R299" t="s">
        <v>748</v>
      </c>
    </row>
    <row r="300" spans="1:18">
      <c r="A300">
        <v>1321</v>
      </c>
      <c r="B300" t="s">
        <v>1374</v>
      </c>
      <c r="C300" t="s">
        <v>3</v>
      </c>
      <c r="D300" t="s">
        <v>1372</v>
      </c>
      <c r="E300" t="s">
        <v>1373</v>
      </c>
      <c r="I300" t="s">
        <v>1373</v>
      </c>
      <c r="K300" t="s">
        <v>313</v>
      </c>
      <c r="L300" s="67">
        <v>0.25</v>
      </c>
      <c r="N300" s="67">
        <v>0.05</v>
      </c>
      <c r="O300" s="68">
        <v>44453</v>
      </c>
      <c r="P300" s="68">
        <v>44453</v>
      </c>
      <c r="Q300" s="57">
        <v>1120.04411</v>
      </c>
      <c r="R300" t="s">
        <v>748</v>
      </c>
    </row>
    <row r="301" spans="1:18">
      <c r="A301">
        <v>1322</v>
      </c>
      <c r="B301" t="s">
        <v>1376</v>
      </c>
      <c r="C301" t="s">
        <v>3</v>
      </c>
      <c r="D301" t="s">
        <v>1372</v>
      </c>
      <c r="E301" t="s">
        <v>1375</v>
      </c>
      <c r="I301" t="s">
        <v>1373</v>
      </c>
      <c r="K301" t="s">
        <v>313</v>
      </c>
      <c r="L301" s="67">
        <v>0.25</v>
      </c>
      <c r="N301" s="67">
        <v>0.05</v>
      </c>
      <c r="O301" s="68">
        <v>44453</v>
      </c>
      <c r="P301" s="68">
        <v>44453</v>
      </c>
      <c r="Q301" s="57">
        <v>1120.04411</v>
      </c>
      <c r="R301" t="s">
        <v>748</v>
      </c>
    </row>
    <row r="302" spans="1:18">
      <c r="A302">
        <v>1323</v>
      </c>
      <c r="B302" t="s">
        <v>1379</v>
      </c>
      <c r="C302" t="s">
        <v>0</v>
      </c>
      <c r="D302" t="s">
        <v>1378</v>
      </c>
      <c r="E302" t="s">
        <v>1136</v>
      </c>
      <c r="I302" t="s">
        <v>1136</v>
      </c>
      <c r="K302" t="s">
        <v>313</v>
      </c>
      <c r="L302" s="67">
        <v>0.24</v>
      </c>
      <c r="N302" s="67">
        <v>0.01</v>
      </c>
      <c r="O302" s="68">
        <v>44456</v>
      </c>
      <c r="P302" s="68">
        <v>44456</v>
      </c>
      <c r="Q302" s="57">
        <v>1320.729941436914</v>
      </c>
      <c r="R302" t="s">
        <v>748</v>
      </c>
    </row>
    <row r="303" spans="1:18">
      <c r="A303">
        <v>1324</v>
      </c>
      <c r="B303" t="s">
        <v>1381</v>
      </c>
      <c r="C303" t="s">
        <v>0</v>
      </c>
      <c r="D303" t="s">
        <v>1378</v>
      </c>
      <c r="E303" t="s">
        <v>1380</v>
      </c>
      <c r="I303" t="s">
        <v>1136</v>
      </c>
      <c r="K303" t="s">
        <v>313</v>
      </c>
      <c r="L303" s="67">
        <v>0.24</v>
      </c>
      <c r="N303" s="67">
        <v>0.01</v>
      </c>
      <c r="O303" s="68">
        <v>44456</v>
      </c>
      <c r="P303" s="68">
        <v>44456</v>
      </c>
      <c r="Q303" s="57">
        <v>1320.729941436914</v>
      </c>
      <c r="R303" t="s">
        <v>748</v>
      </c>
    </row>
    <row r="304" spans="1:18">
      <c r="A304">
        <v>1325</v>
      </c>
      <c r="B304" t="s">
        <v>1382</v>
      </c>
      <c r="C304" t="s">
        <v>0</v>
      </c>
      <c r="D304" t="s">
        <v>1378</v>
      </c>
      <c r="E304" t="s">
        <v>1380</v>
      </c>
      <c r="I304" t="s">
        <v>1136</v>
      </c>
      <c r="K304" t="s">
        <v>313</v>
      </c>
      <c r="L304" s="67">
        <v>0.24</v>
      </c>
      <c r="N304" s="67">
        <v>0.01</v>
      </c>
      <c r="O304" s="68">
        <v>44456</v>
      </c>
      <c r="P304" s="68">
        <v>44456</v>
      </c>
      <c r="Q304" s="57">
        <v>1320.7299414369145</v>
      </c>
      <c r="R304" t="s">
        <v>748</v>
      </c>
    </row>
    <row r="305" spans="1:18">
      <c r="A305">
        <v>1326</v>
      </c>
      <c r="B305" t="s">
        <v>1385</v>
      </c>
      <c r="C305" t="s">
        <v>7</v>
      </c>
      <c r="D305" t="s">
        <v>1383</v>
      </c>
      <c r="E305" t="s">
        <v>1384</v>
      </c>
      <c r="I305" t="s">
        <v>1334</v>
      </c>
      <c r="K305" t="s">
        <v>313</v>
      </c>
      <c r="L305" s="67">
        <v>0.24</v>
      </c>
      <c r="N305" s="67">
        <v>0.03</v>
      </c>
      <c r="O305" s="68">
        <v>44458</v>
      </c>
      <c r="P305" s="68">
        <v>44458</v>
      </c>
      <c r="Q305" s="57">
        <v>1329.7480710000004</v>
      </c>
      <c r="R305" t="s">
        <v>748</v>
      </c>
    </row>
    <row r="306" spans="1:18">
      <c r="A306">
        <v>1327</v>
      </c>
      <c r="B306" t="s">
        <v>1387</v>
      </c>
      <c r="C306" t="s">
        <v>7</v>
      </c>
      <c r="D306" t="s">
        <v>1383</v>
      </c>
      <c r="E306" t="s">
        <v>1386</v>
      </c>
      <c r="I306" t="s">
        <v>1334</v>
      </c>
      <c r="K306" t="s">
        <v>313</v>
      </c>
      <c r="L306" s="67">
        <v>0.24</v>
      </c>
      <c r="N306" s="67">
        <v>0.03</v>
      </c>
      <c r="O306" s="68">
        <v>44458</v>
      </c>
      <c r="P306" s="68">
        <v>44458</v>
      </c>
      <c r="Q306" s="57">
        <v>1329.7480710000002</v>
      </c>
      <c r="R306" t="s">
        <v>748</v>
      </c>
    </row>
    <row r="307" spans="1:18">
      <c r="A307">
        <v>1328</v>
      </c>
      <c r="B307" t="s">
        <v>1390</v>
      </c>
      <c r="C307" t="s">
        <v>7</v>
      </c>
      <c r="D307" t="s">
        <v>1388</v>
      </c>
      <c r="E307" t="s">
        <v>1389</v>
      </c>
      <c r="I307" t="s">
        <v>24</v>
      </c>
      <c r="K307" t="s">
        <v>313</v>
      </c>
      <c r="L307" s="67">
        <v>0.25</v>
      </c>
      <c r="N307" s="67">
        <v>0</v>
      </c>
      <c r="O307" s="68">
        <v>44459</v>
      </c>
      <c r="P307" s="68">
        <v>44459</v>
      </c>
      <c r="Q307" s="57">
        <v>1224.1609196666666</v>
      </c>
      <c r="R307" t="s">
        <v>748</v>
      </c>
    </row>
    <row r="308" spans="1:18">
      <c r="A308">
        <v>1329</v>
      </c>
      <c r="B308" t="s">
        <v>1391</v>
      </c>
      <c r="C308" t="s">
        <v>7</v>
      </c>
      <c r="D308" t="s">
        <v>1388</v>
      </c>
      <c r="E308" t="s">
        <v>1389</v>
      </c>
      <c r="I308" t="s">
        <v>24</v>
      </c>
      <c r="K308" t="s">
        <v>313</v>
      </c>
      <c r="L308" s="67">
        <v>0.25</v>
      </c>
      <c r="N308" s="67">
        <v>0</v>
      </c>
      <c r="O308" s="68">
        <v>44459</v>
      </c>
      <c r="P308" s="68">
        <v>44459</v>
      </c>
      <c r="Q308" s="57">
        <v>1224.1609196666673</v>
      </c>
      <c r="R308" t="s">
        <v>748</v>
      </c>
    </row>
    <row r="309" spans="1:18">
      <c r="A309">
        <v>1330</v>
      </c>
      <c r="B309" t="s">
        <v>1393</v>
      </c>
      <c r="C309" t="s">
        <v>7</v>
      </c>
      <c r="D309" t="s">
        <v>1392</v>
      </c>
      <c r="I309" t="s">
        <v>24</v>
      </c>
      <c r="K309" t="s">
        <v>313</v>
      </c>
      <c r="L309" s="67">
        <v>0.25</v>
      </c>
      <c r="N309" s="67">
        <v>0</v>
      </c>
      <c r="O309" s="68">
        <v>44459</v>
      </c>
      <c r="P309" s="68">
        <v>44459</v>
      </c>
      <c r="Q309" s="57">
        <v>1224.160919666667</v>
      </c>
      <c r="R309" t="s">
        <v>748</v>
      </c>
    </row>
    <row r="310" spans="1:18">
      <c r="A310">
        <v>1331</v>
      </c>
      <c r="B310" t="s">
        <v>1395</v>
      </c>
      <c r="C310" t="s">
        <v>7</v>
      </c>
      <c r="D310" t="s">
        <v>1394</v>
      </c>
      <c r="I310" t="s">
        <v>1046</v>
      </c>
      <c r="K310" t="s">
        <v>313</v>
      </c>
      <c r="L310" s="67">
        <v>0.25</v>
      </c>
      <c r="N310" s="67">
        <v>0</v>
      </c>
      <c r="O310" s="68">
        <v>44459</v>
      </c>
      <c r="P310" s="68">
        <v>44459</v>
      </c>
      <c r="Q310" s="57">
        <v>1290.1971333333331</v>
      </c>
      <c r="R310" t="s">
        <v>748</v>
      </c>
    </row>
    <row r="311" spans="1:18">
      <c r="A311">
        <v>1332</v>
      </c>
      <c r="B311" t="s">
        <v>1397</v>
      </c>
      <c r="C311" t="s">
        <v>0</v>
      </c>
      <c r="D311" t="s">
        <v>1396</v>
      </c>
      <c r="I311" t="s">
        <v>1272</v>
      </c>
      <c r="K311" t="s">
        <v>313</v>
      </c>
      <c r="L311" s="67">
        <v>0.24</v>
      </c>
      <c r="N311" s="67">
        <v>0.02</v>
      </c>
      <c r="O311" s="68">
        <v>44459</v>
      </c>
      <c r="P311" s="68">
        <v>44459</v>
      </c>
      <c r="Q311" s="57">
        <v>1262.0215666666668</v>
      </c>
      <c r="R311" t="s">
        <v>748</v>
      </c>
    </row>
    <row r="312" spans="1:18">
      <c r="A312">
        <v>1333</v>
      </c>
      <c r="B312" t="s">
        <v>1398</v>
      </c>
      <c r="C312" t="s">
        <v>0</v>
      </c>
      <c r="D312" t="s">
        <v>1396</v>
      </c>
      <c r="I312" t="s">
        <v>1272</v>
      </c>
      <c r="K312" t="s">
        <v>313</v>
      </c>
      <c r="L312" s="67">
        <v>0.25</v>
      </c>
      <c r="N312" s="67">
        <v>0</v>
      </c>
      <c r="O312" s="68">
        <v>44459</v>
      </c>
      <c r="P312" s="68">
        <v>44459</v>
      </c>
      <c r="Q312" s="57">
        <v>1198.9204883333337</v>
      </c>
      <c r="R312" t="s">
        <v>748</v>
      </c>
    </row>
    <row r="313" spans="1:18">
      <c r="A313">
        <v>1334</v>
      </c>
      <c r="B313" t="s">
        <v>1400</v>
      </c>
      <c r="C313" t="s">
        <v>0</v>
      </c>
      <c r="D313" t="s">
        <v>1399</v>
      </c>
      <c r="I313" t="s">
        <v>24</v>
      </c>
      <c r="K313" t="s">
        <v>313</v>
      </c>
      <c r="L313" s="67">
        <v>0.25</v>
      </c>
      <c r="N313" s="67">
        <v>0</v>
      </c>
      <c r="O313" s="68">
        <v>44459</v>
      </c>
      <c r="P313" s="68">
        <v>44459</v>
      </c>
      <c r="Q313" s="57">
        <v>1262.021566666667</v>
      </c>
      <c r="R313" t="s">
        <v>748</v>
      </c>
    </row>
    <row r="314" spans="1:18">
      <c r="A314">
        <v>1335</v>
      </c>
      <c r="B314" t="s">
        <v>1404</v>
      </c>
      <c r="C314" t="s">
        <v>0</v>
      </c>
      <c r="D314" t="s">
        <v>1401</v>
      </c>
      <c r="I314" t="s">
        <v>1402</v>
      </c>
      <c r="K314" t="s">
        <v>313</v>
      </c>
      <c r="L314" s="67">
        <v>0.25</v>
      </c>
      <c r="N314" s="67">
        <v>0</v>
      </c>
      <c r="O314" s="68">
        <v>44466</v>
      </c>
      <c r="P314" s="68">
        <v>44466</v>
      </c>
      <c r="Q314" s="57">
        <v>1262.0215666666668</v>
      </c>
      <c r="R314" t="s">
        <v>748</v>
      </c>
    </row>
    <row r="315" spans="1:18">
      <c r="A315">
        <v>1336</v>
      </c>
      <c r="B315" t="s">
        <v>1406</v>
      </c>
      <c r="C315" t="s">
        <v>0</v>
      </c>
      <c r="D315" t="s">
        <v>1405</v>
      </c>
      <c r="I315" t="s">
        <v>24</v>
      </c>
      <c r="K315" t="s">
        <v>313</v>
      </c>
      <c r="L315" s="67">
        <v>0.25</v>
      </c>
      <c r="N315" s="67">
        <v>0</v>
      </c>
      <c r="O315" s="68">
        <v>44466</v>
      </c>
      <c r="P315" s="68">
        <v>44466</v>
      </c>
      <c r="Q315" s="57">
        <v>1224.1609196666668</v>
      </c>
      <c r="R315" t="s">
        <v>748</v>
      </c>
    </row>
    <row r="316" spans="1:18">
      <c r="A316">
        <v>1337</v>
      </c>
      <c r="B316" t="s">
        <v>1407</v>
      </c>
      <c r="C316" t="s">
        <v>0</v>
      </c>
      <c r="D316" t="s">
        <v>1405</v>
      </c>
      <c r="I316" t="s">
        <v>24</v>
      </c>
      <c r="K316" t="s">
        <v>313</v>
      </c>
      <c r="L316" s="67">
        <v>0.25</v>
      </c>
      <c r="N316" s="67">
        <v>0</v>
      </c>
      <c r="O316" s="68">
        <v>44466</v>
      </c>
      <c r="P316" s="68">
        <v>44466</v>
      </c>
      <c r="Q316" s="57">
        <v>1224.1609196666668</v>
      </c>
      <c r="R316" t="s">
        <v>748</v>
      </c>
    </row>
    <row r="317" spans="1:18">
      <c r="A317">
        <v>1338</v>
      </c>
      <c r="B317" t="s">
        <v>1409</v>
      </c>
      <c r="C317" t="s">
        <v>7</v>
      </c>
      <c r="D317" t="s">
        <v>1408</v>
      </c>
      <c r="I317" t="s">
        <v>1244</v>
      </c>
      <c r="K317" t="s">
        <v>313</v>
      </c>
      <c r="L317" s="67">
        <v>0.22500000000000001</v>
      </c>
      <c r="N317" s="67">
        <v>3.5000000000000003E-2</v>
      </c>
      <c r="O317" s="68">
        <v>44466</v>
      </c>
      <c r="P317" s="68">
        <v>44466</v>
      </c>
      <c r="Q317" s="57">
        <v>1334.6323618730921</v>
      </c>
      <c r="R317" t="s">
        <v>748</v>
      </c>
    </row>
    <row r="318" spans="1:18">
      <c r="A318">
        <v>1339</v>
      </c>
      <c r="B318" t="s">
        <v>1411</v>
      </c>
      <c r="C318" t="s">
        <v>7</v>
      </c>
      <c r="D318" t="s">
        <v>1410</v>
      </c>
      <c r="I318" t="s">
        <v>1244</v>
      </c>
      <c r="K318" t="s">
        <v>313</v>
      </c>
      <c r="L318" s="67">
        <v>0.23</v>
      </c>
      <c r="N318" s="67">
        <v>0.05</v>
      </c>
      <c r="O318" s="68">
        <v>44466</v>
      </c>
      <c r="P318" s="68">
        <v>44466</v>
      </c>
      <c r="Q318" s="57">
        <v>1211.5407040000002</v>
      </c>
      <c r="R318" t="s">
        <v>748</v>
      </c>
    </row>
    <row r="319" spans="1:18">
      <c r="A319">
        <v>1340</v>
      </c>
      <c r="B319" t="s">
        <v>1413</v>
      </c>
      <c r="C319" t="s">
        <v>7</v>
      </c>
      <c r="D319" t="s">
        <v>1412</v>
      </c>
      <c r="I319" t="s">
        <v>1079</v>
      </c>
      <c r="K319" t="s">
        <v>313</v>
      </c>
      <c r="L319" s="67">
        <v>0.23</v>
      </c>
      <c r="N319" s="67">
        <v>0.04</v>
      </c>
      <c r="O319" s="68">
        <v>44467</v>
      </c>
      <c r="P319" s="68">
        <v>44467</v>
      </c>
      <c r="Q319" s="57">
        <v>1191.0869085841332</v>
      </c>
      <c r="R319" t="s">
        <v>748</v>
      </c>
    </row>
    <row r="320" spans="1:18">
      <c r="A320">
        <v>1341</v>
      </c>
      <c r="B320" t="s">
        <v>1416</v>
      </c>
      <c r="C320" t="s">
        <v>7</v>
      </c>
      <c r="D320" t="s">
        <v>1414</v>
      </c>
      <c r="E320" t="s">
        <v>1415</v>
      </c>
      <c r="I320" t="s">
        <v>884</v>
      </c>
      <c r="K320" t="s">
        <v>313</v>
      </c>
      <c r="L320" s="67">
        <v>0.23</v>
      </c>
      <c r="N320" s="67">
        <v>0.04</v>
      </c>
      <c r="O320" s="68">
        <v>44467</v>
      </c>
      <c r="P320" s="68">
        <v>44467</v>
      </c>
      <c r="Q320" s="57">
        <v>1224.160919666667</v>
      </c>
      <c r="R320" t="s">
        <v>748</v>
      </c>
    </row>
    <row r="321" spans="1:18">
      <c r="A321">
        <v>1342</v>
      </c>
      <c r="B321" t="s">
        <v>1418</v>
      </c>
      <c r="C321" t="s">
        <v>7</v>
      </c>
      <c r="D321" t="s">
        <v>1414</v>
      </c>
      <c r="E321" t="s">
        <v>1417</v>
      </c>
      <c r="I321" t="s">
        <v>884</v>
      </c>
      <c r="K321" t="s">
        <v>313</v>
      </c>
      <c r="L321" s="67">
        <v>0.23</v>
      </c>
      <c r="N321" s="67">
        <v>0.04</v>
      </c>
      <c r="O321" s="68">
        <v>44467</v>
      </c>
      <c r="P321" s="68">
        <v>44467</v>
      </c>
      <c r="Q321" s="57">
        <v>1224.160919666667</v>
      </c>
      <c r="R321" t="s">
        <v>748</v>
      </c>
    </row>
    <row r="322" spans="1:18">
      <c r="A322">
        <v>1343</v>
      </c>
      <c r="B322" t="s">
        <v>1420</v>
      </c>
      <c r="C322" t="s">
        <v>0</v>
      </c>
      <c r="D322" t="s">
        <v>917</v>
      </c>
      <c r="E322" t="s">
        <v>1419</v>
      </c>
      <c r="I322" t="s">
        <v>884</v>
      </c>
      <c r="K322" t="s">
        <v>313</v>
      </c>
      <c r="L322" s="67">
        <v>0.25</v>
      </c>
      <c r="N322" s="67">
        <v>0</v>
      </c>
      <c r="O322" s="68">
        <v>44467</v>
      </c>
      <c r="P322" s="68">
        <v>44467</v>
      </c>
      <c r="Q322" s="57">
        <v>1345.2378552529312</v>
      </c>
      <c r="R322" t="s">
        <v>748</v>
      </c>
    </row>
    <row r="323" spans="1:18">
      <c r="A323">
        <v>1344</v>
      </c>
      <c r="B323" t="s">
        <v>1421</v>
      </c>
      <c r="C323" t="s">
        <v>0</v>
      </c>
      <c r="D323" t="s">
        <v>917</v>
      </c>
      <c r="E323" t="s">
        <v>1419</v>
      </c>
      <c r="I323" t="s">
        <v>884</v>
      </c>
      <c r="K323" t="s">
        <v>313</v>
      </c>
      <c r="L323" s="67">
        <v>0.25</v>
      </c>
      <c r="N323" s="67">
        <v>0</v>
      </c>
      <c r="O323" s="68">
        <v>44467</v>
      </c>
      <c r="P323" s="68">
        <v>44467</v>
      </c>
      <c r="Q323" s="57">
        <v>1345.237855252931</v>
      </c>
      <c r="R323" t="s">
        <v>748</v>
      </c>
    </row>
    <row r="324" spans="1:18">
      <c r="A324">
        <v>1345</v>
      </c>
      <c r="B324" t="s">
        <v>1423</v>
      </c>
      <c r="C324" t="s">
        <v>7</v>
      </c>
      <c r="D324" t="s">
        <v>1422</v>
      </c>
      <c r="I324" t="s">
        <v>884</v>
      </c>
      <c r="K324" t="s">
        <v>313</v>
      </c>
      <c r="L324" s="67">
        <v>0.24</v>
      </c>
      <c r="N324" s="67">
        <v>0.05</v>
      </c>
      <c r="O324" s="68">
        <v>44467</v>
      </c>
      <c r="P324" s="68">
        <v>44467</v>
      </c>
      <c r="Q324" s="57">
        <v>1262.021566666667</v>
      </c>
      <c r="R324" t="s">
        <v>748</v>
      </c>
    </row>
    <row r="325" spans="1:18">
      <c r="A325">
        <v>1346</v>
      </c>
      <c r="B325" t="s">
        <v>1429</v>
      </c>
      <c r="C325" t="s">
        <v>7</v>
      </c>
      <c r="D325" t="s">
        <v>1424</v>
      </c>
      <c r="I325" t="s">
        <v>884</v>
      </c>
      <c r="K325" t="s">
        <v>313</v>
      </c>
      <c r="L325" s="67">
        <v>0.25</v>
      </c>
      <c r="N325" s="67">
        <v>0.05</v>
      </c>
      <c r="O325" s="68">
        <v>44473</v>
      </c>
      <c r="P325" s="68">
        <v>44473</v>
      </c>
      <c r="Q325" s="57">
        <v>914.71323152000025</v>
      </c>
      <c r="R325" t="s">
        <v>748</v>
      </c>
    </row>
    <row r="326" spans="1:18">
      <c r="A326">
        <v>1347</v>
      </c>
      <c r="B326" t="s">
        <v>1431</v>
      </c>
      <c r="C326" t="s">
        <v>7</v>
      </c>
      <c r="D326" t="s">
        <v>1430</v>
      </c>
      <c r="I326" t="s">
        <v>884</v>
      </c>
      <c r="K326" t="s">
        <v>313</v>
      </c>
      <c r="L326" s="67">
        <v>0.25</v>
      </c>
      <c r="N326" s="67">
        <v>0.05</v>
      </c>
      <c r="O326" s="68">
        <v>44473</v>
      </c>
      <c r="P326" s="68">
        <v>44473</v>
      </c>
      <c r="Q326" s="57">
        <v>914.71323152000025</v>
      </c>
      <c r="R326" t="s">
        <v>748</v>
      </c>
    </row>
    <row r="327" spans="1:18">
      <c r="A327">
        <v>1348</v>
      </c>
      <c r="B327" t="s">
        <v>1435</v>
      </c>
      <c r="C327" t="s">
        <v>0</v>
      </c>
      <c r="D327" t="s">
        <v>1433</v>
      </c>
      <c r="E327">
        <v>23.76</v>
      </c>
      <c r="I327" t="s">
        <v>1434</v>
      </c>
      <c r="K327" t="s">
        <v>313</v>
      </c>
      <c r="L327" s="67">
        <v>0.25</v>
      </c>
      <c r="N327" s="67">
        <v>0</v>
      </c>
      <c r="O327" s="68">
        <v>44475</v>
      </c>
      <c r="P327" s="68">
        <v>44475</v>
      </c>
      <c r="Q327" s="57">
        <v>1262.0215666666672</v>
      </c>
      <c r="R327" t="s">
        <v>748</v>
      </c>
    </row>
    <row r="328" spans="1:18">
      <c r="A328">
        <v>1349</v>
      </c>
      <c r="B328" t="s">
        <v>1436</v>
      </c>
      <c r="C328" t="s">
        <v>0</v>
      </c>
      <c r="D328" t="s">
        <v>1433</v>
      </c>
      <c r="E328">
        <v>11.88</v>
      </c>
      <c r="I328" t="s">
        <v>1434</v>
      </c>
      <c r="K328" t="s">
        <v>313</v>
      </c>
      <c r="L328" s="67">
        <v>0.25</v>
      </c>
      <c r="N328" s="67">
        <v>0</v>
      </c>
      <c r="O328" s="68">
        <v>44475</v>
      </c>
      <c r="P328" s="68">
        <v>44475</v>
      </c>
      <c r="Q328" s="57">
        <v>1262.0215666666672</v>
      </c>
      <c r="R328" t="s">
        <v>748</v>
      </c>
    </row>
    <row r="329" spans="1:18">
      <c r="A329">
        <v>1350</v>
      </c>
      <c r="B329" t="s">
        <v>1438</v>
      </c>
      <c r="C329" t="s">
        <v>7</v>
      </c>
      <c r="D329" t="s">
        <v>1437</v>
      </c>
      <c r="E329">
        <v>0.05</v>
      </c>
      <c r="I329" t="s">
        <v>24</v>
      </c>
      <c r="K329" t="s">
        <v>313</v>
      </c>
      <c r="L329" s="67">
        <v>0.25</v>
      </c>
      <c r="N329" s="67">
        <v>0.05</v>
      </c>
      <c r="O329" s="68">
        <v>44484</v>
      </c>
      <c r="P329" s="68">
        <v>44484</v>
      </c>
      <c r="Q329" s="57">
        <v>1262.0215666666672</v>
      </c>
      <c r="R329" t="s">
        <v>748</v>
      </c>
    </row>
    <row r="330" spans="1:18">
      <c r="A330">
        <v>1351</v>
      </c>
      <c r="B330" t="s">
        <v>1439</v>
      </c>
      <c r="C330" t="s">
        <v>7</v>
      </c>
      <c r="D330" t="s">
        <v>1437</v>
      </c>
      <c r="E330">
        <v>0.05</v>
      </c>
      <c r="I330" t="s">
        <v>24</v>
      </c>
      <c r="K330" t="s">
        <v>313</v>
      </c>
      <c r="L330" s="67">
        <v>0.25</v>
      </c>
      <c r="N330" s="67">
        <v>0.05</v>
      </c>
      <c r="O330" s="68">
        <v>44484</v>
      </c>
      <c r="P330" s="68">
        <v>44484</v>
      </c>
      <c r="Q330" s="57">
        <v>1217.1219943785834</v>
      </c>
      <c r="R330" t="s">
        <v>748</v>
      </c>
    </row>
    <row r="331" spans="1:18">
      <c r="A331">
        <v>1352</v>
      </c>
      <c r="B331" t="s">
        <v>1450</v>
      </c>
      <c r="C331" t="s">
        <v>7</v>
      </c>
      <c r="D331" t="s">
        <v>1437</v>
      </c>
      <c r="E331">
        <v>0.05</v>
      </c>
      <c r="I331" t="s">
        <v>24</v>
      </c>
      <c r="K331" t="s">
        <v>313</v>
      </c>
      <c r="L331" s="67">
        <v>0.25</v>
      </c>
      <c r="N331" s="67">
        <v>0.05</v>
      </c>
      <c r="O331" s="68">
        <v>44484</v>
      </c>
      <c r="P331" s="68">
        <v>44484</v>
      </c>
      <c r="Q331" s="57">
        <v>1217.1219943785834</v>
      </c>
      <c r="R331" t="s">
        <v>748</v>
      </c>
    </row>
    <row r="332" spans="1:18">
      <c r="A332">
        <v>1353</v>
      </c>
      <c r="B332" t="s">
        <v>1452</v>
      </c>
      <c r="C332" t="s">
        <v>7</v>
      </c>
      <c r="D332" t="s">
        <v>1437</v>
      </c>
      <c r="E332">
        <v>0.1</v>
      </c>
      <c r="I332" t="s">
        <v>24</v>
      </c>
      <c r="K332" t="s">
        <v>313</v>
      </c>
      <c r="L332" s="67">
        <v>0.25</v>
      </c>
      <c r="N332" s="67">
        <v>0.1</v>
      </c>
      <c r="O332" s="68">
        <v>44484</v>
      </c>
      <c r="P332" s="68">
        <v>44484</v>
      </c>
      <c r="Q332" s="57">
        <v>1217.1219943785834</v>
      </c>
      <c r="R332" t="s">
        <v>748</v>
      </c>
    </row>
    <row r="333" spans="1:18">
      <c r="A333">
        <v>1354</v>
      </c>
      <c r="B333" t="s">
        <v>1454</v>
      </c>
      <c r="C333" t="s">
        <v>7</v>
      </c>
      <c r="D333" t="s">
        <v>1453</v>
      </c>
      <c r="I333" t="s">
        <v>24</v>
      </c>
      <c r="K333" t="s">
        <v>313</v>
      </c>
      <c r="L333" s="67">
        <v>0.25</v>
      </c>
      <c r="N333" s="67">
        <v>0</v>
      </c>
      <c r="O333" s="68">
        <v>44484</v>
      </c>
      <c r="P333" s="68">
        <v>44484</v>
      </c>
      <c r="Q333" s="57">
        <v>1254.7649426583332</v>
      </c>
      <c r="R333" t="s">
        <v>748</v>
      </c>
    </row>
    <row r="334" spans="1:18">
      <c r="A334">
        <v>1355</v>
      </c>
      <c r="B334" t="s">
        <v>1456</v>
      </c>
      <c r="C334" t="s">
        <v>3</v>
      </c>
      <c r="D334" t="s">
        <v>1455</v>
      </c>
      <c r="I334" t="s">
        <v>24</v>
      </c>
      <c r="K334" t="s">
        <v>313</v>
      </c>
      <c r="L334" s="67">
        <v>0.25</v>
      </c>
      <c r="N334" s="67">
        <v>0</v>
      </c>
      <c r="O334" s="68">
        <v>44507</v>
      </c>
      <c r="P334" s="68">
        <v>44507</v>
      </c>
      <c r="Q334" s="57">
        <v>1254.7649426583337</v>
      </c>
      <c r="R334" t="s">
        <v>748</v>
      </c>
    </row>
    <row r="335" spans="1:18">
      <c r="A335">
        <v>1356</v>
      </c>
      <c r="B335" t="s">
        <v>1470</v>
      </c>
      <c r="C335" t="s">
        <v>7</v>
      </c>
      <c r="D335" t="s">
        <v>1274</v>
      </c>
      <c r="I335" t="s">
        <v>24</v>
      </c>
      <c r="K335" t="s">
        <v>313</v>
      </c>
      <c r="L335" s="67">
        <v>0.25</v>
      </c>
      <c r="N335" s="67">
        <v>0.05</v>
      </c>
      <c r="O335" s="68">
        <v>44508</v>
      </c>
      <c r="P335" s="68">
        <v>44508</v>
      </c>
      <c r="Q335" s="57">
        <v>1254.7649426583337</v>
      </c>
      <c r="R335" t="s">
        <v>748</v>
      </c>
    </row>
    <row r="336" spans="1:18">
      <c r="A336">
        <v>1357</v>
      </c>
      <c r="B336" t="s">
        <v>1473</v>
      </c>
      <c r="C336" t="s">
        <v>7</v>
      </c>
      <c r="D336" t="s">
        <v>1472</v>
      </c>
      <c r="I336" t="s">
        <v>135</v>
      </c>
      <c r="K336" t="s">
        <v>313</v>
      </c>
      <c r="L336" s="67">
        <v>0.25</v>
      </c>
      <c r="N336" s="67">
        <v>0.05</v>
      </c>
      <c r="O336" s="68">
        <v>44510</v>
      </c>
      <c r="P336" s="68">
        <v>44510</v>
      </c>
      <c r="Q336" s="57">
        <v>1727.7486578333339</v>
      </c>
      <c r="R336" t="s">
        <v>748</v>
      </c>
    </row>
    <row r="337" spans="1:18">
      <c r="A337">
        <v>1358</v>
      </c>
      <c r="B337" t="s">
        <v>1475</v>
      </c>
      <c r="C337" t="s">
        <v>7</v>
      </c>
      <c r="D337" t="s">
        <v>1474</v>
      </c>
      <c r="E337">
        <v>1</v>
      </c>
      <c r="I337" t="s">
        <v>938</v>
      </c>
      <c r="K337" t="s">
        <v>313</v>
      </c>
      <c r="L337" s="67">
        <v>0.25</v>
      </c>
      <c r="N337" s="67">
        <v>0</v>
      </c>
      <c r="O337" s="68">
        <v>44512</v>
      </c>
      <c r="P337" s="68">
        <v>44512</v>
      </c>
      <c r="Q337" s="57">
        <v>1172.2145856499999</v>
      </c>
      <c r="R337" t="s">
        <v>748</v>
      </c>
    </row>
    <row r="338" spans="1:18">
      <c r="A338">
        <v>1359</v>
      </c>
      <c r="B338" t="s">
        <v>1476</v>
      </c>
      <c r="C338" t="s">
        <v>7</v>
      </c>
      <c r="D338" t="s">
        <v>1474</v>
      </c>
      <c r="E338">
        <v>1</v>
      </c>
      <c r="I338" t="s">
        <v>938</v>
      </c>
      <c r="K338" t="s">
        <v>313</v>
      </c>
      <c r="L338" s="67">
        <v>0.25</v>
      </c>
      <c r="N338" s="67">
        <v>0</v>
      </c>
      <c r="O338" s="68">
        <v>44512</v>
      </c>
      <c r="P338" s="68">
        <v>44512</v>
      </c>
      <c r="Q338" s="57">
        <v>1172.2145856500001</v>
      </c>
      <c r="R338" t="s">
        <v>748</v>
      </c>
    </row>
    <row r="339" spans="1:18">
      <c r="A339">
        <v>1360</v>
      </c>
      <c r="B339" t="s">
        <v>1478</v>
      </c>
      <c r="C339" t="s">
        <v>0</v>
      </c>
      <c r="D339" t="s">
        <v>1477</v>
      </c>
      <c r="E339">
        <v>1</v>
      </c>
      <c r="I339" t="s">
        <v>24</v>
      </c>
      <c r="K339" t="s">
        <v>313</v>
      </c>
      <c r="L339" s="67">
        <v>0.25</v>
      </c>
      <c r="N339" s="67">
        <v>0</v>
      </c>
      <c r="O339" s="68">
        <v>44516</v>
      </c>
      <c r="P339" s="68">
        <v>44516</v>
      </c>
      <c r="Q339" s="57">
        <v>1254.7649426583332</v>
      </c>
      <c r="R339" t="s">
        <v>748</v>
      </c>
    </row>
    <row r="340" spans="1:18">
      <c r="A340">
        <v>1361</v>
      </c>
      <c r="B340" t="s">
        <v>1480</v>
      </c>
      <c r="C340" t="s">
        <v>0</v>
      </c>
      <c r="D340" t="s">
        <v>1479</v>
      </c>
      <c r="I340" t="s">
        <v>24</v>
      </c>
      <c r="K340" t="s">
        <v>313</v>
      </c>
      <c r="L340" s="67">
        <v>0.25</v>
      </c>
      <c r="N340" s="67">
        <v>0</v>
      </c>
      <c r="O340" s="68">
        <v>44516</v>
      </c>
      <c r="P340" s="68">
        <v>44516</v>
      </c>
      <c r="Q340" s="57">
        <v>1254.7649426583332</v>
      </c>
      <c r="R340" t="s">
        <v>748</v>
      </c>
    </row>
    <row r="341" spans="1:18">
      <c r="A341">
        <v>1362</v>
      </c>
      <c r="B341" t="s">
        <v>1481</v>
      </c>
      <c r="C341" t="s">
        <v>0</v>
      </c>
      <c r="D341" t="s">
        <v>1305</v>
      </c>
      <c r="I341" t="s">
        <v>24</v>
      </c>
      <c r="K341" t="s">
        <v>313</v>
      </c>
      <c r="L341" s="67">
        <v>0.25</v>
      </c>
      <c r="N341" s="67">
        <v>0</v>
      </c>
      <c r="O341" s="68">
        <v>44520</v>
      </c>
      <c r="P341" s="68">
        <v>44520</v>
      </c>
      <c r="Q341" s="57">
        <v>1217.1219943785834</v>
      </c>
      <c r="R341" t="s">
        <v>748</v>
      </c>
    </row>
    <row r="342" spans="1:18">
      <c r="A342">
        <v>1363</v>
      </c>
      <c r="B342" t="s">
        <v>1483</v>
      </c>
      <c r="C342" t="s">
        <v>0</v>
      </c>
      <c r="D342" t="s">
        <v>1482</v>
      </c>
      <c r="I342" t="s">
        <v>24</v>
      </c>
      <c r="K342" t="s">
        <v>313</v>
      </c>
      <c r="L342" s="67">
        <v>0.25</v>
      </c>
      <c r="N342" s="67">
        <v>0.05</v>
      </c>
      <c r="O342" s="68">
        <v>44522</v>
      </c>
      <c r="P342" s="68">
        <v>44522</v>
      </c>
      <c r="Q342" s="57">
        <v>1244.2951448221663</v>
      </c>
      <c r="R342" t="s">
        <v>748</v>
      </c>
    </row>
    <row r="343" spans="1:18">
      <c r="A343">
        <v>1364</v>
      </c>
      <c r="B343" t="s">
        <v>1485</v>
      </c>
      <c r="C343" t="s">
        <v>7</v>
      </c>
      <c r="D343" t="s">
        <v>1484</v>
      </c>
      <c r="I343" t="s">
        <v>24</v>
      </c>
      <c r="K343" t="s">
        <v>313</v>
      </c>
      <c r="L343" s="67">
        <v>0.25</v>
      </c>
      <c r="N343" s="67">
        <v>0.05</v>
      </c>
      <c r="O343" s="68">
        <v>44522</v>
      </c>
      <c r="P343" s="68">
        <v>44522</v>
      </c>
      <c r="Q343" s="57">
        <v>1192.0266955254169</v>
      </c>
      <c r="R343" t="s">
        <v>748</v>
      </c>
    </row>
    <row r="344" spans="1:18">
      <c r="A344">
        <v>1365</v>
      </c>
      <c r="B344" t="s">
        <v>1487</v>
      </c>
      <c r="C344" t="s">
        <v>7</v>
      </c>
      <c r="D344" t="s">
        <v>1484</v>
      </c>
      <c r="E344" t="s">
        <v>1486</v>
      </c>
      <c r="I344" t="s">
        <v>24</v>
      </c>
      <c r="K344" t="s">
        <v>313</v>
      </c>
      <c r="L344" s="67">
        <v>0.25</v>
      </c>
      <c r="N344" s="67">
        <v>0.05</v>
      </c>
      <c r="O344" s="68">
        <v>44522</v>
      </c>
      <c r="P344" s="68">
        <v>44522</v>
      </c>
      <c r="Q344" s="57">
        <v>1192.0266955254169</v>
      </c>
      <c r="R344" t="s">
        <v>748</v>
      </c>
    </row>
    <row r="345" spans="1:18">
      <c r="A345">
        <v>1366</v>
      </c>
      <c r="B345" t="s">
        <v>1488</v>
      </c>
      <c r="C345" t="s">
        <v>7</v>
      </c>
      <c r="D345" t="s">
        <v>917</v>
      </c>
      <c r="E345" t="s">
        <v>154</v>
      </c>
      <c r="I345" t="s">
        <v>24</v>
      </c>
      <c r="K345" t="s">
        <v>313</v>
      </c>
      <c r="L345" s="67">
        <v>0.25</v>
      </c>
      <c r="N345" s="67">
        <v>0.05</v>
      </c>
      <c r="O345" s="68">
        <v>44522</v>
      </c>
      <c r="P345" s="68">
        <v>44522</v>
      </c>
      <c r="Q345" s="57">
        <v>1254.7649426583332</v>
      </c>
      <c r="R345" t="s">
        <v>748</v>
      </c>
    </row>
    <row r="346" spans="1:18">
      <c r="A346">
        <v>1367</v>
      </c>
      <c r="B346" t="s">
        <v>1489</v>
      </c>
      <c r="C346" t="s">
        <v>7</v>
      </c>
      <c r="D346" t="s">
        <v>1346</v>
      </c>
      <c r="E346" t="s">
        <v>1244</v>
      </c>
      <c r="I346" t="s">
        <v>1244</v>
      </c>
      <c r="K346" t="s">
        <v>313</v>
      </c>
      <c r="L346" s="67">
        <v>0.25</v>
      </c>
      <c r="N346" s="67">
        <v>0.05</v>
      </c>
      <c r="O346" s="68">
        <v>44522</v>
      </c>
      <c r="P346" s="68">
        <v>44522</v>
      </c>
      <c r="Q346" s="57">
        <v>1382.248151867002</v>
      </c>
      <c r="R346" t="s">
        <v>748</v>
      </c>
    </row>
    <row r="347" spans="1:18">
      <c r="A347">
        <v>1368</v>
      </c>
      <c r="B347" t="s">
        <v>1491</v>
      </c>
      <c r="C347" t="s">
        <v>7</v>
      </c>
      <c r="D347" t="s">
        <v>1490</v>
      </c>
      <c r="I347" t="s">
        <v>24</v>
      </c>
      <c r="K347" t="s">
        <v>313</v>
      </c>
      <c r="L347" s="67">
        <v>0.25</v>
      </c>
      <c r="N347" s="67">
        <v>0</v>
      </c>
      <c r="O347" s="68">
        <v>44522</v>
      </c>
      <c r="P347" s="68">
        <v>44522</v>
      </c>
      <c r="Q347" s="57">
        <v>1254.7649426583334</v>
      </c>
      <c r="R347" t="s">
        <v>748</v>
      </c>
    </row>
    <row r="348" spans="1:18">
      <c r="A348">
        <v>1369</v>
      </c>
      <c r="B348" t="s">
        <v>1496</v>
      </c>
      <c r="C348" t="s">
        <v>0</v>
      </c>
      <c r="D348" t="s">
        <v>1492</v>
      </c>
      <c r="E348" t="s">
        <v>1495</v>
      </c>
      <c r="I348" t="s">
        <v>133</v>
      </c>
      <c r="K348" t="s">
        <v>313</v>
      </c>
      <c r="L348" s="67">
        <v>0.2</v>
      </c>
      <c r="N348" s="67">
        <v>0</v>
      </c>
      <c r="O348" s="68">
        <v>44523</v>
      </c>
      <c r="P348" s="68">
        <v>44523</v>
      </c>
      <c r="Q348" s="57">
        <v>1282.7784998166662</v>
      </c>
      <c r="R348" t="s">
        <v>748</v>
      </c>
    </row>
    <row r="349" spans="1:18">
      <c r="A349">
        <v>1370</v>
      </c>
      <c r="B349" t="s">
        <v>1498</v>
      </c>
      <c r="C349" t="s">
        <v>0</v>
      </c>
      <c r="D349" t="s">
        <v>1492</v>
      </c>
      <c r="E349" t="s">
        <v>1497</v>
      </c>
      <c r="I349" t="s">
        <v>133</v>
      </c>
      <c r="K349" t="s">
        <v>313</v>
      </c>
      <c r="L349" s="67">
        <v>0.2</v>
      </c>
      <c r="N349" s="67">
        <v>0</v>
      </c>
      <c r="O349" s="68">
        <v>44523</v>
      </c>
      <c r="P349" s="68">
        <v>44523</v>
      </c>
      <c r="Q349" s="57">
        <v>1282.7784998166662</v>
      </c>
      <c r="R349" t="s">
        <v>748</v>
      </c>
    </row>
    <row r="350" spans="1:18">
      <c r="A350">
        <v>1371</v>
      </c>
      <c r="B350" t="s">
        <v>1500</v>
      </c>
      <c r="C350" t="s">
        <v>7</v>
      </c>
      <c r="D350" t="s">
        <v>1389</v>
      </c>
      <c r="E350" t="s">
        <v>1499</v>
      </c>
      <c r="I350" t="s">
        <v>1136</v>
      </c>
      <c r="K350" t="s">
        <v>313</v>
      </c>
      <c r="L350" s="67">
        <v>0.2</v>
      </c>
      <c r="N350" s="67">
        <v>0.05</v>
      </c>
      <c r="O350" s="68">
        <v>44524</v>
      </c>
      <c r="P350" s="68">
        <v>44524</v>
      </c>
      <c r="Q350" s="57">
        <v>1340.7807073109918</v>
      </c>
      <c r="R350" t="s">
        <v>748</v>
      </c>
    </row>
    <row r="351" spans="1:18">
      <c r="A351">
        <v>1372</v>
      </c>
      <c r="B351" t="s">
        <v>1501</v>
      </c>
      <c r="C351" t="s">
        <v>7</v>
      </c>
      <c r="D351" t="s">
        <v>1317</v>
      </c>
      <c r="E351">
        <v>112021</v>
      </c>
      <c r="I351" t="s">
        <v>24</v>
      </c>
      <c r="K351" t="s">
        <v>313</v>
      </c>
      <c r="L351" s="67">
        <v>0.25</v>
      </c>
      <c r="N351" s="67">
        <v>0.05</v>
      </c>
      <c r="O351" s="68">
        <v>44524</v>
      </c>
      <c r="P351" s="68">
        <v>44524</v>
      </c>
      <c r="Q351" s="57">
        <v>1217.1219943785834</v>
      </c>
      <c r="R351" t="s">
        <v>748</v>
      </c>
    </row>
    <row r="352" spans="1:18">
      <c r="A352">
        <v>1373</v>
      </c>
      <c r="B352" t="s">
        <v>1503</v>
      </c>
      <c r="C352" t="s">
        <v>7</v>
      </c>
      <c r="D352" t="s">
        <v>1317</v>
      </c>
      <c r="E352" t="s">
        <v>1502</v>
      </c>
      <c r="I352" t="s">
        <v>24</v>
      </c>
      <c r="K352" t="s">
        <v>313</v>
      </c>
      <c r="L352" s="67">
        <v>0.25</v>
      </c>
      <c r="N352" s="67">
        <v>0.05</v>
      </c>
      <c r="O352" s="68">
        <v>44524</v>
      </c>
      <c r="P352" s="68">
        <v>44524</v>
      </c>
      <c r="Q352" s="57">
        <v>1217.1219943785834</v>
      </c>
      <c r="R352" t="s">
        <v>748</v>
      </c>
    </row>
    <row r="353" spans="1:18">
      <c r="A353">
        <v>1374</v>
      </c>
      <c r="B353" t="s">
        <v>1506</v>
      </c>
      <c r="C353" t="s">
        <v>0</v>
      </c>
      <c r="D353" t="s">
        <v>1504</v>
      </c>
      <c r="I353" t="s">
        <v>1505</v>
      </c>
      <c r="K353" t="s">
        <v>313</v>
      </c>
      <c r="L353" s="67">
        <v>0.25</v>
      </c>
      <c r="N353" s="67">
        <v>0</v>
      </c>
      <c r="O353" s="68">
        <v>44524</v>
      </c>
      <c r="P353" s="68">
        <v>44524</v>
      </c>
      <c r="Q353" s="57">
        <v>1282.7784998166662</v>
      </c>
      <c r="R353" t="s">
        <v>748</v>
      </c>
    </row>
    <row r="354" spans="1:18">
      <c r="A354">
        <v>1375</v>
      </c>
      <c r="B354" t="s">
        <v>1508</v>
      </c>
      <c r="C354" t="s">
        <v>0</v>
      </c>
      <c r="D354" t="s">
        <v>1507</v>
      </c>
      <c r="I354" t="s">
        <v>1272</v>
      </c>
      <c r="K354" t="s">
        <v>313</v>
      </c>
      <c r="L354" s="67">
        <v>0.25</v>
      </c>
      <c r="N354" s="67">
        <v>0</v>
      </c>
      <c r="O354" s="68">
        <v>44532</v>
      </c>
      <c r="P354" s="68">
        <v>44532</v>
      </c>
      <c r="Q354" s="57">
        <v>1254.7649426583337</v>
      </c>
      <c r="R354" t="s">
        <v>748</v>
      </c>
    </row>
    <row r="355" spans="1:18">
      <c r="A355">
        <v>1376</v>
      </c>
      <c r="B355" t="s">
        <v>1511</v>
      </c>
      <c r="C355" t="s">
        <v>0</v>
      </c>
      <c r="D355" t="s">
        <v>1509</v>
      </c>
      <c r="E355" t="s">
        <v>1510</v>
      </c>
      <c r="I355" t="s">
        <v>1055</v>
      </c>
      <c r="K355" t="s">
        <v>313</v>
      </c>
      <c r="L355" s="67">
        <v>0.23</v>
      </c>
      <c r="N355" s="67">
        <v>0</v>
      </c>
      <c r="O355" s="68">
        <v>44536</v>
      </c>
      <c r="P355" s="68">
        <v>44536</v>
      </c>
      <c r="Q355" s="57">
        <v>1362.9917727750001</v>
      </c>
      <c r="R355" t="s">
        <v>748</v>
      </c>
    </row>
    <row r="356" spans="1:18">
      <c r="A356">
        <v>1377</v>
      </c>
      <c r="B356" t="s">
        <v>1514</v>
      </c>
      <c r="C356" t="s">
        <v>0</v>
      </c>
      <c r="D356" t="s">
        <v>1512</v>
      </c>
      <c r="E356" t="s">
        <v>1513</v>
      </c>
      <c r="I356" t="s">
        <v>24</v>
      </c>
      <c r="K356" t="s">
        <v>313</v>
      </c>
      <c r="L356" s="67">
        <v>0.25</v>
      </c>
      <c r="N356" s="67">
        <v>0.05</v>
      </c>
      <c r="O356" s="68">
        <v>44539</v>
      </c>
      <c r="P356" s="68">
        <v>44539</v>
      </c>
      <c r="Q356" s="57">
        <v>1254.7649426583337</v>
      </c>
      <c r="R356" t="s">
        <v>748</v>
      </c>
    </row>
    <row r="357" spans="1:18">
      <c r="A357">
        <v>1378</v>
      </c>
      <c r="B357" t="s">
        <v>1516</v>
      </c>
      <c r="C357" t="s">
        <v>7</v>
      </c>
      <c r="D357" t="s">
        <v>1515</v>
      </c>
      <c r="E357" t="s">
        <v>1030</v>
      </c>
      <c r="I357" t="s">
        <v>1030</v>
      </c>
      <c r="K357" t="s">
        <v>313</v>
      </c>
      <c r="L357" s="67">
        <v>0.25</v>
      </c>
      <c r="N357" s="67">
        <v>0.05</v>
      </c>
      <c r="O357" s="68">
        <v>44539</v>
      </c>
      <c r="P357" s="68">
        <v>44539</v>
      </c>
      <c r="Q357" s="57">
        <v>1362.9917727749998</v>
      </c>
      <c r="R357" t="s">
        <v>748</v>
      </c>
    </row>
    <row r="358" spans="1:18">
      <c r="A358">
        <v>1379</v>
      </c>
      <c r="B358" t="s">
        <v>1518</v>
      </c>
      <c r="C358" t="s">
        <v>0</v>
      </c>
      <c r="D358" t="s">
        <v>1517</v>
      </c>
      <c r="I358" t="s">
        <v>24</v>
      </c>
      <c r="K358" t="s">
        <v>313</v>
      </c>
      <c r="L358" s="67">
        <v>0.25</v>
      </c>
      <c r="N358" s="67">
        <v>0.05</v>
      </c>
      <c r="O358" s="68">
        <v>44539</v>
      </c>
      <c r="P358" s="68">
        <v>44539</v>
      </c>
      <c r="Q358" s="57">
        <v>1254.7649426583332</v>
      </c>
      <c r="R358" t="s">
        <v>748</v>
      </c>
    </row>
    <row r="359" spans="1:18">
      <c r="A359">
        <v>1380</v>
      </c>
      <c r="B359" t="s">
        <v>1520</v>
      </c>
      <c r="C359" t="s">
        <v>7</v>
      </c>
      <c r="D359" t="s">
        <v>1519</v>
      </c>
      <c r="I359" t="s">
        <v>753</v>
      </c>
      <c r="K359" t="s">
        <v>313</v>
      </c>
      <c r="L359" s="67">
        <v>0.25</v>
      </c>
      <c r="N359" s="67">
        <v>0.05</v>
      </c>
      <c r="O359" s="68">
        <v>44539</v>
      </c>
      <c r="P359" s="68">
        <v>44539</v>
      </c>
      <c r="Q359" s="57">
        <v>1242.2172932317501</v>
      </c>
      <c r="R359" t="s">
        <v>748</v>
      </c>
    </row>
    <row r="360" spans="1:18">
      <c r="A360">
        <v>1381</v>
      </c>
      <c r="B360" t="s">
        <v>1522</v>
      </c>
      <c r="C360" t="s">
        <v>7</v>
      </c>
      <c r="D360" t="s">
        <v>1521</v>
      </c>
      <c r="I360" t="s">
        <v>24</v>
      </c>
      <c r="K360" t="s">
        <v>313</v>
      </c>
      <c r="L360" s="67">
        <v>0.25</v>
      </c>
      <c r="N360" s="67">
        <v>0.05</v>
      </c>
      <c r="O360" s="68">
        <v>44539</v>
      </c>
      <c r="P360" s="68">
        <v>44539</v>
      </c>
      <c r="Q360" s="57">
        <v>1254.7649426583332</v>
      </c>
      <c r="R360" t="s">
        <v>748</v>
      </c>
    </row>
    <row r="361" spans="1:18">
      <c r="A361">
        <v>1382</v>
      </c>
      <c r="B361" t="s">
        <v>1524</v>
      </c>
      <c r="C361" t="s">
        <v>0</v>
      </c>
      <c r="D361" t="s">
        <v>1523</v>
      </c>
      <c r="I361" t="s">
        <v>817</v>
      </c>
      <c r="K361" t="s">
        <v>313</v>
      </c>
      <c r="L361" s="67">
        <v>0.25</v>
      </c>
      <c r="N361" s="67">
        <v>0.05</v>
      </c>
      <c r="O361" s="68">
        <v>44539</v>
      </c>
      <c r="P361" s="68">
        <v>44539</v>
      </c>
      <c r="Q361" s="57">
        <v>1192.0266955254165</v>
      </c>
      <c r="R361" t="s">
        <v>748</v>
      </c>
    </row>
    <row r="362" spans="1:18">
      <c r="A362">
        <v>1383</v>
      </c>
      <c r="B362" t="s">
        <v>1527</v>
      </c>
      <c r="C362" t="s">
        <v>7</v>
      </c>
      <c r="D362" t="s">
        <v>1525</v>
      </c>
      <c r="E362" t="s">
        <v>1526</v>
      </c>
      <c r="I362" t="s">
        <v>1244</v>
      </c>
      <c r="K362" t="s">
        <v>313</v>
      </c>
      <c r="L362" s="67">
        <v>0.25</v>
      </c>
      <c r="N362" s="67">
        <v>0.05</v>
      </c>
      <c r="O362" s="68">
        <v>44540</v>
      </c>
      <c r="P362" s="68">
        <v>44540</v>
      </c>
      <c r="Q362" s="57">
        <v>1313.1357442736519</v>
      </c>
      <c r="R362" t="s">
        <v>748</v>
      </c>
    </row>
    <row r="363" spans="1:18">
      <c r="A363">
        <v>1384</v>
      </c>
      <c r="B363" t="s">
        <v>1529</v>
      </c>
      <c r="C363" t="s">
        <v>7</v>
      </c>
      <c r="D363" t="s">
        <v>1525</v>
      </c>
      <c r="E363" t="s">
        <v>1528</v>
      </c>
      <c r="I363" t="s">
        <v>1244</v>
      </c>
      <c r="K363" t="s">
        <v>313</v>
      </c>
      <c r="L363" s="67">
        <v>0.25</v>
      </c>
      <c r="N363" s="67">
        <v>0.05</v>
      </c>
      <c r="O363" s="68">
        <v>44540</v>
      </c>
      <c r="P363" s="68">
        <v>44540</v>
      </c>
      <c r="Q363" s="57">
        <v>1313.1357442736519</v>
      </c>
      <c r="R363" t="s">
        <v>748</v>
      </c>
    </row>
    <row r="364" spans="1:18">
      <c r="A364">
        <v>1385</v>
      </c>
      <c r="B364" t="s">
        <v>1531</v>
      </c>
      <c r="C364" t="s">
        <v>7</v>
      </c>
      <c r="D364" t="s">
        <v>1525</v>
      </c>
      <c r="E364" t="s">
        <v>1530</v>
      </c>
      <c r="I364" t="s">
        <v>1244</v>
      </c>
      <c r="K364" t="s">
        <v>313</v>
      </c>
      <c r="L364" s="67">
        <v>0.25</v>
      </c>
      <c r="N364" s="67">
        <v>0.05</v>
      </c>
      <c r="O364" s="68">
        <v>44540</v>
      </c>
      <c r="P364" s="68">
        <v>44540</v>
      </c>
      <c r="Q364" s="57">
        <v>1313.1357442736519</v>
      </c>
      <c r="R364" t="s">
        <v>748</v>
      </c>
    </row>
    <row r="365" spans="1:18">
      <c r="A365">
        <v>1386</v>
      </c>
      <c r="B365" t="s">
        <v>1533</v>
      </c>
      <c r="C365" t="s">
        <v>0</v>
      </c>
      <c r="D365" t="s">
        <v>1532</v>
      </c>
      <c r="E365" t="s">
        <v>1055</v>
      </c>
      <c r="I365" t="s">
        <v>1055</v>
      </c>
      <c r="K365" t="s">
        <v>313</v>
      </c>
      <c r="L365" s="67">
        <v>0.25</v>
      </c>
      <c r="N365" s="67">
        <v>0.05</v>
      </c>
      <c r="O365" s="68">
        <v>44540</v>
      </c>
      <c r="P365" s="68">
        <v>44540</v>
      </c>
      <c r="Q365" s="57">
        <v>1335.7319373195</v>
      </c>
      <c r="R365" t="s">
        <v>748</v>
      </c>
    </row>
    <row r="366" spans="1:18">
      <c r="A366">
        <v>1387</v>
      </c>
      <c r="B366" t="s">
        <v>1536</v>
      </c>
      <c r="C366" t="s">
        <v>7</v>
      </c>
      <c r="D366" t="s">
        <v>1534</v>
      </c>
      <c r="I366" t="s">
        <v>1535</v>
      </c>
      <c r="K366" t="s">
        <v>313</v>
      </c>
      <c r="L366" s="67">
        <v>0.25</v>
      </c>
      <c r="N366" s="67">
        <v>0.05</v>
      </c>
      <c r="O366" s="68">
        <v>44540</v>
      </c>
      <c r="P366" s="68">
        <v>44540</v>
      </c>
      <c r="Q366" s="57">
        <v>1382.2481518670022</v>
      </c>
      <c r="R366" t="s">
        <v>748</v>
      </c>
    </row>
    <row r="367" spans="1:18">
      <c r="A367">
        <v>1388</v>
      </c>
      <c r="B367" t="s">
        <v>1538</v>
      </c>
      <c r="C367" t="s">
        <v>7</v>
      </c>
      <c r="D367" t="s">
        <v>1534</v>
      </c>
      <c r="E367" t="s">
        <v>1537</v>
      </c>
      <c r="I367" t="s">
        <v>1535</v>
      </c>
      <c r="K367" t="s">
        <v>313</v>
      </c>
      <c r="L367" s="67">
        <v>0.17</v>
      </c>
      <c r="N367" s="67">
        <v>0.03</v>
      </c>
      <c r="O367" s="68">
        <v>44540</v>
      </c>
      <c r="P367" s="68">
        <v>44540</v>
      </c>
      <c r="Q367" s="57">
        <v>1382.2481518670022</v>
      </c>
      <c r="R367" t="s">
        <v>748</v>
      </c>
    </row>
    <row r="368" spans="1:18">
      <c r="A368">
        <v>1389</v>
      </c>
      <c r="B368" t="s">
        <v>1541</v>
      </c>
      <c r="C368" t="s">
        <v>7</v>
      </c>
      <c r="D368" t="s">
        <v>1539</v>
      </c>
      <c r="E368" t="s">
        <v>1540</v>
      </c>
      <c r="I368" t="s">
        <v>1069</v>
      </c>
      <c r="K368" t="s">
        <v>313</v>
      </c>
      <c r="L368" s="67">
        <v>0.25</v>
      </c>
      <c r="N368" s="67">
        <v>0.05</v>
      </c>
      <c r="O368" s="68">
        <v>44540</v>
      </c>
      <c r="P368" s="68">
        <v>44540</v>
      </c>
      <c r="Q368" s="57">
        <v>1601.4903050384175</v>
      </c>
      <c r="R368" t="s">
        <v>748</v>
      </c>
    </row>
    <row r="369" spans="1:18">
      <c r="A369">
        <v>1390</v>
      </c>
      <c r="B369" t="s">
        <v>1544</v>
      </c>
      <c r="C369" t="s">
        <v>0</v>
      </c>
      <c r="D369" t="s">
        <v>1542</v>
      </c>
      <c r="I369" t="s">
        <v>24</v>
      </c>
      <c r="K369" t="s">
        <v>313</v>
      </c>
      <c r="L369" s="67">
        <v>0.23</v>
      </c>
      <c r="N369" s="67">
        <v>0.05</v>
      </c>
      <c r="O369" s="68">
        <v>44543</v>
      </c>
      <c r="P369" s="68">
        <v>44543</v>
      </c>
      <c r="Q369" s="57">
        <v>1254.7649426583334</v>
      </c>
      <c r="R369" t="s">
        <v>748</v>
      </c>
    </row>
    <row r="370" spans="1:18">
      <c r="A370">
        <v>1391</v>
      </c>
      <c r="B370" t="s">
        <v>1546</v>
      </c>
      <c r="C370" t="s">
        <v>7</v>
      </c>
      <c r="D370" t="s">
        <v>1545</v>
      </c>
      <c r="I370" t="s">
        <v>1136</v>
      </c>
      <c r="K370" t="s">
        <v>313</v>
      </c>
      <c r="L370" s="67">
        <v>0.22</v>
      </c>
      <c r="N370" s="67">
        <v>0.05</v>
      </c>
      <c r="O370" s="68">
        <v>44543</v>
      </c>
      <c r="P370" s="68">
        <v>44543</v>
      </c>
      <c r="Q370" s="57">
        <v>1382.2481518670022</v>
      </c>
      <c r="R370" t="s">
        <v>748</v>
      </c>
    </row>
    <row r="371" spans="1:18">
      <c r="A371">
        <v>1392</v>
      </c>
      <c r="B371" t="s">
        <v>1548</v>
      </c>
      <c r="C371" t="s">
        <v>7</v>
      </c>
      <c r="D371" t="s">
        <v>1547</v>
      </c>
      <c r="E371">
        <v>7695462</v>
      </c>
      <c r="I371" t="s">
        <v>133</v>
      </c>
      <c r="K371" t="s">
        <v>313</v>
      </c>
      <c r="L371" s="67">
        <v>0.25</v>
      </c>
      <c r="N371" s="67">
        <v>0.02</v>
      </c>
      <c r="O371" s="68">
        <v>44543</v>
      </c>
      <c r="P371" s="68">
        <v>44543</v>
      </c>
      <c r="Q371" s="57">
        <v>1282.7784998166662</v>
      </c>
      <c r="R371" t="s">
        <v>748</v>
      </c>
    </row>
    <row r="372" spans="1:18">
      <c r="A372">
        <v>1393</v>
      </c>
      <c r="B372" t="s">
        <v>1549</v>
      </c>
      <c r="C372" t="s">
        <v>7</v>
      </c>
      <c r="D372" t="s">
        <v>1547</v>
      </c>
      <c r="E372">
        <v>6932398</v>
      </c>
      <c r="I372" t="s">
        <v>133</v>
      </c>
      <c r="K372" t="s">
        <v>313</v>
      </c>
      <c r="L372" s="67">
        <v>0.23</v>
      </c>
      <c r="N372" s="67">
        <v>0.03</v>
      </c>
      <c r="O372" s="68">
        <v>44543</v>
      </c>
      <c r="P372" s="68">
        <v>44543</v>
      </c>
      <c r="Q372" s="57">
        <v>1282.7784998166665</v>
      </c>
      <c r="R372" t="s">
        <v>748</v>
      </c>
    </row>
    <row r="373" spans="1:18">
      <c r="A373">
        <v>1394</v>
      </c>
      <c r="B373" t="s">
        <v>1551</v>
      </c>
      <c r="C373" t="s">
        <v>7</v>
      </c>
      <c r="D373" t="s">
        <v>1547</v>
      </c>
      <c r="E373" t="s">
        <v>1550</v>
      </c>
      <c r="I373" t="s">
        <v>133</v>
      </c>
      <c r="K373" t="s">
        <v>313</v>
      </c>
      <c r="L373" s="67">
        <v>0.23</v>
      </c>
      <c r="N373" s="67">
        <v>0.03</v>
      </c>
      <c r="O373" s="68">
        <v>44543</v>
      </c>
      <c r="P373" s="68">
        <v>44543</v>
      </c>
      <c r="Q373" s="57">
        <v>1282.7784998166665</v>
      </c>
      <c r="R373" t="s">
        <v>748</v>
      </c>
    </row>
    <row r="374" spans="1:18">
      <c r="A374">
        <v>1395</v>
      </c>
      <c r="B374" t="s">
        <v>1553</v>
      </c>
      <c r="C374" t="s">
        <v>0</v>
      </c>
      <c r="D374" t="s">
        <v>1552</v>
      </c>
      <c r="I374" t="s">
        <v>133</v>
      </c>
      <c r="K374" t="s">
        <v>313</v>
      </c>
      <c r="L374" s="67">
        <v>0.25</v>
      </c>
      <c r="N374" s="67">
        <v>0.03</v>
      </c>
      <c r="O374" s="68">
        <v>44543</v>
      </c>
      <c r="P374" s="68">
        <v>44543</v>
      </c>
      <c r="Q374" s="57">
        <v>1282.7784998166662</v>
      </c>
      <c r="R374" t="s">
        <v>748</v>
      </c>
    </row>
    <row r="375" spans="1:18">
      <c r="A375">
        <v>1396</v>
      </c>
      <c r="B375" t="s">
        <v>1555</v>
      </c>
      <c r="C375" t="s">
        <v>0</v>
      </c>
      <c r="D375" t="s">
        <v>811</v>
      </c>
      <c r="I375" t="s">
        <v>1554</v>
      </c>
      <c r="K375" t="s">
        <v>313</v>
      </c>
      <c r="L375" s="67">
        <v>0.25</v>
      </c>
      <c r="N375" s="67">
        <v>0.03</v>
      </c>
      <c r="O375" s="68">
        <v>44544</v>
      </c>
      <c r="P375" s="68">
        <v>44544</v>
      </c>
      <c r="Q375" s="57">
        <v>1282.7784998166662</v>
      </c>
      <c r="R375" t="s">
        <v>748</v>
      </c>
    </row>
    <row r="376" spans="1:18">
      <c r="A376">
        <v>1397</v>
      </c>
      <c r="B376" t="s">
        <v>1556</v>
      </c>
      <c r="C376" t="s">
        <v>7</v>
      </c>
      <c r="D376" t="s">
        <v>1547</v>
      </c>
      <c r="E376">
        <v>1</v>
      </c>
      <c r="I376" t="s">
        <v>133</v>
      </c>
      <c r="K376" t="s">
        <v>313</v>
      </c>
      <c r="L376" s="67">
        <v>0.23</v>
      </c>
      <c r="N376" s="67">
        <v>0.03</v>
      </c>
      <c r="O376" s="68">
        <v>44544</v>
      </c>
      <c r="P376" s="68">
        <v>44544</v>
      </c>
      <c r="Q376" s="57">
        <v>1282.7784998166665</v>
      </c>
      <c r="R376" t="s">
        <v>748</v>
      </c>
    </row>
    <row r="377" spans="1:18">
      <c r="A377">
        <v>1398</v>
      </c>
      <c r="B377" t="s">
        <v>1557</v>
      </c>
      <c r="C377" t="s">
        <v>7</v>
      </c>
      <c r="D377" t="s">
        <v>1547</v>
      </c>
      <c r="E377">
        <v>1</v>
      </c>
      <c r="I377" t="s">
        <v>133</v>
      </c>
      <c r="K377" t="s">
        <v>313</v>
      </c>
      <c r="L377" s="67">
        <v>0.23</v>
      </c>
      <c r="N377" s="67">
        <v>0.03</v>
      </c>
      <c r="O377" s="68">
        <v>44544</v>
      </c>
      <c r="P377" s="68">
        <v>44544</v>
      </c>
      <c r="Q377" s="57">
        <v>1282.7784998166665</v>
      </c>
      <c r="R377" t="s">
        <v>748</v>
      </c>
    </row>
    <row r="378" spans="1:18">
      <c r="A378">
        <v>1399</v>
      </c>
      <c r="B378" t="s">
        <v>1558</v>
      </c>
      <c r="C378" t="s">
        <v>7</v>
      </c>
      <c r="D378" t="s">
        <v>1547</v>
      </c>
      <c r="E378">
        <v>2</v>
      </c>
      <c r="I378" t="s">
        <v>133</v>
      </c>
      <c r="K378" t="s">
        <v>313</v>
      </c>
      <c r="L378" s="67">
        <v>0.24</v>
      </c>
      <c r="N378" s="67">
        <v>0.03</v>
      </c>
      <c r="O378" s="68">
        <v>44544</v>
      </c>
      <c r="P378" s="68">
        <v>44544</v>
      </c>
      <c r="Q378" s="57">
        <v>1282.7784998166662</v>
      </c>
      <c r="R378" t="s">
        <v>748</v>
      </c>
    </row>
    <row r="379" spans="1:18">
      <c r="A379">
        <v>1400</v>
      </c>
      <c r="B379" t="s">
        <v>1559</v>
      </c>
      <c r="C379" t="s">
        <v>7</v>
      </c>
      <c r="D379" t="s">
        <v>1547</v>
      </c>
      <c r="E379">
        <v>2</v>
      </c>
      <c r="I379" t="s">
        <v>133</v>
      </c>
      <c r="K379" t="s">
        <v>313</v>
      </c>
      <c r="L379" s="67">
        <v>0.25</v>
      </c>
      <c r="N379" s="67">
        <v>0.03</v>
      </c>
      <c r="O379" s="68">
        <v>44544</v>
      </c>
      <c r="P379" s="68">
        <v>44544</v>
      </c>
      <c r="Q379" s="57">
        <v>1282.7784998166662</v>
      </c>
      <c r="R379" t="s">
        <v>748</v>
      </c>
    </row>
    <row r="380" spans="1:18">
      <c r="A380">
        <v>1401</v>
      </c>
      <c r="B380" t="s">
        <v>1562</v>
      </c>
      <c r="C380" t="s">
        <v>7</v>
      </c>
      <c r="D380" t="s">
        <v>1560</v>
      </c>
      <c r="I380" t="s">
        <v>1561</v>
      </c>
      <c r="K380" t="s">
        <v>313</v>
      </c>
      <c r="L380" s="67">
        <v>0.25</v>
      </c>
      <c r="N380" s="67">
        <v>0.01</v>
      </c>
      <c r="O380" s="68">
        <v>44546</v>
      </c>
      <c r="P380" s="68">
        <v>44546</v>
      </c>
      <c r="Q380" s="57">
        <v>1362.9917727750001</v>
      </c>
      <c r="R380" t="s">
        <v>748</v>
      </c>
    </row>
    <row r="381" spans="1:18">
      <c r="A381">
        <v>1402</v>
      </c>
      <c r="B381" t="s">
        <v>1564</v>
      </c>
      <c r="C381" t="s">
        <v>7</v>
      </c>
      <c r="D381" t="s">
        <v>1563</v>
      </c>
      <c r="I381" t="s">
        <v>24</v>
      </c>
      <c r="K381" t="s">
        <v>313</v>
      </c>
      <c r="L381" s="67">
        <v>0.25</v>
      </c>
      <c r="N381" s="67">
        <v>0</v>
      </c>
      <c r="O381" s="68">
        <v>44546</v>
      </c>
      <c r="P381" s="68">
        <v>44546</v>
      </c>
      <c r="Q381" s="57">
        <v>1254.7649426583334</v>
      </c>
      <c r="R381" t="s">
        <v>748</v>
      </c>
    </row>
    <row r="382" spans="1:18">
      <c r="A382">
        <v>1403</v>
      </c>
      <c r="B382" t="s">
        <v>1566</v>
      </c>
      <c r="C382" t="s">
        <v>7</v>
      </c>
      <c r="D382" t="s">
        <v>1563</v>
      </c>
      <c r="E382" t="s">
        <v>1565</v>
      </c>
      <c r="I382" t="s">
        <v>24</v>
      </c>
      <c r="K382" t="s">
        <v>313</v>
      </c>
      <c r="L382" s="67">
        <v>0.25</v>
      </c>
      <c r="N382" s="67">
        <v>0</v>
      </c>
      <c r="O382" s="68">
        <v>44546</v>
      </c>
      <c r="P382" s="68">
        <v>44546</v>
      </c>
      <c r="Q382" s="57">
        <v>1254.7649426583334</v>
      </c>
      <c r="R382" t="s">
        <v>748</v>
      </c>
    </row>
    <row r="383" spans="1:18">
      <c r="A383">
        <v>1404</v>
      </c>
      <c r="B383" t="s">
        <v>1568</v>
      </c>
      <c r="C383" t="s">
        <v>7</v>
      </c>
      <c r="D383" t="s">
        <v>1567</v>
      </c>
      <c r="E383" t="s">
        <v>1336</v>
      </c>
      <c r="I383" t="s">
        <v>24</v>
      </c>
      <c r="K383" t="s">
        <v>313</v>
      </c>
      <c r="L383" s="67">
        <v>0.25</v>
      </c>
      <c r="N383" s="67">
        <v>0</v>
      </c>
      <c r="O383" s="68">
        <v>44550</v>
      </c>
      <c r="P383" s="68">
        <v>44550</v>
      </c>
      <c r="Q383" s="57">
        <v>1217.1219943785834</v>
      </c>
      <c r="R383" t="s">
        <v>748</v>
      </c>
    </row>
    <row r="384" spans="1:18">
      <c r="A384">
        <v>1405</v>
      </c>
      <c r="B384" t="s">
        <v>1572</v>
      </c>
      <c r="C384" t="s">
        <v>0</v>
      </c>
      <c r="D384" t="s">
        <v>1569</v>
      </c>
      <c r="E384" t="s">
        <v>1570</v>
      </c>
      <c r="I384" t="s">
        <v>1571</v>
      </c>
      <c r="K384" t="s">
        <v>313</v>
      </c>
      <c r="L384" s="67">
        <v>0.22500000000000001</v>
      </c>
      <c r="N384" s="67">
        <v>0</v>
      </c>
      <c r="O384" s="68">
        <v>44557</v>
      </c>
      <c r="P384" s="68">
        <v>44557</v>
      </c>
      <c r="Q384" s="57">
        <v>1282.7784998166662</v>
      </c>
      <c r="R384" t="s">
        <v>748</v>
      </c>
    </row>
    <row r="385" spans="1:18">
      <c r="A385">
        <v>1406</v>
      </c>
      <c r="B385" t="s">
        <v>1575</v>
      </c>
      <c r="C385" t="s">
        <v>0</v>
      </c>
      <c r="D385" t="s">
        <v>1573</v>
      </c>
      <c r="E385" t="s">
        <v>1574</v>
      </c>
      <c r="I385" t="s">
        <v>1571</v>
      </c>
      <c r="K385" t="s">
        <v>313</v>
      </c>
      <c r="L385" s="67">
        <v>0.22797999999999999</v>
      </c>
      <c r="N385" s="67">
        <v>0</v>
      </c>
      <c r="O385" s="68">
        <v>44557</v>
      </c>
      <c r="P385" s="68">
        <v>44557</v>
      </c>
      <c r="Q385" s="57">
        <v>1282.7784998166662</v>
      </c>
      <c r="R385" t="s">
        <v>748</v>
      </c>
    </row>
    <row r="386" spans="1:18">
      <c r="A386">
        <v>1407</v>
      </c>
      <c r="B386" t="s">
        <v>1576</v>
      </c>
      <c r="C386" t="s">
        <v>0</v>
      </c>
      <c r="D386" t="s">
        <v>1573</v>
      </c>
      <c r="E386" t="s">
        <v>1574</v>
      </c>
      <c r="I386" t="s">
        <v>1571</v>
      </c>
      <c r="K386" t="s">
        <v>313</v>
      </c>
      <c r="L386" s="67">
        <v>0.22797999999999999</v>
      </c>
      <c r="N386" s="67">
        <v>0</v>
      </c>
      <c r="O386" s="68">
        <v>44557</v>
      </c>
      <c r="P386" s="68">
        <v>44557</v>
      </c>
      <c r="Q386" s="57">
        <v>1282.7784998166662</v>
      </c>
      <c r="R386" t="s">
        <v>748</v>
      </c>
    </row>
    <row r="387" spans="1:18">
      <c r="A387">
        <v>1408</v>
      </c>
      <c r="B387" t="s">
        <v>1580</v>
      </c>
      <c r="C387" t="s">
        <v>0</v>
      </c>
      <c r="D387" t="s">
        <v>1577</v>
      </c>
      <c r="E387" t="s">
        <v>1578</v>
      </c>
      <c r="I387" t="s">
        <v>1579</v>
      </c>
      <c r="K387" t="s">
        <v>313</v>
      </c>
      <c r="L387" s="67">
        <v>0.2</v>
      </c>
      <c r="N387" s="67">
        <v>0</v>
      </c>
      <c r="O387" s="68">
        <v>44557</v>
      </c>
      <c r="P387" s="68">
        <v>44557</v>
      </c>
      <c r="Q387" s="57">
        <v>1282.7784998166662</v>
      </c>
      <c r="R387" t="s">
        <v>748</v>
      </c>
    </row>
    <row r="388" spans="1:18">
      <c r="A388">
        <v>1409</v>
      </c>
      <c r="B388" t="s">
        <v>1582</v>
      </c>
      <c r="C388" t="s">
        <v>0</v>
      </c>
      <c r="D388" t="s">
        <v>1577</v>
      </c>
      <c r="E388" t="s">
        <v>1581</v>
      </c>
      <c r="I388" t="s">
        <v>1579</v>
      </c>
      <c r="K388" t="s">
        <v>313</v>
      </c>
      <c r="L388" s="67">
        <v>0.2</v>
      </c>
      <c r="N388" s="67">
        <v>0</v>
      </c>
      <c r="O388" s="68">
        <v>44557</v>
      </c>
      <c r="P388" s="68">
        <v>44557</v>
      </c>
      <c r="Q388" s="57">
        <v>1282.7784998166665</v>
      </c>
      <c r="R388" t="s">
        <v>748</v>
      </c>
    </row>
    <row r="389" spans="1:18">
      <c r="A389">
        <v>1410</v>
      </c>
      <c r="B389" t="s">
        <v>1599</v>
      </c>
      <c r="C389" t="s">
        <v>0</v>
      </c>
      <c r="D389" t="s">
        <v>1597</v>
      </c>
      <c r="E389" t="s">
        <v>1598</v>
      </c>
      <c r="I389" t="s">
        <v>1579</v>
      </c>
      <c r="K389" t="s">
        <v>313</v>
      </c>
      <c r="L389" s="67">
        <v>0.2</v>
      </c>
      <c r="N389" s="67">
        <v>0</v>
      </c>
      <c r="O389" s="68">
        <v>44563</v>
      </c>
      <c r="P389" s="68">
        <v>44563</v>
      </c>
      <c r="Q389" s="57">
        <v>1282.7784998166665</v>
      </c>
      <c r="R389" t="s">
        <v>748</v>
      </c>
    </row>
    <row r="390" spans="1:18">
      <c r="A390">
        <v>1411</v>
      </c>
      <c r="B390" t="s">
        <v>1602</v>
      </c>
      <c r="C390" t="s">
        <v>0</v>
      </c>
      <c r="D390" t="s">
        <v>1600</v>
      </c>
      <c r="E390" t="s">
        <v>1601</v>
      </c>
      <c r="I390" t="s">
        <v>1579</v>
      </c>
      <c r="K390" t="s">
        <v>313</v>
      </c>
      <c r="L390" s="67">
        <v>0.25</v>
      </c>
      <c r="N390" s="67">
        <v>0</v>
      </c>
      <c r="O390" s="68">
        <v>44563</v>
      </c>
      <c r="P390" s="68">
        <v>44563</v>
      </c>
      <c r="Q390" s="57">
        <v>1282.7784998166665</v>
      </c>
      <c r="R390" t="s">
        <v>748</v>
      </c>
    </row>
    <row r="391" spans="1:18">
      <c r="A391">
        <v>1412</v>
      </c>
      <c r="B391" t="s">
        <v>1604</v>
      </c>
      <c r="C391" t="s">
        <v>0</v>
      </c>
      <c r="D391" t="s">
        <v>1603</v>
      </c>
      <c r="E391" t="s">
        <v>1570</v>
      </c>
      <c r="I391" t="s">
        <v>1579</v>
      </c>
      <c r="K391" t="s">
        <v>313</v>
      </c>
      <c r="L391" s="67">
        <v>0.23499999999999999</v>
      </c>
      <c r="N391" s="67">
        <v>0</v>
      </c>
      <c r="O391" s="68">
        <v>44565</v>
      </c>
      <c r="P391" s="68">
        <v>44565</v>
      </c>
      <c r="Q391" s="57">
        <v>1282.7784998166665</v>
      </c>
      <c r="R391" t="s">
        <v>748</v>
      </c>
    </row>
    <row r="392" spans="1:18">
      <c r="A392">
        <v>1413</v>
      </c>
      <c r="B392" t="s">
        <v>1620</v>
      </c>
      <c r="C392" t="s">
        <v>0</v>
      </c>
      <c r="D392" t="s">
        <v>967</v>
      </c>
      <c r="E392" t="s">
        <v>1618</v>
      </c>
      <c r="I392" t="s">
        <v>1619</v>
      </c>
      <c r="K392" t="s">
        <v>313</v>
      </c>
      <c r="L392" s="67">
        <v>0.23499999999999999</v>
      </c>
      <c r="N392" s="67">
        <v>0</v>
      </c>
      <c r="O392" s="68">
        <v>44568</v>
      </c>
      <c r="P392" s="68">
        <v>44568</v>
      </c>
      <c r="Q392" s="57">
        <v>1411.0563497983328</v>
      </c>
      <c r="R392" t="s">
        <v>748</v>
      </c>
    </row>
    <row r="393" spans="1:18">
      <c r="A393">
        <v>1414</v>
      </c>
      <c r="B393" t="s">
        <v>1623</v>
      </c>
      <c r="C393" t="s">
        <v>0</v>
      </c>
      <c r="D393" t="s">
        <v>1621</v>
      </c>
      <c r="E393" t="s">
        <v>1622</v>
      </c>
      <c r="I393" t="s">
        <v>867</v>
      </c>
      <c r="K393" t="s">
        <v>313</v>
      </c>
      <c r="L393" s="67">
        <v>0.25</v>
      </c>
      <c r="N393" s="67">
        <v>0.01</v>
      </c>
      <c r="O393" s="68">
        <v>44573</v>
      </c>
      <c r="P393" s="68">
        <v>44573</v>
      </c>
      <c r="Q393" s="57">
        <v>1346.9174248074996</v>
      </c>
      <c r="R393" t="s">
        <v>748</v>
      </c>
    </row>
    <row r="394" spans="1:18">
      <c r="A394">
        <v>1415</v>
      </c>
      <c r="B394" t="s">
        <v>1626</v>
      </c>
      <c r="C394" t="s">
        <v>7</v>
      </c>
      <c r="D394" t="s">
        <v>1624</v>
      </c>
      <c r="E394" t="s">
        <v>1625</v>
      </c>
      <c r="I394" t="s">
        <v>24</v>
      </c>
      <c r="K394" t="s">
        <v>313</v>
      </c>
      <c r="L394" s="67">
        <v>0.23</v>
      </c>
      <c r="N394" s="67">
        <v>0.05</v>
      </c>
      <c r="O394" s="68">
        <v>44575</v>
      </c>
      <c r="P394" s="68">
        <v>44575</v>
      </c>
      <c r="Q394" s="57">
        <v>1229.6696438051667</v>
      </c>
      <c r="R394" t="s">
        <v>748</v>
      </c>
    </row>
    <row r="395" spans="1:18">
      <c r="A395">
        <v>1416</v>
      </c>
      <c r="B395" t="s">
        <v>1628</v>
      </c>
      <c r="C395" t="s">
        <v>7</v>
      </c>
      <c r="D395" t="s">
        <v>1627</v>
      </c>
      <c r="I395" t="s">
        <v>24</v>
      </c>
      <c r="K395" t="s">
        <v>313</v>
      </c>
      <c r="L395" s="67">
        <v>0.23</v>
      </c>
      <c r="N395" s="67">
        <v>0.05</v>
      </c>
      <c r="O395" s="68">
        <v>44575</v>
      </c>
      <c r="P395" s="68">
        <v>44575</v>
      </c>
      <c r="Q395" s="57">
        <v>1229.6696438051667</v>
      </c>
      <c r="R395" t="s">
        <v>748</v>
      </c>
    </row>
    <row r="396" spans="1:18">
      <c r="A396">
        <v>1417</v>
      </c>
      <c r="B396" t="s">
        <v>1630</v>
      </c>
      <c r="C396" t="s">
        <v>3</v>
      </c>
      <c r="D396" t="s">
        <v>1629</v>
      </c>
      <c r="I396" t="s">
        <v>24</v>
      </c>
      <c r="K396" t="s">
        <v>313</v>
      </c>
      <c r="L396" s="67">
        <v>0.25</v>
      </c>
      <c r="N396" s="67">
        <v>0</v>
      </c>
      <c r="O396" s="68">
        <v>44583</v>
      </c>
      <c r="P396" s="68">
        <v>44583</v>
      </c>
      <c r="Q396" s="57">
        <v>1229.6696438051667</v>
      </c>
      <c r="R396" t="s">
        <v>748</v>
      </c>
    </row>
    <row r="397" spans="1:18">
      <c r="A397">
        <v>1418</v>
      </c>
      <c r="B397" t="s">
        <v>1633</v>
      </c>
      <c r="C397" t="s">
        <v>0</v>
      </c>
      <c r="D397" t="s">
        <v>1631</v>
      </c>
      <c r="E397" t="s">
        <v>1632</v>
      </c>
      <c r="I397" t="s">
        <v>24</v>
      </c>
      <c r="K397" t="s">
        <v>313</v>
      </c>
      <c r="L397" s="67">
        <v>0.25</v>
      </c>
      <c r="N397" s="67">
        <v>0</v>
      </c>
      <c r="O397" s="68">
        <v>44583</v>
      </c>
      <c r="P397" s="68">
        <v>44583</v>
      </c>
      <c r="Q397" s="57">
        <v>1254.7649426583332</v>
      </c>
      <c r="R397" t="s">
        <v>748</v>
      </c>
    </row>
    <row r="398" spans="1:18">
      <c r="A398">
        <v>1419</v>
      </c>
      <c r="B398" t="s">
        <v>1635</v>
      </c>
      <c r="C398" t="s">
        <v>0</v>
      </c>
      <c r="D398" t="s">
        <v>1634</v>
      </c>
      <c r="E398" t="s">
        <v>1622</v>
      </c>
      <c r="I398" t="s">
        <v>867</v>
      </c>
      <c r="K398" t="s">
        <v>313</v>
      </c>
      <c r="L398" s="67">
        <v>0.15</v>
      </c>
      <c r="N398" s="67">
        <v>0.01</v>
      </c>
      <c r="O398" s="68">
        <v>44585</v>
      </c>
      <c r="P398" s="68">
        <v>44585</v>
      </c>
      <c r="Q398" s="57">
        <v>1282.7784998166662</v>
      </c>
      <c r="R398" t="s">
        <v>748</v>
      </c>
    </row>
    <row r="399" spans="1:18">
      <c r="A399">
        <v>1420</v>
      </c>
      <c r="B399" t="s">
        <v>1638</v>
      </c>
      <c r="C399" t="s">
        <v>0</v>
      </c>
      <c r="D399" t="s">
        <v>1636</v>
      </c>
      <c r="E399" t="s">
        <v>1637</v>
      </c>
      <c r="I399" t="s">
        <v>934</v>
      </c>
      <c r="K399" t="s">
        <v>313</v>
      </c>
      <c r="L399" s="67">
        <v>0.22</v>
      </c>
      <c r="N399" s="67">
        <v>0.05</v>
      </c>
      <c r="O399" s="68">
        <v>44586</v>
      </c>
      <c r="P399" s="68">
        <v>44586</v>
      </c>
      <c r="Q399" s="57">
        <v>1380.2414369241665</v>
      </c>
      <c r="R399" t="s">
        <v>748</v>
      </c>
    </row>
    <row r="400" spans="1:18">
      <c r="A400">
        <v>1421</v>
      </c>
      <c r="B400" t="s">
        <v>1639</v>
      </c>
      <c r="C400" t="s">
        <v>0</v>
      </c>
      <c r="D400" t="s">
        <v>1636</v>
      </c>
      <c r="E400" t="s">
        <v>1637</v>
      </c>
      <c r="I400" t="s">
        <v>934</v>
      </c>
      <c r="K400" t="s">
        <v>313</v>
      </c>
      <c r="L400" s="67">
        <v>0.23</v>
      </c>
      <c r="N400" s="67">
        <v>0.05</v>
      </c>
      <c r="O400" s="68">
        <v>44586</v>
      </c>
      <c r="P400" s="68">
        <v>44586</v>
      </c>
      <c r="Q400" s="57">
        <v>1380.2414369241665</v>
      </c>
      <c r="R400" t="s">
        <v>748</v>
      </c>
    </row>
    <row r="401" spans="1:18">
      <c r="A401">
        <v>1422</v>
      </c>
      <c r="B401" t="s">
        <v>1641</v>
      </c>
      <c r="C401" t="s">
        <v>0</v>
      </c>
      <c r="D401" t="s">
        <v>1640</v>
      </c>
      <c r="I401" t="s">
        <v>24</v>
      </c>
      <c r="K401" t="s">
        <v>313</v>
      </c>
      <c r="L401" s="67">
        <v>0.25</v>
      </c>
      <c r="N401" s="67">
        <v>0.05</v>
      </c>
      <c r="O401" s="68">
        <v>44586</v>
      </c>
      <c r="P401" s="68">
        <v>44586</v>
      </c>
      <c r="Q401" s="57">
        <v>1229.6696438051665</v>
      </c>
      <c r="R401" t="s">
        <v>748</v>
      </c>
    </row>
    <row r="402" spans="1:18">
      <c r="A402">
        <v>1423</v>
      </c>
      <c r="B402" t="s">
        <v>1643</v>
      </c>
      <c r="C402" t="s">
        <v>0</v>
      </c>
      <c r="D402" t="s">
        <v>1642</v>
      </c>
      <c r="I402" t="s">
        <v>24</v>
      </c>
      <c r="K402" t="s">
        <v>313</v>
      </c>
      <c r="L402" s="67">
        <v>0.22</v>
      </c>
      <c r="N402" s="67">
        <v>0.05</v>
      </c>
      <c r="O402" s="68">
        <v>44586</v>
      </c>
      <c r="P402" s="68">
        <v>44586</v>
      </c>
      <c r="Q402" s="57">
        <v>1229.6696438051667</v>
      </c>
      <c r="R402" t="s">
        <v>748</v>
      </c>
    </row>
    <row r="403" spans="1:18">
      <c r="A403">
        <v>1424</v>
      </c>
      <c r="B403" t="s">
        <v>1645</v>
      </c>
      <c r="C403" t="s">
        <v>0</v>
      </c>
      <c r="D403" t="s">
        <v>1644</v>
      </c>
      <c r="I403" t="s">
        <v>24</v>
      </c>
      <c r="K403" t="s">
        <v>313</v>
      </c>
      <c r="L403" s="67">
        <v>0.22</v>
      </c>
      <c r="N403" s="67">
        <v>0.05</v>
      </c>
      <c r="O403" s="68">
        <v>44586</v>
      </c>
      <c r="P403" s="68">
        <v>44586</v>
      </c>
      <c r="Q403" s="57">
        <v>1229.6696438051667</v>
      </c>
      <c r="R403" t="s">
        <v>748</v>
      </c>
    </row>
    <row r="404" spans="1:18">
      <c r="A404">
        <v>1425</v>
      </c>
      <c r="B404" t="s">
        <v>1647</v>
      </c>
      <c r="C404" t="s">
        <v>7</v>
      </c>
      <c r="D404" t="s">
        <v>1646</v>
      </c>
      <c r="I404" t="s">
        <v>1334</v>
      </c>
      <c r="K404" t="s">
        <v>313</v>
      </c>
      <c r="L404" s="67">
        <v>0.25</v>
      </c>
      <c r="N404" s="67">
        <v>0</v>
      </c>
      <c r="O404" s="68">
        <v>44587</v>
      </c>
      <c r="P404" s="68">
        <v>44587</v>
      </c>
      <c r="Q404" s="57">
        <v>1244.2951448221663</v>
      </c>
      <c r="R404" t="s">
        <v>748</v>
      </c>
    </row>
    <row r="405" spans="1:18">
      <c r="A405">
        <v>1426</v>
      </c>
      <c r="B405" t="s">
        <v>1649</v>
      </c>
      <c r="C405" t="s">
        <v>7</v>
      </c>
      <c r="D405" t="s">
        <v>1648</v>
      </c>
      <c r="I405" t="s">
        <v>24</v>
      </c>
      <c r="K405" t="s">
        <v>313</v>
      </c>
      <c r="L405" s="67">
        <v>0.22</v>
      </c>
      <c r="N405" s="67">
        <v>0</v>
      </c>
      <c r="O405" s="68">
        <v>44589</v>
      </c>
      <c r="P405" s="68">
        <v>44589</v>
      </c>
      <c r="Q405" s="57">
        <v>1254.7649426583332</v>
      </c>
      <c r="R405" t="s">
        <v>748</v>
      </c>
    </row>
    <row r="406" spans="1:18">
      <c r="A406">
        <v>1427</v>
      </c>
      <c r="B406" t="s">
        <v>1652</v>
      </c>
      <c r="C406" t="s">
        <v>7</v>
      </c>
      <c r="D406" t="s">
        <v>1650</v>
      </c>
      <c r="I406" t="s">
        <v>1651</v>
      </c>
      <c r="K406" t="s">
        <v>313</v>
      </c>
      <c r="L406" s="67">
        <v>0.25</v>
      </c>
      <c r="N406" s="67">
        <v>0</v>
      </c>
      <c r="O406" s="68">
        <v>44597</v>
      </c>
      <c r="P406" s="68">
        <v>44597</v>
      </c>
      <c r="Q406" s="57">
        <v>1282.7784998166665</v>
      </c>
      <c r="R406" t="s">
        <v>748</v>
      </c>
    </row>
    <row r="407" spans="1:18">
      <c r="A407">
        <v>1428</v>
      </c>
      <c r="B407" t="s">
        <v>1653</v>
      </c>
      <c r="C407" t="s">
        <v>7</v>
      </c>
      <c r="D407" t="s">
        <v>1627</v>
      </c>
      <c r="I407" t="s">
        <v>24</v>
      </c>
      <c r="K407" t="s">
        <v>313</v>
      </c>
      <c r="L407" s="67">
        <v>0.23</v>
      </c>
      <c r="N407" s="67">
        <v>0.04</v>
      </c>
      <c r="O407" s="68">
        <v>44598</v>
      </c>
      <c r="P407" s="68">
        <v>44598</v>
      </c>
      <c r="Q407" s="57">
        <v>1129.2884483925004</v>
      </c>
      <c r="R407" t="s">
        <v>748</v>
      </c>
    </row>
    <row r="408" spans="1:18">
      <c r="A408">
        <v>1429</v>
      </c>
      <c r="B408" t="s">
        <v>1656</v>
      </c>
      <c r="C408" t="s">
        <v>3</v>
      </c>
      <c r="D408" t="s">
        <v>1654</v>
      </c>
      <c r="I408" t="s">
        <v>24</v>
      </c>
      <c r="K408" t="s">
        <v>313</v>
      </c>
      <c r="L408" s="67">
        <v>0.25</v>
      </c>
      <c r="N408" s="67">
        <v>0</v>
      </c>
      <c r="O408" s="68">
        <v>44599</v>
      </c>
      <c r="P408" s="68">
        <v>44599</v>
      </c>
      <c r="Q408" s="57">
        <v>1254.7649426583332</v>
      </c>
      <c r="R408" t="s">
        <v>748</v>
      </c>
    </row>
    <row r="409" spans="1:18">
      <c r="A409">
        <v>1430</v>
      </c>
      <c r="B409" t="s">
        <v>1658</v>
      </c>
      <c r="C409" t="s">
        <v>0</v>
      </c>
      <c r="D409" t="s">
        <v>1657</v>
      </c>
      <c r="I409" t="s">
        <v>24</v>
      </c>
      <c r="K409" t="s">
        <v>313</v>
      </c>
      <c r="L409" s="67">
        <v>0.25</v>
      </c>
      <c r="N409" s="67">
        <v>0</v>
      </c>
      <c r="O409" s="68">
        <v>44599</v>
      </c>
      <c r="P409" s="68">
        <v>44599</v>
      </c>
      <c r="Q409" s="57">
        <v>1254.7649426583334</v>
      </c>
      <c r="R409" t="s">
        <v>748</v>
      </c>
    </row>
    <row r="410" spans="1:18">
      <c r="A410">
        <v>1431</v>
      </c>
      <c r="B410" t="s">
        <v>1660</v>
      </c>
      <c r="C410" t="s">
        <v>3</v>
      </c>
      <c r="D410" t="s">
        <v>1659</v>
      </c>
      <c r="I410" t="s">
        <v>24</v>
      </c>
      <c r="K410" t="s">
        <v>313</v>
      </c>
      <c r="L410" s="67">
        <v>0.25</v>
      </c>
      <c r="N410" s="67">
        <v>0.03</v>
      </c>
      <c r="O410" s="68">
        <v>44602</v>
      </c>
      <c r="P410" s="68">
        <v>44602</v>
      </c>
      <c r="Q410" s="57">
        <v>1254.7649426583334</v>
      </c>
      <c r="R410" t="s">
        <v>748</v>
      </c>
    </row>
    <row r="411" spans="1:18">
      <c r="A411">
        <v>1432</v>
      </c>
      <c r="B411" t="s">
        <v>1662</v>
      </c>
      <c r="C411" t="s">
        <v>7</v>
      </c>
      <c r="D411" t="s">
        <v>1661</v>
      </c>
      <c r="I411" t="s">
        <v>24</v>
      </c>
      <c r="K411" t="s">
        <v>313</v>
      </c>
      <c r="L411" s="67">
        <v>0.25</v>
      </c>
      <c r="N411" s="67">
        <v>0</v>
      </c>
      <c r="O411" s="68">
        <v>44602</v>
      </c>
      <c r="P411" s="68">
        <v>44602</v>
      </c>
      <c r="Q411" s="57">
        <v>1254.7649426583334</v>
      </c>
      <c r="R411" t="s">
        <v>748</v>
      </c>
    </row>
    <row r="412" spans="1:18">
      <c r="A412">
        <v>1433</v>
      </c>
      <c r="B412" t="s">
        <v>1664</v>
      </c>
      <c r="C412" t="s">
        <v>7</v>
      </c>
      <c r="D412" t="s">
        <v>1663</v>
      </c>
      <c r="I412" t="s">
        <v>24</v>
      </c>
      <c r="K412" t="s">
        <v>313</v>
      </c>
      <c r="L412" s="67">
        <v>0.25</v>
      </c>
      <c r="N412" s="67">
        <v>0</v>
      </c>
      <c r="O412" s="68">
        <v>44602</v>
      </c>
      <c r="P412" s="68">
        <v>44602</v>
      </c>
      <c r="Q412" s="57">
        <v>1254.7649426583332</v>
      </c>
      <c r="R412" t="s">
        <v>748</v>
      </c>
    </row>
    <row r="413" spans="1:18">
      <c r="A413">
        <v>1434</v>
      </c>
      <c r="B413" t="s">
        <v>1665</v>
      </c>
      <c r="C413" t="s">
        <v>7</v>
      </c>
      <c r="D413" t="s">
        <v>1663</v>
      </c>
      <c r="I413" t="s">
        <v>24</v>
      </c>
      <c r="K413" t="s">
        <v>313</v>
      </c>
      <c r="L413" s="67">
        <v>0.25</v>
      </c>
      <c r="N413" s="67">
        <v>0</v>
      </c>
      <c r="O413" s="68">
        <v>44602</v>
      </c>
      <c r="P413" s="68">
        <v>44602</v>
      </c>
      <c r="Q413" s="57">
        <v>1254.7649426583332</v>
      </c>
      <c r="R413" t="s">
        <v>748</v>
      </c>
    </row>
    <row r="414" spans="1:18">
      <c r="A414">
        <v>1435</v>
      </c>
      <c r="B414" t="s">
        <v>1811</v>
      </c>
      <c r="C414" t="s">
        <v>0</v>
      </c>
      <c r="D414" t="s">
        <v>1666</v>
      </c>
      <c r="I414" t="s">
        <v>24</v>
      </c>
      <c r="J414">
        <v>1</v>
      </c>
      <c r="K414" t="s">
        <v>313</v>
      </c>
      <c r="L414" s="67">
        <v>0.25</v>
      </c>
      <c r="N414" s="67">
        <v>0</v>
      </c>
      <c r="O414" s="68">
        <v>44604</v>
      </c>
      <c r="P414" s="68">
        <v>44604</v>
      </c>
      <c r="Q414" s="57" t="s">
        <v>0</v>
      </c>
      <c r="R414" t="s">
        <v>748</v>
      </c>
    </row>
    <row r="415" spans="1:18">
      <c r="A415">
        <v>1436</v>
      </c>
      <c r="B415" t="s">
        <v>1812</v>
      </c>
      <c r="C415" t="s">
        <v>0</v>
      </c>
      <c r="D415" t="s">
        <v>1666</v>
      </c>
      <c r="I415" t="s">
        <v>24</v>
      </c>
      <c r="J415">
        <v>18.899999999999999</v>
      </c>
      <c r="K415" t="s">
        <v>313</v>
      </c>
      <c r="L415" s="67">
        <v>0.25</v>
      </c>
      <c r="N415" s="67">
        <v>0</v>
      </c>
      <c r="O415" s="68">
        <v>44604</v>
      </c>
      <c r="P415" s="68">
        <v>44604</v>
      </c>
      <c r="R415" t="s">
        <v>748</v>
      </c>
    </row>
    <row r="416" spans="1:18">
      <c r="A416">
        <v>1437</v>
      </c>
      <c r="B416" t="s">
        <v>1815</v>
      </c>
      <c r="C416" t="s">
        <v>0</v>
      </c>
      <c r="D416" t="s">
        <v>1813</v>
      </c>
      <c r="I416" t="s">
        <v>1814</v>
      </c>
      <c r="J416">
        <v>2.14</v>
      </c>
      <c r="K416" t="s">
        <v>313</v>
      </c>
      <c r="L416" s="67">
        <v>0.23499999999999999</v>
      </c>
      <c r="N416" s="67">
        <v>0.05</v>
      </c>
      <c r="O416" s="68">
        <v>44606</v>
      </c>
      <c r="P416" s="68">
        <v>44606</v>
      </c>
      <c r="R416" t="s">
        <v>748</v>
      </c>
    </row>
    <row r="417" spans="1:18">
      <c r="A417">
        <v>1438</v>
      </c>
      <c r="B417" t="s">
        <v>1816</v>
      </c>
      <c r="C417" t="s">
        <v>0</v>
      </c>
      <c r="D417" t="s">
        <v>1813</v>
      </c>
      <c r="I417" t="s">
        <v>1814</v>
      </c>
      <c r="J417">
        <v>2.14</v>
      </c>
      <c r="K417" t="s">
        <v>313</v>
      </c>
      <c r="L417" s="67">
        <v>0.23499999999999999</v>
      </c>
      <c r="N417" s="67">
        <v>0.05</v>
      </c>
      <c r="O417" s="68">
        <v>44606</v>
      </c>
      <c r="P417" s="68">
        <v>44606</v>
      </c>
      <c r="R417" t="s">
        <v>748</v>
      </c>
    </row>
    <row r="418" spans="1:18">
      <c r="A418">
        <v>1439</v>
      </c>
      <c r="B418" t="s">
        <v>1817</v>
      </c>
      <c r="C418" t="s">
        <v>0</v>
      </c>
      <c r="D418" t="s">
        <v>1813</v>
      </c>
      <c r="I418" t="s">
        <v>1814</v>
      </c>
      <c r="J418">
        <v>2.14</v>
      </c>
      <c r="K418" t="s">
        <v>313</v>
      </c>
      <c r="L418" s="67">
        <v>0.23499999999999999</v>
      </c>
      <c r="N418" s="67">
        <v>0.05</v>
      </c>
      <c r="O418" s="68">
        <v>44606</v>
      </c>
      <c r="P418" s="68">
        <v>44606</v>
      </c>
      <c r="R418" t="s">
        <v>748</v>
      </c>
    </row>
    <row r="419" spans="1:18">
      <c r="A419">
        <v>1440</v>
      </c>
      <c r="B419" t="s">
        <v>1818</v>
      </c>
      <c r="C419" t="s">
        <v>0</v>
      </c>
      <c r="D419" t="s">
        <v>1813</v>
      </c>
      <c r="I419" t="s">
        <v>1814</v>
      </c>
      <c r="J419">
        <v>2.14</v>
      </c>
      <c r="K419" t="s">
        <v>313</v>
      </c>
      <c r="L419" s="67">
        <v>0.23499999999999999</v>
      </c>
      <c r="N419" s="67">
        <v>0.05</v>
      </c>
      <c r="O419" s="68">
        <v>44606</v>
      </c>
      <c r="P419" s="68">
        <v>44606</v>
      </c>
      <c r="R419" t="s">
        <v>748</v>
      </c>
    </row>
    <row r="420" spans="1:18">
      <c r="A420">
        <v>1441</v>
      </c>
      <c r="B420" t="s">
        <v>1819</v>
      </c>
      <c r="C420" t="s">
        <v>0</v>
      </c>
      <c r="D420" t="s">
        <v>1813</v>
      </c>
      <c r="I420" t="s">
        <v>1814</v>
      </c>
      <c r="J420">
        <v>2.14</v>
      </c>
      <c r="K420" t="s">
        <v>313</v>
      </c>
      <c r="L420" s="67">
        <v>0.25</v>
      </c>
      <c r="N420" s="67">
        <v>0</v>
      </c>
      <c r="O420" s="68">
        <v>44606</v>
      </c>
      <c r="P420" s="68">
        <v>44606</v>
      </c>
      <c r="R420" t="s">
        <v>748</v>
      </c>
    </row>
    <row r="421" spans="1:18">
      <c r="A421">
        <v>1442</v>
      </c>
      <c r="B421" t="s">
        <v>1822</v>
      </c>
      <c r="C421" t="s">
        <v>0</v>
      </c>
      <c r="D421" t="s">
        <v>1820</v>
      </c>
      <c r="I421" t="s">
        <v>1821</v>
      </c>
      <c r="J421">
        <v>2.14</v>
      </c>
      <c r="K421" t="s">
        <v>313</v>
      </c>
      <c r="L421" s="67">
        <v>0.25</v>
      </c>
      <c r="N421" s="67">
        <v>0</v>
      </c>
      <c r="O421" s="68">
        <v>44606</v>
      </c>
      <c r="P421" s="68">
        <v>44606</v>
      </c>
      <c r="R421" t="s">
        <v>748</v>
      </c>
    </row>
    <row r="422" spans="1:18">
      <c r="A422">
        <v>1443</v>
      </c>
      <c r="B422" t="s">
        <v>1824</v>
      </c>
      <c r="C422" t="s">
        <v>0</v>
      </c>
      <c r="D422" t="s">
        <v>406</v>
      </c>
      <c r="E422" t="s">
        <v>1363</v>
      </c>
      <c r="I422" t="s">
        <v>24</v>
      </c>
      <c r="J422">
        <v>2.67</v>
      </c>
      <c r="K422" t="s">
        <v>313</v>
      </c>
      <c r="L422" s="67">
        <v>0.24299999999999999</v>
      </c>
      <c r="N422" s="67">
        <v>0.04</v>
      </c>
      <c r="O422" s="68">
        <v>44608</v>
      </c>
      <c r="P422" s="68">
        <v>44608</v>
      </c>
      <c r="R422" t="s">
        <v>748</v>
      </c>
    </row>
    <row r="423" spans="1:18">
      <c r="A423">
        <v>1444</v>
      </c>
      <c r="B423" t="s">
        <v>1827</v>
      </c>
      <c r="C423" t="s">
        <v>7</v>
      </c>
      <c r="D423" t="s">
        <v>1825</v>
      </c>
      <c r="I423" t="s">
        <v>1826</v>
      </c>
      <c r="J423">
        <v>8.1</v>
      </c>
      <c r="K423" t="s">
        <v>313</v>
      </c>
      <c r="L423" s="67">
        <v>0.25</v>
      </c>
      <c r="N423" s="67">
        <v>0</v>
      </c>
      <c r="O423" s="68">
        <v>44614</v>
      </c>
      <c r="P423" s="68">
        <v>44614</v>
      </c>
      <c r="R423" t="s">
        <v>748</v>
      </c>
    </row>
    <row r="424" spans="1:18">
      <c r="A424">
        <v>1445</v>
      </c>
      <c r="B424" t="s">
        <v>1831</v>
      </c>
      <c r="C424" t="s">
        <v>7</v>
      </c>
      <c r="D424" t="s">
        <v>1829</v>
      </c>
      <c r="E424" t="s">
        <v>1830</v>
      </c>
      <c r="I424" t="s">
        <v>1055</v>
      </c>
      <c r="J424">
        <v>1.62</v>
      </c>
      <c r="K424" t="s">
        <v>313</v>
      </c>
      <c r="L424" s="67">
        <v>0.25</v>
      </c>
      <c r="N424" s="67">
        <v>0</v>
      </c>
      <c r="O424" s="68">
        <v>44615</v>
      </c>
      <c r="P424" s="68">
        <v>44615</v>
      </c>
      <c r="R424" t="s">
        <v>748</v>
      </c>
    </row>
    <row r="425" spans="1:18">
      <c r="A425">
        <v>1446</v>
      </c>
      <c r="B425" t="s">
        <v>1846</v>
      </c>
      <c r="C425" t="s">
        <v>7</v>
      </c>
      <c r="D425" t="s">
        <v>1829</v>
      </c>
      <c r="E425" t="s">
        <v>1830</v>
      </c>
      <c r="I425" t="s">
        <v>1055</v>
      </c>
      <c r="J425">
        <v>0.54</v>
      </c>
      <c r="K425" t="s">
        <v>313</v>
      </c>
      <c r="L425" s="67">
        <v>0.25</v>
      </c>
      <c r="N425" s="67">
        <v>0</v>
      </c>
      <c r="O425" s="68">
        <v>44617</v>
      </c>
      <c r="P425" s="68">
        <v>44617</v>
      </c>
      <c r="R425" t="s">
        <v>748</v>
      </c>
    </row>
    <row r="426" spans="1:18">
      <c r="A426">
        <v>1447</v>
      </c>
      <c r="B426" t="s">
        <v>1847</v>
      </c>
      <c r="C426" t="s">
        <v>7</v>
      </c>
      <c r="D426" t="s">
        <v>1829</v>
      </c>
      <c r="E426" t="s">
        <v>1830</v>
      </c>
      <c r="I426" t="s">
        <v>1055</v>
      </c>
      <c r="J426">
        <v>93.42</v>
      </c>
      <c r="K426" t="s">
        <v>313</v>
      </c>
      <c r="L426" s="67">
        <v>0.25</v>
      </c>
      <c r="N426" s="67">
        <v>0</v>
      </c>
      <c r="O426" s="68">
        <v>44617</v>
      </c>
      <c r="P426" s="68">
        <v>44617</v>
      </c>
      <c r="R426" t="s">
        <v>748</v>
      </c>
    </row>
    <row r="427" spans="1:18">
      <c r="A427">
        <v>1448</v>
      </c>
      <c r="B427" t="s">
        <v>1848</v>
      </c>
      <c r="C427" t="s">
        <v>7</v>
      </c>
      <c r="D427" t="s">
        <v>1829</v>
      </c>
      <c r="E427" t="s">
        <v>1830</v>
      </c>
      <c r="I427" t="s">
        <v>1055</v>
      </c>
      <c r="J427">
        <v>93.42</v>
      </c>
      <c r="K427" t="s">
        <v>313</v>
      </c>
      <c r="L427" s="67">
        <v>0.25</v>
      </c>
      <c r="N427" s="67">
        <v>0</v>
      </c>
      <c r="O427" s="68">
        <v>44617</v>
      </c>
      <c r="P427" s="68">
        <v>44617</v>
      </c>
      <c r="R427" t="s">
        <v>748</v>
      </c>
    </row>
    <row r="428" spans="1:18">
      <c r="A428">
        <v>1449</v>
      </c>
      <c r="B428" t="s">
        <v>1855</v>
      </c>
      <c r="C428" t="s">
        <v>7</v>
      </c>
      <c r="D428" t="s">
        <v>1829</v>
      </c>
      <c r="E428" t="s">
        <v>1830</v>
      </c>
      <c r="I428" t="s">
        <v>1055</v>
      </c>
      <c r="J428">
        <v>93.42</v>
      </c>
      <c r="K428" t="s">
        <v>313</v>
      </c>
      <c r="L428" s="67">
        <v>0.25</v>
      </c>
      <c r="N428" s="67">
        <v>0</v>
      </c>
      <c r="O428" s="68">
        <v>44617</v>
      </c>
      <c r="P428" s="68">
        <v>44617</v>
      </c>
      <c r="R428" t="s">
        <v>748</v>
      </c>
    </row>
    <row r="429" spans="1:18">
      <c r="A429">
        <v>1450</v>
      </c>
      <c r="B429" t="s">
        <v>1856</v>
      </c>
      <c r="C429" t="s">
        <v>7</v>
      </c>
      <c r="D429" t="s">
        <v>1829</v>
      </c>
      <c r="E429" t="s">
        <v>1830</v>
      </c>
      <c r="I429" t="s">
        <v>1055</v>
      </c>
      <c r="J429">
        <v>93.42</v>
      </c>
      <c r="K429" t="s">
        <v>313</v>
      </c>
      <c r="L429" s="67">
        <v>0.25</v>
      </c>
      <c r="N429" s="67">
        <v>0</v>
      </c>
      <c r="O429" s="68">
        <v>44617</v>
      </c>
      <c r="P429" s="68">
        <v>44617</v>
      </c>
      <c r="R429" t="s">
        <v>748</v>
      </c>
    </row>
    <row r="430" spans="1:18">
      <c r="A430">
        <v>1451</v>
      </c>
      <c r="B430" t="s">
        <v>1857</v>
      </c>
      <c r="C430" t="s">
        <v>7</v>
      </c>
      <c r="D430" t="s">
        <v>1829</v>
      </c>
      <c r="E430" t="s">
        <v>1830</v>
      </c>
      <c r="I430" t="s">
        <v>1055</v>
      </c>
      <c r="J430">
        <v>93.42</v>
      </c>
      <c r="K430" t="s">
        <v>313</v>
      </c>
      <c r="L430" s="67">
        <v>0.25</v>
      </c>
      <c r="N430" s="67">
        <v>0</v>
      </c>
      <c r="O430" s="68">
        <v>44617</v>
      </c>
      <c r="P430" s="68">
        <v>44617</v>
      </c>
      <c r="R430" t="s">
        <v>748</v>
      </c>
    </row>
    <row r="431" spans="1:18">
      <c r="A431">
        <v>1452</v>
      </c>
      <c r="B431" t="s">
        <v>1858</v>
      </c>
      <c r="C431" t="s">
        <v>7</v>
      </c>
      <c r="D431" t="s">
        <v>1829</v>
      </c>
      <c r="E431" t="s">
        <v>1830</v>
      </c>
      <c r="I431" t="s">
        <v>1055</v>
      </c>
      <c r="J431">
        <v>93.42</v>
      </c>
      <c r="K431" t="s">
        <v>313</v>
      </c>
      <c r="L431" s="67">
        <v>0.25</v>
      </c>
      <c r="N431" s="67">
        <v>0</v>
      </c>
      <c r="O431" s="68">
        <v>44617</v>
      </c>
      <c r="P431" s="68">
        <v>44617</v>
      </c>
      <c r="R431" t="s">
        <v>748</v>
      </c>
    </row>
    <row r="432" spans="1:18">
      <c r="A432">
        <v>1453</v>
      </c>
      <c r="B432" t="s">
        <v>1860</v>
      </c>
      <c r="C432" t="s">
        <v>0</v>
      </c>
      <c r="D432" t="s">
        <v>1859</v>
      </c>
      <c r="E432">
        <v>11098741</v>
      </c>
      <c r="I432" t="s">
        <v>24</v>
      </c>
      <c r="J432">
        <v>95.58</v>
      </c>
      <c r="K432" t="s">
        <v>313</v>
      </c>
      <c r="L432" s="67">
        <v>0.25</v>
      </c>
      <c r="N432" s="67">
        <v>0</v>
      </c>
      <c r="O432" s="68">
        <v>44619</v>
      </c>
      <c r="P432" s="68">
        <v>44619</v>
      </c>
      <c r="R432" t="s">
        <v>748</v>
      </c>
    </row>
    <row r="433" spans="1:18">
      <c r="A433">
        <v>1454</v>
      </c>
      <c r="B433" t="s">
        <v>1861</v>
      </c>
      <c r="C433" t="s">
        <v>0</v>
      </c>
      <c r="D433" t="s">
        <v>1859</v>
      </c>
      <c r="E433">
        <v>11098741</v>
      </c>
      <c r="I433" t="s">
        <v>24</v>
      </c>
      <c r="J433">
        <v>129.6</v>
      </c>
      <c r="K433" t="s">
        <v>313</v>
      </c>
      <c r="L433" s="67">
        <v>0.25</v>
      </c>
      <c r="N433" s="67">
        <v>0</v>
      </c>
      <c r="O433" s="68">
        <v>44619</v>
      </c>
      <c r="P433" s="68">
        <v>44619</v>
      </c>
      <c r="R433" t="s">
        <v>748</v>
      </c>
    </row>
    <row r="434" spans="1:18">
      <c r="A434">
        <v>1455</v>
      </c>
      <c r="B434" t="s">
        <v>1862</v>
      </c>
      <c r="C434" t="s">
        <v>0</v>
      </c>
      <c r="D434" t="s">
        <v>1859</v>
      </c>
      <c r="E434">
        <v>11098741</v>
      </c>
      <c r="I434" t="s">
        <v>24</v>
      </c>
      <c r="J434">
        <v>129.6</v>
      </c>
      <c r="K434" t="s">
        <v>313</v>
      </c>
      <c r="L434" s="67">
        <v>0.25</v>
      </c>
      <c r="N434" s="67">
        <v>0</v>
      </c>
      <c r="O434" s="68">
        <v>44619</v>
      </c>
      <c r="P434" s="68">
        <v>44619</v>
      </c>
      <c r="R434" t="s">
        <v>748</v>
      </c>
    </row>
    <row r="435" spans="1:18">
      <c r="A435">
        <v>1456</v>
      </c>
      <c r="B435" t="s">
        <v>1864</v>
      </c>
      <c r="C435" t="s">
        <v>3</v>
      </c>
      <c r="D435" t="s">
        <v>1863</v>
      </c>
      <c r="I435" t="s">
        <v>753</v>
      </c>
      <c r="J435">
        <v>24.84</v>
      </c>
      <c r="K435" t="s">
        <v>313</v>
      </c>
      <c r="L435" s="67">
        <v>0.25</v>
      </c>
      <c r="N435" s="67">
        <v>0.05</v>
      </c>
      <c r="O435" s="68">
        <v>44620</v>
      </c>
      <c r="P435" s="68">
        <v>44620</v>
      </c>
      <c r="R435" t="s">
        <v>748</v>
      </c>
    </row>
    <row r="436" spans="1:18">
      <c r="A436">
        <v>1457</v>
      </c>
      <c r="B436" t="s">
        <v>1865</v>
      </c>
      <c r="C436" t="s">
        <v>3</v>
      </c>
      <c r="D436" t="s">
        <v>1863</v>
      </c>
      <c r="I436" t="s">
        <v>753</v>
      </c>
      <c r="J436">
        <v>24.84</v>
      </c>
      <c r="K436" t="s">
        <v>313</v>
      </c>
      <c r="L436" s="67">
        <v>0.25</v>
      </c>
      <c r="N436" s="67">
        <v>0.05</v>
      </c>
      <c r="O436" s="68">
        <v>44620</v>
      </c>
      <c r="P436" s="68">
        <v>44620</v>
      </c>
      <c r="R436" t="s">
        <v>748</v>
      </c>
    </row>
    <row r="437" spans="1:18">
      <c r="A437">
        <v>1458</v>
      </c>
      <c r="B437" t="s">
        <v>1870</v>
      </c>
      <c r="C437" t="s">
        <v>7</v>
      </c>
      <c r="D437" t="s">
        <v>1869</v>
      </c>
      <c r="I437" t="s">
        <v>24</v>
      </c>
      <c r="J437">
        <v>56.7</v>
      </c>
      <c r="K437" t="s">
        <v>313</v>
      </c>
      <c r="L437" s="67">
        <v>0.25</v>
      </c>
      <c r="N437" s="67">
        <v>0.05</v>
      </c>
      <c r="O437" s="68">
        <v>44620</v>
      </c>
      <c r="P437" s="68">
        <v>44620</v>
      </c>
      <c r="R437" t="s">
        <v>748</v>
      </c>
    </row>
    <row r="438" spans="1:18">
      <c r="A438">
        <v>1459</v>
      </c>
      <c r="B438" t="s">
        <v>1872</v>
      </c>
      <c r="C438" t="s">
        <v>7</v>
      </c>
      <c r="D438" t="s">
        <v>1871</v>
      </c>
      <c r="I438" t="s">
        <v>24</v>
      </c>
      <c r="J438">
        <v>75.06</v>
      </c>
      <c r="K438" t="s">
        <v>313</v>
      </c>
      <c r="L438" s="67">
        <v>0.25</v>
      </c>
      <c r="N438" s="67">
        <v>0.05</v>
      </c>
      <c r="O438" s="68">
        <v>44620</v>
      </c>
      <c r="P438" s="68">
        <v>44620</v>
      </c>
      <c r="R438" t="s">
        <v>748</v>
      </c>
    </row>
    <row r="439" spans="1:18">
      <c r="A439">
        <v>1460</v>
      </c>
      <c r="B439" t="s">
        <v>1873</v>
      </c>
      <c r="C439" t="s">
        <v>7</v>
      </c>
      <c r="D439" t="s">
        <v>1453</v>
      </c>
      <c r="I439" t="s">
        <v>24</v>
      </c>
      <c r="J439">
        <v>19.440000000000001</v>
      </c>
      <c r="K439" t="s">
        <v>313</v>
      </c>
      <c r="L439" s="67">
        <v>0.25</v>
      </c>
      <c r="N439" s="67">
        <v>0</v>
      </c>
      <c r="O439" s="68">
        <v>44623</v>
      </c>
      <c r="P439" s="68">
        <v>44623</v>
      </c>
      <c r="R439" t="s">
        <v>748</v>
      </c>
    </row>
    <row r="440" spans="1:18">
      <c r="A440">
        <v>1461</v>
      </c>
      <c r="B440" t="s">
        <v>1874</v>
      </c>
      <c r="C440" t="s">
        <v>7</v>
      </c>
      <c r="D440" t="s">
        <v>1453</v>
      </c>
      <c r="I440" t="s">
        <v>24</v>
      </c>
      <c r="J440">
        <v>22.68</v>
      </c>
      <c r="K440" t="s">
        <v>313</v>
      </c>
      <c r="L440" s="67">
        <v>0.25</v>
      </c>
      <c r="N440" s="67">
        <v>0</v>
      </c>
      <c r="O440" s="68">
        <v>44623</v>
      </c>
      <c r="P440" s="68">
        <v>44623</v>
      </c>
      <c r="R440" t="s">
        <v>748</v>
      </c>
    </row>
    <row r="441" spans="1:18">
      <c r="A441">
        <v>1462</v>
      </c>
      <c r="B441" t="s">
        <v>1876</v>
      </c>
      <c r="C441" t="s">
        <v>3</v>
      </c>
      <c r="D441" t="s">
        <v>1875</v>
      </c>
      <c r="E441">
        <v>3384984</v>
      </c>
      <c r="I441" t="s">
        <v>753</v>
      </c>
      <c r="J441">
        <v>48.6</v>
      </c>
      <c r="K441" t="s">
        <v>313</v>
      </c>
      <c r="L441" s="67">
        <v>0.25</v>
      </c>
      <c r="N441" s="67">
        <v>0.05</v>
      </c>
      <c r="O441" s="68">
        <v>44623</v>
      </c>
      <c r="P441" s="68">
        <v>44623</v>
      </c>
      <c r="R441" t="s">
        <v>748</v>
      </c>
    </row>
    <row r="442" spans="1:18">
      <c r="A442">
        <v>1463</v>
      </c>
      <c r="B442" t="s">
        <v>1877</v>
      </c>
      <c r="C442" t="s">
        <v>3</v>
      </c>
      <c r="D442" t="s">
        <v>1875</v>
      </c>
      <c r="E442">
        <v>12444533</v>
      </c>
      <c r="I442" t="s">
        <v>753</v>
      </c>
      <c r="J442">
        <v>48.6</v>
      </c>
      <c r="K442" t="s">
        <v>313</v>
      </c>
      <c r="L442" s="67">
        <v>0.25</v>
      </c>
      <c r="N442" s="67">
        <v>0.05</v>
      </c>
      <c r="O442" s="68">
        <v>44623</v>
      </c>
      <c r="P442" s="68">
        <v>44623</v>
      </c>
      <c r="R442" t="s">
        <v>748</v>
      </c>
    </row>
    <row r="443" spans="1:18">
      <c r="A443">
        <v>1464</v>
      </c>
      <c r="B443" t="s">
        <v>1878</v>
      </c>
      <c r="C443" t="s">
        <v>3</v>
      </c>
      <c r="D443" t="s">
        <v>1875</v>
      </c>
      <c r="E443">
        <v>12444537</v>
      </c>
      <c r="I443" t="s">
        <v>753</v>
      </c>
      <c r="J443">
        <v>40.5</v>
      </c>
      <c r="K443" t="s">
        <v>313</v>
      </c>
      <c r="L443" s="67">
        <v>0.25</v>
      </c>
      <c r="N443" s="67">
        <v>0.05</v>
      </c>
      <c r="O443" s="68">
        <v>44623</v>
      </c>
      <c r="P443" s="68">
        <v>44623</v>
      </c>
      <c r="R443" t="s">
        <v>748</v>
      </c>
    </row>
    <row r="444" spans="1:18">
      <c r="A444">
        <v>1465</v>
      </c>
      <c r="B444" t="s">
        <v>1881</v>
      </c>
      <c r="C444" t="s">
        <v>3</v>
      </c>
      <c r="D444" t="s">
        <v>1879</v>
      </c>
      <c r="E444" t="s">
        <v>1880</v>
      </c>
      <c r="I444" t="s">
        <v>24</v>
      </c>
      <c r="J444">
        <v>48.6</v>
      </c>
      <c r="K444" t="s">
        <v>313</v>
      </c>
      <c r="L444" s="67">
        <v>0.25</v>
      </c>
      <c r="N444" s="67">
        <v>0.05</v>
      </c>
      <c r="O444" s="68">
        <v>44623</v>
      </c>
      <c r="P444" s="68">
        <v>44623</v>
      </c>
      <c r="R444" t="s">
        <v>748</v>
      </c>
    </row>
    <row r="445" spans="1:18">
      <c r="A445">
        <v>1466</v>
      </c>
      <c r="B445" t="s">
        <v>1883</v>
      </c>
      <c r="C445" t="s">
        <v>3</v>
      </c>
      <c r="D445" t="s">
        <v>1879</v>
      </c>
      <c r="E445" t="s">
        <v>1882</v>
      </c>
      <c r="I445" t="s">
        <v>24</v>
      </c>
      <c r="J445">
        <v>48.6</v>
      </c>
      <c r="K445" t="s">
        <v>313</v>
      </c>
      <c r="L445" s="67">
        <v>0.25</v>
      </c>
      <c r="N445" s="67">
        <v>0.05</v>
      </c>
      <c r="O445" s="68">
        <v>44623</v>
      </c>
      <c r="P445" s="68">
        <v>44623</v>
      </c>
      <c r="R445" t="s">
        <v>748</v>
      </c>
    </row>
    <row r="446" spans="1:18">
      <c r="A446">
        <v>1467</v>
      </c>
      <c r="B446" t="s">
        <v>1885</v>
      </c>
      <c r="C446" t="s">
        <v>3</v>
      </c>
      <c r="D446" t="s">
        <v>1879</v>
      </c>
      <c r="E446" t="s">
        <v>1884</v>
      </c>
      <c r="I446" t="s">
        <v>24</v>
      </c>
      <c r="J446">
        <v>129.6</v>
      </c>
      <c r="K446" t="s">
        <v>313</v>
      </c>
      <c r="L446" s="67">
        <v>0.25</v>
      </c>
      <c r="N446" s="67">
        <v>0.05</v>
      </c>
      <c r="O446" s="68">
        <v>44623</v>
      </c>
      <c r="P446" s="68">
        <v>44623</v>
      </c>
      <c r="R446" t="s">
        <v>748</v>
      </c>
    </row>
    <row r="447" spans="1:18">
      <c r="A447">
        <v>1468</v>
      </c>
      <c r="B447" t="s">
        <v>1887</v>
      </c>
      <c r="C447" t="s">
        <v>0</v>
      </c>
      <c r="D447" t="s">
        <v>1886</v>
      </c>
      <c r="I447" t="s">
        <v>938</v>
      </c>
      <c r="J447">
        <v>97.2</v>
      </c>
      <c r="K447" t="s">
        <v>313</v>
      </c>
      <c r="L447" s="67">
        <v>0.25</v>
      </c>
      <c r="N447" s="67">
        <v>0.05</v>
      </c>
      <c r="O447" s="68">
        <v>44623</v>
      </c>
      <c r="P447" s="68">
        <v>44623</v>
      </c>
      <c r="R447" t="s">
        <v>748</v>
      </c>
    </row>
    <row r="448" spans="1:18">
      <c r="A448">
        <v>1469</v>
      </c>
      <c r="B448" t="s">
        <v>1889</v>
      </c>
      <c r="C448" t="s">
        <v>0</v>
      </c>
      <c r="D448" t="s">
        <v>1888</v>
      </c>
      <c r="E448" t="s">
        <v>812</v>
      </c>
      <c r="I448" t="s">
        <v>715</v>
      </c>
      <c r="J448">
        <v>10.8</v>
      </c>
      <c r="K448" t="s">
        <v>313</v>
      </c>
      <c r="L448" s="67">
        <v>0.25</v>
      </c>
      <c r="N448" s="67">
        <v>0</v>
      </c>
      <c r="O448" s="68">
        <v>44625</v>
      </c>
      <c r="P448" s="68">
        <v>44625</v>
      </c>
      <c r="R448" t="s">
        <v>748</v>
      </c>
    </row>
    <row r="449" spans="1:18">
      <c r="A449">
        <v>1470</v>
      </c>
      <c r="B449" t="s">
        <v>1891</v>
      </c>
      <c r="C449" t="s">
        <v>0</v>
      </c>
      <c r="D449" t="s">
        <v>1890</v>
      </c>
      <c r="E449" t="s">
        <v>812</v>
      </c>
      <c r="I449" t="s">
        <v>715</v>
      </c>
      <c r="J449">
        <v>12.96</v>
      </c>
      <c r="K449" t="s">
        <v>313</v>
      </c>
      <c r="L449" s="67">
        <v>0.25</v>
      </c>
      <c r="N449" s="67">
        <v>0</v>
      </c>
      <c r="O449" s="68">
        <v>44625</v>
      </c>
      <c r="P449" s="68">
        <v>44625</v>
      </c>
      <c r="R449" t="s">
        <v>748</v>
      </c>
    </row>
    <row r="450" spans="1:18">
      <c r="A450">
        <v>1471</v>
      </c>
      <c r="B450" t="s">
        <v>1893</v>
      </c>
      <c r="C450" t="s">
        <v>0</v>
      </c>
      <c r="D450" t="s">
        <v>811</v>
      </c>
      <c r="E450" t="s">
        <v>1892</v>
      </c>
      <c r="I450" t="s">
        <v>715</v>
      </c>
      <c r="J450">
        <v>12.96</v>
      </c>
      <c r="K450" t="s">
        <v>313</v>
      </c>
      <c r="L450" s="67">
        <v>0.25</v>
      </c>
      <c r="N450" s="67">
        <v>0</v>
      </c>
      <c r="O450" s="68">
        <v>44625</v>
      </c>
      <c r="P450" s="68">
        <v>44625</v>
      </c>
      <c r="R450" t="s">
        <v>748</v>
      </c>
    </row>
    <row r="451" spans="1:18">
      <c r="A451">
        <v>1472</v>
      </c>
      <c r="B451" t="s">
        <v>1894</v>
      </c>
      <c r="C451" t="s">
        <v>0</v>
      </c>
      <c r="D451" t="s">
        <v>811</v>
      </c>
      <c r="E451" t="s">
        <v>1892</v>
      </c>
      <c r="I451" t="s">
        <v>715</v>
      </c>
      <c r="J451">
        <v>12.96</v>
      </c>
      <c r="K451" t="s">
        <v>313</v>
      </c>
      <c r="L451" s="67">
        <v>0.25</v>
      </c>
      <c r="N451" s="67">
        <v>0</v>
      </c>
      <c r="O451" s="68">
        <v>44625</v>
      </c>
      <c r="P451" s="68">
        <v>44625</v>
      </c>
      <c r="R451" t="s">
        <v>748</v>
      </c>
    </row>
    <row r="452" spans="1:18">
      <c r="A452">
        <v>1473</v>
      </c>
      <c r="B452" t="s">
        <v>1896</v>
      </c>
      <c r="C452" t="s">
        <v>0</v>
      </c>
      <c r="D452" t="s">
        <v>811</v>
      </c>
      <c r="E452" t="s">
        <v>1895</v>
      </c>
      <c r="I452" t="s">
        <v>1030</v>
      </c>
      <c r="J452">
        <v>6.48</v>
      </c>
      <c r="K452" t="s">
        <v>313</v>
      </c>
      <c r="L452" s="67">
        <v>0.25</v>
      </c>
      <c r="N452" s="67">
        <v>0</v>
      </c>
      <c r="O452" s="68">
        <v>44625</v>
      </c>
      <c r="P452" s="68">
        <v>44625</v>
      </c>
      <c r="R452" t="s">
        <v>748</v>
      </c>
    </row>
    <row r="453" spans="1:18">
      <c r="A453">
        <v>1474</v>
      </c>
      <c r="B453" t="s">
        <v>1899</v>
      </c>
      <c r="C453" t="s">
        <v>0</v>
      </c>
      <c r="D453" t="s">
        <v>1897</v>
      </c>
      <c r="E453" t="s">
        <v>1898</v>
      </c>
      <c r="I453" t="s">
        <v>133</v>
      </c>
      <c r="J453">
        <v>5.4</v>
      </c>
      <c r="K453" t="s">
        <v>313</v>
      </c>
      <c r="L453" s="67">
        <v>0.25</v>
      </c>
      <c r="N453" s="67">
        <v>0.01</v>
      </c>
      <c r="O453" s="68">
        <v>44625</v>
      </c>
      <c r="P453" s="68">
        <v>44625</v>
      </c>
      <c r="R453" t="s">
        <v>748</v>
      </c>
    </row>
    <row r="454" spans="1:18">
      <c r="A454">
        <v>1475</v>
      </c>
      <c r="B454" t="s">
        <v>1904</v>
      </c>
      <c r="C454" t="s">
        <v>7</v>
      </c>
      <c r="D454" t="s">
        <v>1608</v>
      </c>
      <c r="E454" t="s">
        <v>1609</v>
      </c>
      <c r="I454" t="s">
        <v>1610</v>
      </c>
      <c r="K454" t="s">
        <v>554</v>
      </c>
      <c r="L454" s="67">
        <v>0.25</v>
      </c>
      <c r="N454" s="67">
        <v>0</v>
      </c>
      <c r="O454" s="68">
        <v>44625</v>
      </c>
    </row>
    <row r="455" spans="1:18">
      <c r="A455">
        <v>1476</v>
      </c>
      <c r="B455" t="s">
        <v>1906</v>
      </c>
      <c r="C455" t="s">
        <v>7</v>
      </c>
      <c r="D455" t="s">
        <v>1608</v>
      </c>
      <c r="E455" t="s">
        <v>1609</v>
      </c>
      <c r="I455" t="s">
        <v>1610</v>
      </c>
      <c r="J455">
        <v>220</v>
      </c>
      <c r="K455" t="s">
        <v>554</v>
      </c>
      <c r="M455">
        <v>0</v>
      </c>
      <c r="O455" s="68">
        <v>44625</v>
      </c>
      <c r="P455" s="68">
        <v>44625</v>
      </c>
      <c r="R455" t="s">
        <v>748</v>
      </c>
    </row>
    <row r="456" spans="1:18">
      <c r="A456">
        <v>1477</v>
      </c>
      <c r="B456" t="s">
        <v>1920</v>
      </c>
      <c r="C456" t="s">
        <v>0</v>
      </c>
      <c r="D456" t="s">
        <v>1913</v>
      </c>
      <c r="E456" t="s">
        <v>1914</v>
      </c>
      <c r="I456" t="s">
        <v>1915</v>
      </c>
      <c r="J456">
        <v>220</v>
      </c>
      <c r="K456" t="s">
        <v>554</v>
      </c>
      <c r="M456">
        <v>0</v>
      </c>
      <c r="O456" s="68">
        <v>44626</v>
      </c>
      <c r="P456" s="68">
        <v>44626</v>
      </c>
      <c r="R456" t="s">
        <v>748</v>
      </c>
    </row>
    <row r="457" spans="1:18">
      <c r="A457">
        <v>1478</v>
      </c>
      <c r="B457" t="s">
        <v>1923</v>
      </c>
      <c r="C457" t="s">
        <v>0</v>
      </c>
      <c r="D457" t="s">
        <v>1922</v>
      </c>
      <c r="I457" t="s">
        <v>24</v>
      </c>
      <c r="J457">
        <v>37.799999999999997</v>
      </c>
      <c r="K457" t="s">
        <v>313</v>
      </c>
      <c r="L457" s="67">
        <v>0.25</v>
      </c>
      <c r="N457" s="67">
        <v>0.01</v>
      </c>
      <c r="O457" s="68">
        <v>44627</v>
      </c>
      <c r="P457" s="68">
        <v>44627</v>
      </c>
      <c r="R457" t="s">
        <v>748</v>
      </c>
    </row>
    <row r="458" spans="1:18">
      <c r="A458">
        <v>1479</v>
      </c>
      <c r="B458" t="s">
        <v>1925</v>
      </c>
      <c r="C458" t="s">
        <v>0</v>
      </c>
      <c r="D458" t="s">
        <v>811</v>
      </c>
      <c r="E458" t="s">
        <v>1924</v>
      </c>
      <c r="I458" t="s">
        <v>715</v>
      </c>
      <c r="J458">
        <v>11.34</v>
      </c>
      <c r="K458" t="s">
        <v>313</v>
      </c>
      <c r="L458" s="67">
        <v>0.25</v>
      </c>
      <c r="N458" s="67">
        <v>0</v>
      </c>
      <c r="O458" s="68">
        <v>44627</v>
      </c>
      <c r="P458" s="68">
        <v>44627</v>
      </c>
      <c r="R458" t="s">
        <v>748</v>
      </c>
    </row>
    <row r="459" spans="1:18">
      <c r="A459">
        <v>1480</v>
      </c>
      <c r="B459" t="s">
        <v>1926</v>
      </c>
      <c r="C459" t="s">
        <v>7</v>
      </c>
      <c r="D459" t="s">
        <v>1650</v>
      </c>
      <c r="I459" t="s">
        <v>1651</v>
      </c>
      <c r="J459">
        <v>21.6</v>
      </c>
      <c r="K459" t="s">
        <v>313</v>
      </c>
      <c r="L459" s="67">
        <v>0.24299999999999999</v>
      </c>
      <c r="N459" s="67">
        <v>0</v>
      </c>
      <c r="O459" s="68">
        <v>44629</v>
      </c>
      <c r="P459" s="68">
        <v>44629</v>
      </c>
      <c r="R459" t="s">
        <v>748</v>
      </c>
    </row>
    <row r="460" spans="1:18">
      <c r="A460">
        <v>1481</v>
      </c>
      <c r="B460" t="s">
        <v>1928</v>
      </c>
      <c r="C460" t="s">
        <v>0</v>
      </c>
      <c r="D460" t="s">
        <v>1927</v>
      </c>
      <c r="I460" t="s">
        <v>24</v>
      </c>
      <c r="J460">
        <v>37.799999999999997</v>
      </c>
      <c r="K460" t="s">
        <v>313</v>
      </c>
      <c r="L460" s="67">
        <v>0.25</v>
      </c>
      <c r="N460" s="67">
        <v>0.05</v>
      </c>
      <c r="O460" s="68">
        <v>44630</v>
      </c>
      <c r="P460" s="68">
        <v>44630</v>
      </c>
      <c r="R460" t="s">
        <v>748</v>
      </c>
    </row>
    <row r="461" spans="1:18">
      <c r="A461">
        <v>1482</v>
      </c>
      <c r="B461" t="s">
        <v>1930</v>
      </c>
      <c r="C461" t="s">
        <v>0</v>
      </c>
      <c r="D461" t="s">
        <v>1929</v>
      </c>
      <c r="I461" t="s">
        <v>24</v>
      </c>
      <c r="J461">
        <v>28.62</v>
      </c>
      <c r="K461" t="s">
        <v>313</v>
      </c>
      <c r="L461" s="67">
        <v>0.25</v>
      </c>
      <c r="N461" s="67">
        <v>0.05</v>
      </c>
      <c r="O461" s="68">
        <v>44630</v>
      </c>
      <c r="P461" s="68">
        <v>44630</v>
      </c>
      <c r="R461" t="s">
        <v>748</v>
      </c>
    </row>
    <row r="462" spans="1:18">
      <c r="A462">
        <v>1483</v>
      </c>
      <c r="B462" t="s">
        <v>1932</v>
      </c>
      <c r="C462" t="s">
        <v>7</v>
      </c>
      <c r="D462" t="s">
        <v>1931</v>
      </c>
      <c r="E462" t="s">
        <v>1189</v>
      </c>
      <c r="I462" t="s">
        <v>24</v>
      </c>
      <c r="J462">
        <v>19.440000000000001</v>
      </c>
      <c r="K462" t="s">
        <v>313</v>
      </c>
      <c r="L462" s="67">
        <v>0.25</v>
      </c>
      <c r="N462" s="67">
        <v>0</v>
      </c>
      <c r="O462" s="68">
        <v>44631</v>
      </c>
      <c r="P462" s="68">
        <v>44631</v>
      </c>
      <c r="R462" t="s">
        <v>748</v>
      </c>
    </row>
    <row r="463" spans="1:18">
      <c r="A463">
        <v>1484</v>
      </c>
      <c r="B463" t="s">
        <v>1934</v>
      </c>
      <c r="C463" t="s">
        <v>7</v>
      </c>
      <c r="D463" t="s">
        <v>1931</v>
      </c>
      <c r="E463" t="s">
        <v>1933</v>
      </c>
      <c r="I463" t="s">
        <v>24</v>
      </c>
      <c r="J463">
        <v>9.7200000000000006</v>
      </c>
      <c r="K463" t="s">
        <v>313</v>
      </c>
      <c r="L463" s="67">
        <v>0.25</v>
      </c>
      <c r="N463" s="67">
        <v>0</v>
      </c>
      <c r="O463" s="68">
        <v>44631</v>
      </c>
      <c r="P463" s="68">
        <v>44631</v>
      </c>
      <c r="R463" t="s">
        <v>748</v>
      </c>
    </row>
    <row r="464" spans="1:18">
      <c r="A464">
        <v>1485</v>
      </c>
      <c r="B464" t="s">
        <v>1936</v>
      </c>
      <c r="C464" t="s">
        <v>7</v>
      </c>
      <c r="D464" t="s">
        <v>1935</v>
      </c>
      <c r="E464" t="s">
        <v>1053</v>
      </c>
      <c r="I464" t="s">
        <v>1053</v>
      </c>
      <c r="J464">
        <v>220</v>
      </c>
      <c r="K464" t="s">
        <v>554</v>
      </c>
      <c r="M464">
        <v>0</v>
      </c>
      <c r="O464" s="68">
        <v>44642</v>
      </c>
      <c r="P464" s="68">
        <v>44642</v>
      </c>
      <c r="R464" t="s">
        <v>748</v>
      </c>
    </row>
    <row r="465" spans="1:18">
      <c r="A465">
        <v>1486</v>
      </c>
      <c r="B465" t="s">
        <v>1938</v>
      </c>
      <c r="C465" t="s">
        <v>7</v>
      </c>
      <c r="D465" t="s">
        <v>1937</v>
      </c>
      <c r="I465" t="s">
        <v>24</v>
      </c>
      <c r="J465">
        <v>19.440000000000001</v>
      </c>
      <c r="K465" t="s">
        <v>313</v>
      </c>
      <c r="L465" s="67">
        <v>0.25</v>
      </c>
      <c r="N465" s="67">
        <v>0</v>
      </c>
      <c r="O465" s="68">
        <v>44644</v>
      </c>
      <c r="P465" s="68">
        <v>44644</v>
      </c>
      <c r="R465" t="s">
        <v>748</v>
      </c>
    </row>
    <row r="466" spans="1:18">
      <c r="A466">
        <v>1487</v>
      </c>
      <c r="B466" t="s">
        <v>1939</v>
      </c>
      <c r="C466" t="s">
        <v>3</v>
      </c>
      <c r="D466" t="s">
        <v>1937</v>
      </c>
      <c r="I466" t="s">
        <v>24</v>
      </c>
      <c r="J466">
        <v>22.68</v>
      </c>
      <c r="K466" t="s">
        <v>313</v>
      </c>
      <c r="L466" s="67">
        <v>0.25</v>
      </c>
      <c r="N466" s="67">
        <v>0</v>
      </c>
      <c r="O466" s="68">
        <v>44644</v>
      </c>
      <c r="P466" s="68">
        <v>44644</v>
      </c>
      <c r="R466" t="s">
        <v>748</v>
      </c>
    </row>
    <row r="467" spans="1:18">
      <c r="A467">
        <v>1488</v>
      </c>
      <c r="B467" t="s">
        <v>1942</v>
      </c>
      <c r="C467" t="s">
        <v>3</v>
      </c>
      <c r="D467" t="s">
        <v>1941</v>
      </c>
      <c r="I467" t="s">
        <v>1940</v>
      </c>
      <c r="J467">
        <v>98.28</v>
      </c>
      <c r="K467" t="s">
        <v>313</v>
      </c>
      <c r="L467" s="67">
        <v>0.25</v>
      </c>
      <c r="N467" s="67">
        <v>0</v>
      </c>
      <c r="O467" s="68">
        <v>44643</v>
      </c>
      <c r="P467" s="68">
        <v>44643</v>
      </c>
      <c r="R467" t="s">
        <v>748</v>
      </c>
    </row>
    <row r="468" spans="1:18">
      <c r="A468">
        <v>1489</v>
      </c>
      <c r="B468" t="s">
        <v>1944</v>
      </c>
      <c r="C468" t="s">
        <v>0</v>
      </c>
      <c r="D468" t="s">
        <v>1943</v>
      </c>
      <c r="I468" t="s">
        <v>1012</v>
      </c>
      <c r="J468">
        <v>5.4</v>
      </c>
      <c r="K468" t="s">
        <v>313</v>
      </c>
      <c r="L468" s="67">
        <v>0.25</v>
      </c>
      <c r="N468" s="67">
        <v>0.05</v>
      </c>
      <c r="O468" s="68">
        <v>44643</v>
      </c>
      <c r="P468" s="68">
        <v>44643</v>
      </c>
      <c r="R468" t="s">
        <v>748</v>
      </c>
    </row>
    <row r="469" spans="1:18">
      <c r="A469">
        <v>1490</v>
      </c>
      <c r="B469" t="s">
        <v>1945</v>
      </c>
      <c r="C469" t="s">
        <v>0</v>
      </c>
      <c r="D469" t="s">
        <v>1943</v>
      </c>
      <c r="I469" t="s">
        <v>1012</v>
      </c>
      <c r="J469">
        <v>5.4</v>
      </c>
      <c r="K469" t="s">
        <v>313</v>
      </c>
      <c r="L469" s="67">
        <v>0.25</v>
      </c>
      <c r="N469" s="67">
        <v>0.05</v>
      </c>
      <c r="O469" s="68">
        <v>44643</v>
      </c>
      <c r="P469" s="68">
        <v>44643</v>
      </c>
      <c r="R469" t="s">
        <v>748</v>
      </c>
    </row>
    <row r="470" spans="1:18">
      <c r="A470">
        <v>1491</v>
      </c>
      <c r="B470" t="s">
        <v>1947</v>
      </c>
      <c r="C470" t="s">
        <v>7</v>
      </c>
      <c r="D470" t="s">
        <v>1946</v>
      </c>
      <c r="I470" t="s">
        <v>753</v>
      </c>
      <c r="J470">
        <v>9.7200000000000006</v>
      </c>
      <c r="K470" t="s">
        <v>313</v>
      </c>
      <c r="L470" s="67">
        <v>0.25</v>
      </c>
      <c r="N470" s="67">
        <v>0.05</v>
      </c>
      <c r="O470" s="68">
        <v>44643</v>
      </c>
      <c r="P470" s="68">
        <v>44643</v>
      </c>
      <c r="R470" t="s">
        <v>748</v>
      </c>
    </row>
    <row r="471" spans="1:18">
      <c r="A471">
        <v>1492</v>
      </c>
      <c r="B471" t="s">
        <v>1949</v>
      </c>
      <c r="C471" t="s">
        <v>0</v>
      </c>
      <c r="D471" t="s">
        <v>1948</v>
      </c>
      <c r="I471" t="s">
        <v>24</v>
      </c>
      <c r="J471">
        <v>128.52000000000001</v>
      </c>
      <c r="K471" t="s">
        <v>313</v>
      </c>
      <c r="L471" s="67">
        <v>0.25</v>
      </c>
      <c r="N471" s="67">
        <v>0.03</v>
      </c>
      <c r="O471" s="68">
        <v>44644</v>
      </c>
      <c r="P471" s="68">
        <v>44644</v>
      </c>
      <c r="R471" t="s">
        <v>748</v>
      </c>
    </row>
    <row r="472" spans="1:18">
      <c r="A472">
        <v>1493</v>
      </c>
      <c r="B472" t="s">
        <v>1951</v>
      </c>
      <c r="C472" t="s">
        <v>0</v>
      </c>
      <c r="D472" t="s">
        <v>1948</v>
      </c>
      <c r="E472" t="s">
        <v>1950</v>
      </c>
      <c r="I472" t="s">
        <v>24</v>
      </c>
      <c r="J472">
        <v>128.52000000000001</v>
      </c>
      <c r="K472" t="s">
        <v>313</v>
      </c>
      <c r="L472" s="67">
        <v>0.25</v>
      </c>
      <c r="N472" s="67">
        <v>0.03</v>
      </c>
      <c r="O472" s="68">
        <v>44644</v>
      </c>
      <c r="P472" s="68">
        <v>44644</v>
      </c>
      <c r="R472" t="s">
        <v>748</v>
      </c>
    </row>
    <row r="473" spans="1:18">
      <c r="A473">
        <v>1494</v>
      </c>
      <c r="B473" t="s">
        <v>1952</v>
      </c>
      <c r="C473" t="s">
        <v>0</v>
      </c>
      <c r="D473" t="s">
        <v>1948</v>
      </c>
      <c r="E473" t="s">
        <v>1950</v>
      </c>
      <c r="I473" t="s">
        <v>24</v>
      </c>
      <c r="J473">
        <v>129.6</v>
      </c>
      <c r="K473" t="s">
        <v>313</v>
      </c>
      <c r="L473" s="67">
        <v>0.25</v>
      </c>
      <c r="N473" s="67">
        <v>0.03</v>
      </c>
      <c r="O473" s="68">
        <v>44644</v>
      </c>
      <c r="P473" s="68">
        <v>44644</v>
      </c>
      <c r="R473" t="s">
        <v>748</v>
      </c>
    </row>
    <row r="474" spans="1:18">
      <c r="A474">
        <v>1495</v>
      </c>
      <c r="B474" t="s">
        <v>1953</v>
      </c>
      <c r="C474" t="s">
        <v>0</v>
      </c>
      <c r="D474" t="s">
        <v>1405</v>
      </c>
      <c r="E474" t="s">
        <v>1189</v>
      </c>
      <c r="I474" t="s">
        <v>24</v>
      </c>
      <c r="J474">
        <v>19.440000000000001</v>
      </c>
      <c r="K474" t="s">
        <v>313</v>
      </c>
      <c r="L474" s="67">
        <v>0.25</v>
      </c>
      <c r="N474" s="67">
        <v>0</v>
      </c>
      <c r="O474" s="68">
        <v>44644</v>
      </c>
      <c r="P474" s="68">
        <v>44644</v>
      </c>
      <c r="R474" t="s">
        <v>748</v>
      </c>
    </row>
    <row r="475" spans="1:18">
      <c r="A475">
        <v>1496</v>
      </c>
      <c r="B475" t="s">
        <v>1955</v>
      </c>
      <c r="C475" t="s">
        <v>0</v>
      </c>
      <c r="D475" t="s">
        <v>1954</v>
      </c>
      <c r="I475" t="s">
        <v>938</v>
      </c>
      <c r="J475">
        <v>49.68</v>
      </c>
      <c r="K475" t="s">
        <v>313</v>
      </c>
      <c r="L475" s="67">
        <v>0.25</v>
      </c>
      <c r="N475" s="67">
        <v>0.05</v>
      </c>
      <c r="O475" s="68">
        <v>44644</v>
      </c>
      <c r="P475" s="68">
        <v>44644</v>
      </c>
      <c r="R475" t="s">
        <v>748</v>
      </c>
    </row>
    <row r="476" spans="1:18">
      <c r="A476">
        <v>1497</v>
      </c>
      <c r="B476" t="s">
        <v>1956</v>
      </c>
      <c r="C476" t="s">
        <v>0</v>
      </c>
      <c r="D476" t="s">
        <v>1954</v>
      </c>
      <c r="I476" t="s">
        <v>938</v>
      </c>
      <c r="J476">
        <v>49.68</v>
      </c>
      <c r="K476" t="s">
        <v>313</v>
      </c>
      <c r="L476" s="67">
        <v>0.25</v>
      </c>
      <c r="N476" s="67">
        <v>0.05</v>
      </c>
      <c r="O476" s="68">
        <v>44644</v>
      </c>
      <c r="P476" s="68">
        <v>44644</v>
      </c>
      <c r="R476" t="s">
        <v>748</v>
      </c>
    </row>
    <row r="477" spans="1:18">
      <c r="A477">
        <v>1498</v>
      </c>
      <c r="B477" t="s">
        <v>1959</v>
      </c>
      <c r="C477" t="s">
        <v>0</v>
      </c>
      <c r="D477" t="s">
        <v>1957</v>
      </c>
      <c r="E477" t="s">
        <v>1958</v>
      </c>
      <c r="I477" t="s">
        <v>938</v>
      </c>
      <c r="J477">
        <v>2.16</v>
      </c>
      <c r="K477" t="s">
        <v>313</v>
      </c>
      <c r="L477" s="67">
        <v>0.25</v>
      </c>
      <c r="N477" s="67">
        <v>0</v>
      </c>
      <c r="O477" s="68">
        <v>44645</v>
      </c>
      <c r="P477" s="68">
        <v>44645</v>
      </c>
      <c r="R477" t="s">
        <v>748</v>
      </c>
    </row>
    <row r="478" spans="1:18">
      <c r="A478">
        <v>1499</v>
      </c>
      <c r="B478" t="s">
        <v>1961</v>
      </c>
      <c r="C478" t="s">
        <v>0</v>
      </c>
      <c r="D478" t="s">
        <v>1957</v>
      </c>
      <c r="E478" t="s">
        <v>1960</v>
      </c>
      <c r="I478" t="s">
        <v>133</v>
      </c>
      <c r="J478">
        <v>1.78</v>
      </c>
      <c r="K478" t="s">
        <v>313</v>
      </c>
      <c r="L478" s="67">
        <v>0.25</v>
      </c>
      <c r="N478" s="67">
        <v>0</v>
      </c>
      <c r="O478" s="68">
        <v>44645</v>
      </c>
      <c r="P478" s="68">
        <v>44645</v>
      </c>
      <c r="R478" t="s">
        <v>748</v>
      </c>
    </row>
    <row r="479" spans="1:18">
      <c r="A479">
        <v>1500</v>
      </c>
      <c r="B479" t="s">
        <v>1964</v>
      </c>
      <c r="C479" t="s">
        <v>7</v>
      </c>
      <c r="D479" t="s">
        <v>1962</v>
      </c>
      <c r="E479" t="s">
        <v>1963</v>
      </c>
      <c r="I479" t="s">
        <v>1434</v>
      </c>
      <c r="J479">
        <v>42.12</v>
      </c>
      <c r="K479" t="s">
        <v>313</v>
      </c>
      <c r="L479" s="67">
        <v>0.25</v>
      </c>
      <c r="N479" s="67">
        <v>0</v>
      </c>
      <c r="O479" s="68">
        <v>44648</v>
      </c>
      <c r="P479" s="68">
        <v>44648</v>
      </c>
      <c r="R479" t="s">
        <v>748</v>
      </c>
    </row>
    <row r="480" spans="1:18">
      <c r="A480">
        <v>1501</v>
      </c>
      <c r="B480" t="s">
        <v>1966</v>
      </c>
      <c r="C480" t="s">
        <v>7</v>
      </c>
      <c r="D480" t="s">
        <v>1962</v>
      </c>
      <c r="E480" t="s">
        <v>1965</v>
      </c>
      <c r="I480" t="s">
        <v>1434</v>
      </c>
      <c r="J480">
        <v>25.92</v>
      </c>
      <c r="K480" t="s">
        <v>313</v>
      </c>
      <c r="L480" s="67">
        <v>0.25</v>
      </c>
      <c r="N480" s="67">
        <v>0</v>
      </c>
      <c r="O480" s="68">
        <v>44648</v>
      </c>
      <c r="P480" s="68">
        <v>44648</v>
      </c>
      <c r="R480" t="s">
        <v>748</v>
      </c>
    </row>
    <row r="481" spans="1:18">
      <c r="A481">
        <v>1502</v>
      </c>
      <c r="B481" t="s">
        <v>1968</v>
      </c>
      <c r="C481" t="s">
        <v>7</v>
      </c>
      <c r="D481" t="s">
        <v>1962</v>
      </c>
      <c r="E481" t="s">
        <v>1967</v>
      </c>
      <c r="I481" t="s">
        <v>1434</v>
      </c>
      <c r="J481">
        <v>68.040000000000006</v>
      </c>
      <c r="K481" t="s">
        <v>313</v>
      </c>
      <c r="L481" s="67">
        <v>0.25</v>
      </c>
      <c r="N481" s="67">
        <v>0</v>
      </c>
      <c r="O481" s="68">
        <v>44648</v>
      </c>
      <c r="P481" s="68">
        <v>44648</v>
      </c>
      <c r="R481" t="s">
        <v>748</v>
      </c>
    </row>
    <row r="482" spans="1:18">
      <c r="A482">
        <v>1503</v>
      </c>
      <c r="B482" t="s">
        <v>1971</v>
      </c>
      <c r="C482" t="s">
        <v>0</v>
      </c>
      <c r="D482" t="s">
        <v>1969</v>
      </c>
      <c r="E482" t="s">
        <v>1970</v>
      </c>
      <c r="I482" t="s">
        <v>1434</v>
      </c>
      <c r="J482">
        <v>57.24</v>
      </c>
      <c r="K482" t="s">
        <v>313</v>
      </c>
      <c r="L482" s="67">
        <v>0.25</v>
      </c>
      <c r="N482" s="67">
        <v>0</v>
      </c>
      <c r="O482" s="68">
        <v>44648</v>
      </c>
      <c r="P482" s="68">
        <v>44648</v>
      </c>
      <c r="R482" t="s">
        <v>748</v>
      </c>
    </row>
    <row r="483" spans="1:18">
      <c r="A483">
        <v>1504</v>
      </c>
      <c r="B483" t="s">
        <v>1973</v>
      </c>
      <c r="C483" t="s">
        <v>0</v>
      </c>
      <c r="D483" t="s">
        <v>1969</v>
      </c>
      <c r="E483" t="s">
        <v>1972</v>
      </c>
      <c r="I483" t="s">
        <v>1434</v>
      </c>
      <c r="J483">
        <v>22.68</v>
      </c>
      <c r="K483" t="s">
        <v>313</v>
      </c>
      <c r="L483" s="67">
        <v>0.25</v>
      </c>
      <c r="N483" s="67">
        <v>0</v>
      </c>
      <c r="O483" s="68">
        <v>44648</v>
      </c>
      <c r="P483" s="68">
        <v>44648</v>
      </c>
      <c r="R483" t="s">
        <v>748</v>
      </c>
    </row>
    <row r="484" spans="1:18">
      <c r="A484">
        <v>1505</v>
      </c>
      <c r="B484" t="s">
        <v>1975</v>
      </c>
      <c r="C484" t="s">
        <v>0</v>
      </c>
      <c r="D484" t="s">
        <v>1974</v>
      </c>
      <c r="I484" t="s">
        <v>24</v>
      </c>
      <c r="J484">
        <v>1.78</v>
      </c>
      <c r="K484" t="s">
        <v>313</v>
      </c>
      <c r="L484" s="67">
        <v>0.25</v>
      </c>
      <c r="N484" s="67">
        <v>0.05</v>
      </c>
      <c r="O484" s="68">
        <v>44648</v>
      </c>
      <c r="P484" s="68">
        <v>44648</v>
      </c>
      <c r="R484" t="s">
        <v>748</v>
      </c>
    </row>
    <row r="485" spans="1:18">
      <c r="A485">
        <v>1506</v>
      </c>
      <c r="B485" t="s">
        <v>1980</v>
      </c>
      <c r="C485" t="s">
        <v>0</v>
      </c>
      <c r="D485" t="s">
        <v>1977</v>
      </c>
      <c r="E485" t="s">
        <v>1979</v>
      </c>
      <c r="I485" t="s">
        <v>24</v>
      </c>
      <c r="J485">
        <v>28.48</v>
      </c>
      <c r="K485" t="s">
        <v>313</v>
      </c>
      <c r="L485" s="67">
        <v>0.25</v>
      </c>
      <c r="N485" s="67">
        <v>0.01</v>
      </c>
      <c r="O485" s="68">
        <v>44650</v>
      </c>
      <c r="P485" s="68">
        <v>44650</v>
      </c>
      <c r="R485" t="s">
        <v>748</v>
      </c>
    </row>
    <row r="486" spans="1:18">
      <c r="A486">
        <v>1507</v>
      </c>
      <c r="B486" t="s">
        <v>1981</v>
      </c>
      <c r="C486" t="s">
        <v>0</v>
      </c>
      <c r="D486" t="s">
        <v>1977</v>
      </c>
      <c r="E486" t="s">
        <v>1978</v>
      </c>
      <c r="I486" t="s">
        <v>24</v>
      </c>
      <c r="J486">
        <v>19.579999999999998</v>
      </c>
      <c r="K486" t="s">
        <v>313</v>
      </c>
      <c r="L486" s="67">
        <v>0.25</v>
      </c>
      <c r="N486" s="67">
        <v>0.01</v>
      </c>
      <c r="O486" s="68">
        <v>44650</v>
      </c>
      <c r="P486" s="68">
        <v>44650</v>
      </c>
      <c r="R486" t="s">
        <v>748</v>
      </c>
    </row>
    <row r="487" spans="1:18">
      <c r="A487">
        <v>1508</v>
      </c>
      <c r="B487" t="s">
        <v>1983</v>
      </c>
      <c r="C487" t="s">
        <v>0</v>
      </c>
      <c r="D487" t="s">
        <v>1982</v>
      </c>
      <c r="I487" t="s">
        <v>133</v>
      </c>
      <c r="J487">
        <v>55.08</v>
      </c>
      <c r="K487" t="s">
        <v>313</v>
      </c>
      <c r="L487" s="67">
        <v>0.25</v>
      </c>
      <c r="N487" s="67">
        <v>0.05</v>
      </c>
      <c r="O487" s="68">
        <v>44655</v>
      </c>
      <c r="P487" s="68">
        <v>44655</v>
      </c>
      <c r="R487" t="s">
        <v>748</v>
      </c>
    </row>
    <row r="488" spans="1:18">
      <c r="A488">
        <v>1509</v>
      </c>
      <c r="B488" t="s">
        <v>1985</v>
      </c>
      <c r="C488" t="s">
        <v>7</v>
      </c>
      <c r="D488" t="s">
        <v>1984</v>
      </c>
      <c r="I488" t="s">
        <v>135</v>
      </c>
      <c r="J488">
        <v>864</v>
      </c>
      <c r="K488" t="s">
        <v>313</v>
      </c>
      <c r="L488" s="67">
        <v>0.23</v>
      </c>
      <c r="N488" s="67">
        <v>0.03</v>
      </c>
      <c r="O488" s="68">
        <v>44655</v>
      </c>
      <c r="P488" s="68">
        <v>44655</v>
      </c>
      <c r="R488" t="s">
        <v>748</v>
      </c>
    </row>
    <row r="489" spans="1:18">
      <c r="A489">
        <v>1510</v>
      </c>
      <c r="B489" t="s">
        <v>1986</v>
      </c>
      <c r="C489" t="s">
        <v>7</v>
      </c>
      <c r="D489" t="s">
        <v>1935</v>
      </c>
      <c r="E489" t="s">
        <v>1053</v>
      </c>
      <c r="I489" t="s">
        <v>1053</v>
      </c>
      <c r="J489">
        <v>220</v>
      </c>
      <c r="K489" t="s">
        <v>554</v>
      </c>
      <c r="M489">
        <v>0</v>
      </c>
      <c r="O489" s="68">
        <v>44656</v>
      </c>
      <c r="P489" s="68">
        <v>44656</v>
      </c>
      <c r="R489" t="s">
        <v>748</v>
      </c>
    </row>
    <row r="490" spans="1:18">
      <c r="A490">
        <v>1511</v>
      </c>
      <c r="B490" t="s">
        <v>1987</v>
      </c>
      <c r="C490" t="s">
        <v>7</v>
      </c>
      <c r="D490" t="s">
        <v>1935</v>
      </c>
      <c r="E490" t="s">
        <v>1053</v>
      </c>
      <c r="I490" t="s">
        <v>1053</v>
      </c>
      <c r="J490">
        <v>220</v>
      </c>
      <c r="K490" t="s">
        <v>554</v>
      </c>
      <c r="M490">
        <v>0</v>
      </c>
      <c r="O490" s="68">
        <v>44656</v>
      </c>
      <c r="P490" s="68">
        <v>44656</v>
      </c>
      <c r="R490" t="s">
        <v>748</v>
      </c>
    </row>
    <row r="491" spans="1:18">
      <c r="A491">
        <v>1512</v>
      </c>
      <c r="B491" t="s">
        <v>1988</v>
      </c>
      <c r="C491" t="s">
        <v>0</v>
      </c>
      <c r="D491" t="s">
        <v>1982</v>
      </c>
      <c r="E491" t="s">
        <v>1574</v>
      </c>
      <c r="I491" t="s">
        <v>133</v>
      </c>
      <c r="J491">
        <v>14.04</v>
      </c>
      <c r="K491" t="s">
        <v>313</v>
      </c>
      <c r="L491" s="67">
        <v>0.2</v>
      </c>
      <c r="N491" s="67">
        <v>0</v>
      </c>
      <c r="O491" s="68">
        <v>44656</v>
      </c>
      <c r="P491" s="68">
        <v>44656</v>
      </c>
      <c r="R491" t="s">
        <v>748</v>
      </c>
    </row>
    <row r="492" spans="1:18">
      <c r="A492">
        <v>1513</v>
      </c>
      <c r="B492" t="s">
        <v>1991</v>
      </c>
      <c r="C492" t="s">
        <v>7</v>
      </c>
      <c r="D492" t="s">
        <v>1274</v>
      </c>
      <c r="E492" t="s">
        <v>1990</v>
      </c>
      <c r="I492" t="s">
        <v>24</v>
      </c>
      <c r="J492">
        <v>19.260000000000002</v>
      </c>
      <c r="K492" t="s">
        <v>313</v>
      </c>
      <c r="L492" s="67">
        <v>0.25</v>
      </c>
      <c r="N492" s="67">
        <v>0.05</v>
      </c>
      <c r="O492" s="68">
        <v>44656</v>
      </c>
      <c r="P492" s="68">
        <v>44656</v>
      </c>
      <c r="R492" t="s">
        <v>748</v>
      </c>
    </row>
    <row r="493" spans="1:18">
      <c r="A493">
        <v>1514</v>
      </c>
      <c r="B493" t="s">
        <v>1993</v>
      </c>
      <c r="C493" t="s">
        <v>0</v>
      </c>
      <c r="D493" t="s">
        <v>1992</v>
      </c>
      <c r="E493" t="s">
        <v>1990</v>
      </c>
      <c r="I493" t="s">
        <v>1055</v>
      </c>
      <c r="J493">
        <v>7.56</v>
      </c>
      <c r="K493" t="s">
        <v>313</v>
      </c>
      <c r="L493" s="67">
        <v>0.25</v>
      </c>
      <c r="N493" s="67">
        <v>0.05</v>
      </c>
      <c r="O493" s="68">
        <v>44656</v>
      </c>
      <c r="P493" s="68">
        <v>44656</v>
      </c>
      <c r="R493" t="s">
        <v>748</v>
      </c>
    </row>
    <row r="494" spans="1:18">
      <c r="A494">
        <v>1515</v>
      </c>
      <c r="B494" t="s">
        <v>1994</v>
      </c>
      <c r="C494" t="s">
        <v>0</v>
      </c>
      <c r="D494" t="s">
        <v>1992</v>
      </c>
      <c r="E494" t="s">
        <v>1990</v>
      </c>
      <c r="I494" t="s">
        <v>1055</v>
      </c>
      <c r="J494">
        <v>5.4</v>
      </c>
      <c r="K494" t="s">
        <v>313</v>
      </c>
      <c r="L494" s="67">
        <v>0.25</v>
      </c>
      <c r="N494" s="67">
        <v>0.05</v>
      </c>
      <c r="O494" s="68">
        <v>44656</v>
      </c>
      <c r="P494" s="68">
        <v>44656</v>
      </c>
      <c r="R494" t="s">
        <v>748</v>
      </c>
    </row>
    <row r="495" spans="1:18">
      <c r="A495">
        <v>1516</v>
      </c>
      <c r="B495" t="s">
        <v>1995</v>
      </c>
      <c r="C495" t="s">
        <v>0</v>
      </c>
      <c r="D495" t="s">
        <v>1992</v>
      </c>
      <c r="E495" t="s">
        <v>1990</v>
      </c>
      <c r="I495" t="s">
        <v>1055</v>
      </c>
      <c r="J495">
        <v>3.78</v>
      </c>
      <c r="K495" t="s">
        <v>313</v>
      </c>
      <c r="L495" s="67">
        <v>0.25</v>
      </c>
      <c r="N495" s="67">
        <v>0.05</v>
      </c>
      <c r="O495" s="68">
        <v>44656</v>
      </c>
      <c r="P495" s="68">
        <v>44656</v>
      </c>
      <c r="R495" t="s">
        <v>748</v>
      </c>
    </row>
    <row r="496" spans="1:18">
      <c r="A496">
        <v>1517</v>
      </c>
      <c r="B496" t="s">
        <v>1998</v>
      </c>
      <c r="C496" t="s">
        <v>7</v>
      </c>
      <c r="D496" t="s">
        <v>1996</v>
      </c>
      <c r="I496" t="s">
        <v>1997</v>
      </c>
      <c r="J496">
        <v>63.18</v>
      </c>
      <c r="K496" t="s">
        <v>313</v>
      </c>
      <c r="L496" s="67">
        <v>0.25</v>
      </c>
      <c r="N496" s="67">
        <v>0.05</v>
      </c>
      <c r="O496" s="68">
        <v>44656</v>
      </c>
      <c r="P496" s="68">
        <v>44656</v>
      </c>
      <c r="R496" t="s">
        <v>748</v>
      </c>
    </row>
    <row r="497" spans="1:18">
      <c r="A497">
        <v>1518</v>
      </c>
      <c r="B497" t="s">
        <v>1999</v>
      </c>
      <c r="C497" t="s">
        <v>0</v>
      </c>
      <c r="D497" t="s">
        <v>1977</v>
      </c>
      <c r="I497" t="s">
        <v>24</v>
      </c>
      <c r="J497">
        <v>26.7</v>
      </c>
      <c r="K497" t="s">
        <v>313</v>
      </c>
      <c r="L497" s="67">
        <v>0.25</v>
      </c>
      <c r="N497" s="67">
        <v>0</v>
      </c>
      <c r="O497" s="68">
        <v>44656</v>
      </c>
      <c r="P497" s="68">
        <v>44656</v>
      </c>
      <c r="R497" t="s">
        <v>748</v>
      </c>
    </row>
    <row r="498" spans="1:18">
      <c r="A498">
        <v>1519</v>
      </c>
      <c r="B498" t="s">
        <v>2001</v>
      </c>
      <c r="C498" t="s">
        <v>0</v>
      </c>
      <c r="D498" t="s">
        <v>1022</v>
      </c>
      <c r="E498" t="s">
        <v>2000</v>
      </c>
      <c r="I498" t="s">
        <v>1046</v>
      </c>
      <c r="J498">
        <v>1.08</v>
      </c>
      <c r="K498" t="s">
        <v>313</v>
      </c>
      <c r="L498" s="67">
        <v>0.25</v>
      </c>
      <c r="N498" s="67">
        <v>0.01</v>
      </c>
      <c r="O498" s="68">
        <v>44657</v>
      </c>
      <c r="P498" s="68">
        <v>44657</v>
      </c>
      <c r="R498" t="s">
        <v>748</v>
      </c>
    </row>
    <row r="499" spans="1:18">
      <c r="A499">
        <v>1520</v>
      </c>
      <c r="B499" t="s">
        <v>2004</v>
      </c>
      <c r="C499" t="s">
        <v>0</v>
      </c>
      <c r="D499" t="s">
        <v>2002</v>
      </c>
      <c r="E499" t="s">
        <v>2003</v>
      </c>
      <c r="I499" t="s">
        <v>1651</v>
      </c>
      <c r="J499">
        <v>1.62</v>
      </c>
      <c r="K499" t="s">
        <v>313</v>
      </c>
      <c r="L499" s="67">
        <v>0.15</v>
      </c>
      <c r="N499" s="67">
        <v>0</v>
      </c>
      <c r="O499" s="68">
        <v>44657</v>
      </c>
      <c r="P499" s="68">
        <v>44657</v>
      </c>
      <c r="R499" t="s">
        <v>748</v>
      </c>
    </row>
    <row r="500" spans="1:18">
      <c r="A500">
        <v>1521</v>
      </c>
      <c r="B500" t="s">
        <v>2007</v>
      </c>
      <c r="C500" t="s">
        <v>10</v>
      </c>
      <c r="D500" t="s">
        <v>2005</v>
      </c>
      <c r="E500">
        <v>149733</v>
      </c>
      <c r="I500" t="s">
        <v>1434</v>
      </c>
      <c r="J500">
        <v>47.52</v>
      </c>
      <c r="K500" t="s">
        <v>313</v>
      </c>
      <c r="L500" s="67">
        <v>0.25</v>
      </c>
      <c r="N500" s="67">
        <v>0.05</v>
      </c>
      <c r="O500" s="68">
        <v>44657</v>
      </c>
      <c r="P500" s="68">
        <v>44657</v>
      </c>
      <c r="R500" t="s">
        <v>748</v>
      </c>
    </row>
    <row r="501" spans="1:18">
      <c r="A501">
        <v>1522</v>
      </c>
      <c r="B501" t="s">
        <v>2009</v>
      </c>
      <c r="C501" t="s">
        <v>10</v>
      </c>
      <c r="D501" t="s">
        <v>1962</v>
      </c>
      <c r="E501" t="s">
        <v>2008</v>
      </c>
      <c r="I501" t="s">
        <v>1434</v>
      </c>
      <c r="J501">
        <v>81</v>
      </c>
      <c r="K501" t="s">
        <v>313</v>
      </c>
      <c r="L501" s="67">
        <v>0.25</v>
      </c>
      <c r="N501" s="67">
        <v>0</v>
      </c>
      <c r="O501" s="68">
        <v>44657</v>
      </c>
      <c r="P501" s="68">
        <v>44657</v>
      </c>
      <c r="R501" t="s">
        <v>748</v>
      </c>
    </row>
    <row r="502" spans="1:18">
      <c r="A502">
        <v>1523</v>
      </c>
      <c r="B502" t="s">
        <v>2010</v>
      </c>
      <c r="C502" t="s">
        <v>10</v>
      </c>
      <c r="D502" t="s">
        <v>1962</v>
      </c>
      <c r="E502" t="s">
        <v>2008</v>
      </c>
      <c r="I502" t="s">
        <v>1434</v>
      </c>
      <c r="J502">
        <v>21.06</v>
      </c>
      <c r="K502" t="s">
        <v>313</v>
      </c>
      <c r="L502" s="67">
        <v>0.23</v>
      </c>
      <c r="N502" s="67">
        <v>0</v>
      </c>
      <c r="O502" s="68">
        <v>44658</v>
      </c>
      <c r="P502" s="68">
        <v>44658</v>
      </c>
      <c r="R502" t="s">
        <v>748</v>
      </c>
    </row>
    <row r="503" spans="1:18">
      <c r="A503">
        <v>1524</v>
      </c>
      <c r="B503" t="s">
        <v>2012</v>
      </c>
      <c r="C503" t="s">
        <v>0</v>
      </c>
      <c r="D503" t="s">
        <v>2011</v>
      </c>
      <c r="I503" t="s">
        <v>1434</v>
      </c>
      <c r="J503">
        <v>22.68</v>
      </c>
      <c r="K503" t="s">
        <v>313</v>
      </c>
      <c r="L503" s="67">
        <v>0.25</v>
      </c>
      <c r="N503" s="67">
        <v>0</v>
      </c>
      <c r="O503" s="68">
        <v>44658</v>
      </c>
      <c r="P503" s="68">
        <v>44658</v>
      </c>
      <c r="R503" t="s">
        <v>748</v>
      </c>
    </row>
    <row r="504" spans="1:18">
      <c r="A504">
        <v>1525</v>
      </c>
      <c r="B504" t="s">
        <v>2014</v>
      </c>
      <c r="C504" t="s">
        <v>0</v>
      </c>
      <c r="D504" t="s">
        <v>2013</v>
      </c>
      <c r="I504" t="s">
        <v>1651</v>
      </c>
      <c r="J504">
        <v>5.4</v>
      </c>
      <c r="K504" t="s">
        <v>313</v>
      </c>
      <c r="L504" s="67">
        <v>0.25</v>
      </c>
      <c r="N504" s="67">
        <v>0</v>
      </c>
      <c r="O504" s="68">
        <v>44661</v>
      </c>
      <c r="P504" s="68">
        <v>44661</v>
      </c>
      <c r="R504" t="s">
        <v>748</v>
      </c>
    </row>
    <row r="505" spans="1:18">
      <c r="A505">
        <v>1526</v>
      </c>
      <c r="B505" t="s">
        <v>2017</v>
      </c>
      <c r="C505" t="s">
        <v>0</v>
      </c>
      <c r="D505" t="s">
        <v>2015</v>
      </c>
      <c r="E505" t="s">
        <v>2016</v>
      </c>
      <c r="I505" t="s">
        <v>1055</v>
      </c>
      <c r="J505">
        <v>7.56</v>
      </c>
      <c r="K505" t="s">
        <v>313</v>
      </c>
      <c r="L505" s="67">
        <v>0.25</v>
      </c>
      <c r="N505" s="67">
        <v>0</v>
      </c>
      <c r="O505" s="68">
        <v>44661</v>
      </c>
      <c r="P505" s="68">
        <v>44661</v>
      </c>
      <c r="R505" t="s">
        <v>748</v>
      </c>
    </row>
    <row r="506" spans="1:18">
      <c r="A506">
        <v>1527</v>
      </c>
      <c r="B506" t="s">
        <v>2018</v>
      </c>
      <c r="C506" t="s">
        <v>0</v>
      </c>
      <c r="D506" t="s">
        <v>2015</v>
      </c>
      <c r="E506" t="s">
        <v>2016</v>
      </c>
      <c r="I506" t="s">
        <v>1055</v>
      </c>
      <c r="J506">
        <v>7.56</v>
      </c>
      <c r="K506" t="s">
        <v>313</v>
      </c>
      <c r="L506" s="67">
        <v>0.25</v>
      </c>
      <c r="N506" s="67">
        <v>0</v>
      </c>
      <c r="O506" s="68">
        <v>44661</v>
      </c>
      <c r="P506" s="68">
        <v>44661</v>
      </c>
      <c r="R506" t="s">
        <v>748</v>
      </c>
    </row>
    <row r="507" spans="1:18">
      <c r="A507">
        <v>1528</v>
      </c>
      <c r="B507" t="s">
        <v>2020</v>
      </c>
      <c r="C507" t="s">
        <v>7</v>
      </c>
      <c r="D507" t="s">
        <v>2019</v>
      </c>
      <c r="E507" t="s">
        <v>1136</v>
      </c>
      <c r="I507" t="s">
        <v>1136</v>
      </c>
      <c r="J507">
        <v>129.6</v>
      </c>
      <c r="K507" t="s">
        <v>313</v>
      </c>
      <c r="L507" s="67">
        <v>0.23</v>
      </c>
      <c r="N507" s="67">
        <v>0.05</v>
      </c>
      <c r="O507" s="68">
        <v>44662</v>
      </c>
      <c r="P507" s="68">
        <v>44662</v>
      </c>
      <c r="R507" t="s">
        <v>748</v>
      </c>
    </row>
    <row r="508" spans="1:18">
      <c r="A508">
        <v>1529</v>
      </c>
      <c r="B508" t="s">
        <v>2023</v>
      </c>
      <c r="C508" t="s">
        <v>10</v>
      </c>
      <c r="D508" t="s">
        <v>2021</v>
      </c>
      <c r="E508" t="s">
        <v>2022</v>
      </c>
      <c r="I508" t="s">
        <v>24</v>
      </c>
      <c r="J508">
        <v>15.12</v>
      </c>
      <c r="K508" t="s">
        <v>313</v>
      </c>
      <c r="L508" s="67">
        <v>0.25</v>
      </c>
      <c r="N508" s="67">
        <v>0.05</v>
      </c>
      <c r="O508" s="68">
        <v>44668</v>
      </c>
      <c r="P508" s="68">
        <v>44668</v>
      </c>
      <c r="R508" t="s">
        <v>748</v>
      </c>
    </row>
    <row r="509" spans="1:18">
      <c r="A509">
        <v>1530</v>
      </c>
      <c r="B509" t="s">
        <v>2024</v>
      </c>
      <c r="C509" t="s">
        <v>10</v>
      </c>
      <c r="D509" t="s">
        <v>1274</v>
      </c>
      <c r="E509" t="s">
        <v>1275</v>
      </c>
      <c r="I509" t="s">
        <v>24</v>
      </c>
      <c r="J509">
        <v>19.260000000000002</v>
      </c>
      <c r="K509" t="s">
        <v>313</v>
      </c>
      <c r="L509" s="67">
        <v>0.233126</v>
      </c>
      <c r="N509" s="67">
        <v>0.05</v>
      </c>
      <c r="O509" s="68">
        <v>44671</v>
      </c>
      <c r="P509" s="68">
        <v>44671</v>
      </c>
      <c r="R509" t="s">
        <v>748</v>
      </c>
    </row>
    <row r="510" spans="1:18">
      <c r="A510">
        <v>1531</v>
      </c>
      <c r="B510" t="s">
        <v>2026</v>
      </c>
      <c r="C510" t="s">
        <v>10</v>
      </c>
      <c r="D510" t="s">
        <v>1274</v>
      </c>
      <c r="E510" t="s">
        <v>2025</v>
      </c>
      <c r="I510" t="s">
        <v>24</v>
      </c>
      <c r="J510">
        <v>19.260000000000002</v>
      </c>
      <c r="K510" t="s">
        <v>313</v>
      </c>
      <c r="L510" s="67">
        <v>0.233126</v>
      </c>
      <c r="N510" s="67">
        <v>0.05</v>
      </c>
      <c r="O510" s="68">
        <v>44672</v>
      </c>
      <c r="P510" s="68">
        <v>44672</v>
      </c>
      <c r="R510" t="s">
        <v>748</v>
      </c>
    </row>
    <row r="511" spans="1:18">
      <c r="A511">
        <v>1532</v>
      </c>
      <c r="B511" t="s">
        <v>2027</v>
      </c>
      <c r="C511" t="s">
        <v>10</v>
      </c>
      <c r="D511" t="s">
        <v>2005</v>
      </c>
      <c r="E511">
        <v>149733</v>
      </c>
      <c r="I511" t="s">
        <v>1434</v>
      </c>
      <c r="J511">
        <v>73.44</v>
      </c>
      <c r="K511" t="s">
        <v>313</v>
      </c>
      <c r="L511" s="67">
        <v>0.25</v>
      </c>
      <c r="N511" s="67">
        <v>0.05</v>
      </c>
      <c r="O511" s="68">
        <v>44672</v>
      </c>
      <c r="P511" s="68">
        <v>44672</v>
      </c>
      <c r="R511" t="s">
        <v>748</v>
      </c>
    </row>
    <row r="512" spans="1:18">
      <c r="A512">
        <v>1533</v>
      </c>
      <c r="B512" t="s">
        <v>2028</v>
      </c>
      <c r="C512" t="s">
        <v>0</v>
      </c>
      <c r="D512" t="s">
        <v>1977</v>
      </c>
      <c r="I512" t="s">
        <v>24</v>
      </c>
      <c r="J512">
        <v>33.82</v>
      </c>
      <c r="K512" t="s">
        <v>313</v>
      </c>
      <c r="L512" s="67">
        <v>0.24</v>
      </c>
      <c r="N512" s="67">
        <v>0.01</v>
      </c>
      <c r="O512" s="68">
        <v>44673</v>
      </c>
      <c r="P512" s="68">
        <v>44673</v>
      </c>
      <c r="R512" t="s">
        <v>748</v>
      </c>
    </row>
    <row r="513" spans="1:18">
      <c r="A513">
        <v>1534</v>
      </c>
      <c r="B513" t="s">
        <v>2031</v>
      </c>
      <c r="C513" t="s">
        <v>0</v>
      </c>
      <c r="D513" t="s">
        <v>2029</v>
      </c>
      <c r="E513" t="s">
        <v>2030</v>
      </c>
      <c r="I513" t="s">
        <v>1055</v>
      </c>
      <c r="J513">
        <v>2.16</v>
      </c>
      <c r="K513" t="s">
        <v>313</v>
      </c>
      <c r="L513" s="67">
        <v>0.25</v>
      </c>
      <c r="N513" s="67">
        <v>0</v>
      </c>
      <c r="O513" s="68">
        <v>44677</v>
      </c>
      <c r="P513" s="68">
        <v>44677</v>
      </c>
      <c r="R513" t="s">
        <v>748</v>
      </c>
    </row>
    <row r="514" spans="1:18">
      <c r="A514">
        <v>1535</v>
      </c>
      <c r="B514" t="s">
        <v>2034</v>
      </c>
      <c r="C514" t="s">
        <v>0</v>
      </c>
      <c r="D514" t="s">
        <v>2029</v>
      </c>
      <c r="E514" t="s">
        <v>2032</v>
      </c>
      <c r="F514" t="s">
        <v>2033</v>
      </c>
      <c r="I514" t="s">
        <v>1055</v>
      </c>
      <c r="J514">
        <v>2.16</v>
      </c>
      <c r="K514" t="s">
        <v>313</v>
      </c>
      <c r="L514" s="67">
        <v>0.25</v>
      </c>
      <c r="N514" s="67">
        <v>0</v>
      </c>
      <c r="O514" s="68">
        <v>44677</v>
      </c>
      <c r="P514" s="68">
        <v>44677</v>
      </c>
      <c r="R514" t="s">
        <v>748</v>
      </c>
    </row>
    <row r="515" spans="1:18">
      <c r="A515">
        <v>1536</v>
      </c>
      <c r="B515" t="s">
        <v>2035</v>
      </c>
      <c r="C515" t="s">
        <v>0</v>
      </c>
      <c r="D515" t="s">
        <v>2032</v>
      </c>
      <c r="E515" t="s">
        <v>2033</v>
      </c>
      <c r="I515" t="s">
        <v>1055</v>
      </c>
      <c r="J515">
        <v>2.16</v>
      </c>
      <c r="K515" t="s">
        <v>313</v>
      </c>
      <c r="L515" s="67">
        <v>0.25</v>
      </c>
      <c r="N515" s="67">
        <v>0</v>
      </c>
      <c r="O515" s="68">
        <v>44677</v>
      </c>
      <c r="P515" s="68">
        <v>44677</v>
      </c>
      <c r="R515" t="s">
        <v>748</v>
      </c>
    </row>
    <row r="516" spans="1:18">
      <c r="A516">
        <v>1537</v>
      </c>
      <c r="B516" t="s">
        <v>2036</v>
      </c>
      <c r="C516" t="s">
        <v>0</v>
      </c>
      <c r="D516" t="s">
        <v>2032</v>
      </c>
      <c r="E516" t="s">
        <v>2033</v>
      </c>
      <c r="I516" t="s">
        <v>1055</v>
      </c>
      <c r="J516">
        <v>2.16</v>
      </c>
      <c r="K516" t="s">
        <v>313</v>
      </c>
      <c r="L516" s="67">
        <v>0.25</v>
      </c>
      <c r="N516" s="67">
        <v>0</v>
      </c>
      <c r="O516" s="68">
        <v>44677</v>
      </c>
      <c r="P516" s="68">
        <v>44677</v>
      </c>
      <c r="R516" t="s">
        <v>748</v>
      </c>
    </row>
    <row r="517" spans="1:18">
      <c r="A517">
        <v>1538</v>
      </c>
      <c r="B517" t="s">
        <v>2037</v>
      </c>
      <c r="C517" t="s">
        <v>0</v>
      </c>
      <c r="D517" t="s">
        <v>2032</v>
      </c>
      <c r="E517" t="s">
        <v>2033</v>
      </c>
      <c r="I517" t="s">
        <v>1055</v>
      </c>
      <c r="J517">
        <v>2.16</v>
      </c>
      <c r="K517" t="s">
        <v>313</v>
      </c>
      <c r="L517" s="67">
        <v>0.25</v>
      </c>
      <c r="N517" s="67">
        <v>0</v>
      </c>
      <c r="O517" s="68">
        <v>44677</v>
      </c>
      <c r="P517" s="68">
        <v>44677</v>
      </c>
      <c r="R517" t="s">
        <v>748</v>
      </c>
    </row>
    <row r="518" spans="1:18">
      <c r="A518">
        <v>1539</v>
      </c>
      <c r="B518" t="s">
        <v>2041</v>
      </c>
      <c r="C518" t="s">
        <v>3</v>
      </c>
      <c r="D518" t="s">
        <v>2040</v>
      </c>
      <c r="E518">
        <v>6432402</v>
      </c>
      <c r="I518" t="s">
        <v>2039</v>
      </c>
      <c r="J518">
        <v>9.7200000000000006</v>
      </c>
      <c r="K518" t="s">
        <v>313</v>
      </c>
      <c r="L518" s="67">
        <v>0.25</v>
      </c>
      <c r="N518" s="67">
        <v>0.05</v>
      </c>
      <c r="O518" s="68">
        <v>44677</v>
      </c>
      <c r="P518" s="68">
        <v>44677</v>
      </c>
      <c r="R518" t="s">
        <v>748</v>
      </c>
    </row>
    <row r="519" spans="1:18">
      <c r="A519">
        <v>1540</v>
      </c>
      <c r="B519" t="s">
        <v>2043</v>
      </c>
      <c r="C519" t="s">
        <v>3</v>
      </c>
      <c r="D519" t="s">
        <v>2042</v>
      </c>
      <c r="E519">
        <v>6432978</v>
      </c>
      <c r="I519" t="s">
        <v>2039</v>
      </c>
      <c r="J519">
        <v>29.16</v>
      </c>
      <c r="K519" t="s">
        <v>313</v>
      </c>
      <c r="L519" s="67">
        <v>0.25</v>
      </c>
      <c r="N519" s="67">
        <v>0.05</v>
      </c>
      <c r="O519" s="68">
        <v>44677</v>
      </c>
      <c r="P519" s="68">
        <v>44677</v>
      </c>
      <c r="R519" t="s">
        <v>748</v>
      </c>
    </row>
    <row r="520" spans="1:18">
      <c r="A520">
        <v>1541</v>
      </c>
      <c r="B520" t="s">
        <v>2045</v>
      </c>
      <c r="C520" t="s">
        <v>0</v>
      </c>
      <c r="D520" t="s">
        <v>2044</v>
      </c>
      <c r="E520" t="s">
        <v>737</v>
      </c>
      <c r="I520" t="s">
        <v>1434</v>
      </c>
      <c r="J520">
        <v>2.16</v>
      </c>
      <c r="K520" t="s">
        <v>313</v>
      </c>
      <c r="L520" s="67">
        <v>0.2</v>
      </c>
      <c r="N520" s="67">
        <v>0.05</v>
      </c>
      <c r="O520" s="68">
        <v>44677</v>
      </c>
      <c r="P520" s="68">
        <v>44677</v>
      </c>
      <c r="R520" t="s">
        <v>748</v>
      </c>
    </row>
    <row r="521" spans="1:18">
      <c r="A521">
        <v>1542</v>
      </c>
      <c r="B521" t="s">
        <v>2048</v>
      </c>
      <c r="C521" t="s">
        <v>0</v>
      </c>
      <c r="D521" t="s">
        <v>736</v>
      </c>
      <c r="E521" t="s">
        <v>2046</v>
      </c>
      <c r="I521" t="s">
        <v>2047</v>
      </c>
      <c r="J521">
        <v>6.48</v>
      </c>
      <c r="K521" t="s">
        <v>313</v>
      </c>
      <c r="L521" s="67">
        <v>0.22</v>
      </c>
      <c r="N521" s="67">
        <v>0.05</v>
      </c>
      <c r="O521" s="68">
        <v>44679</v>
      </c>
      <c r="P521" s="68">
        <v>44679</v>
      </c>
      <c r="R521" t="s">
        <v>748</v>
      </c>
    </row>
    <row r="522" spans="1:18">
      <c r="A522">
        <v>1543</v>
      </c>
      <c r="B522" t="s">
        <v>2075</v>
      </c>
      <c r="C522" t="s">
        <v>0</v>
      </c>
      <c r="D522" t="s">
        <v>2072</v>
      </c>
      <c r="E522" t="s">
        <v>2073</v>
      </c>
      <c r="I522" t="s">
        <v>2074</v>
      </c>
      <c r="J522">
        <v>5</v>
      </c>
      <c r="K522" t="s">
        <v>313</v>
      </c>
      <c r="L522" s="67">
        <v>0.25</v>
      </c>
      <c r="N522" s="67">
        <v>0</v>
      </c>
      <c r="O522" s="68">
        <v>44684</v>
      </c>
      <c r="P522" s="68">
        <v>44684</v>
      </c>
      <c r="R522" t="s">
        <v>748</v>
      </c>
    </row>
    <row r="523" spans="1:18">
      <c r="A523">
        <v>1544</v>
      </c>
      <c r="B523" t="s">
        <v>2078</v>
      </c>
      <c r="C523" t="s">
        <v>0</v>
      </c>
      <c r="D523" t="s">
        <v>2076</v>
      </c>
      <c r="E523" t="s">
        <v>1046</v>
      </c>
      <c r="I523" t="s">
        <v>2077</v>
      </c>
      <c r="J523">
        <v>6</v>
      </c>
      <c r="K523" t="s">
        <v>313</v>
      </c>
      <c r="L523" s="67">
        <v>0.25</v>
      </c>
      <c r="N523" s="67">
        <v>0.02</v>
      </c>
      <c r="O523" s="68">
        <v>44684</v>
      </c>
      <c r="P523" s="68">
        <v>44684</v>
      </c>
      <c r="R523" t="s">
        <v>748</v>
      </c>
    </row>
    <row r="524" spans="1:18">
      <c r="A524">
        <v>1545</v>
      </c>
      <c r="B524" t="s">
        <v>2080</v>
      </c>
      <c r="C524" t="s">
        <v>7</v>
      </c>
      <c r="D524" t="s">
        <v>2079</v>
      </c>
      <c r="I524" t="s">
        <v>2077</v>
      </c>
      <c r="J524">
        <v>220</v>
      </c>
      <c r="K524" t="s">
        <v>554</v>
      </c>
      <c r="M524">
        <v>0</v>
      </c>
      <c r="O524" s="68">
        <v>44684</v>
      </c>
      <c r="P524" s="68">
        <v>44684</v>
      </c>
      <c r="R524" t="s">
        <v>748</v>
      </c>
    </row>
    <row r="525" spans="1:18">
      <c r="A525">
        <v>1546</v>
      </c>
      <c r="B525" t="s">
        <v>2081</v>
      </c>
      <c r="C525" t="s">
        <v>7</v>
      </c>
      <c r="D525" t="s">
        <v>2079</v>
      </c>
      <c r="I525" t="s">
        <v>2077</v>
      </c>
      <c r="J525">
        <v>220</v>
      </c>
      <c r="K525" t="s">
        <v>554</v>
      </c>
      <c r="M525">
        <v>0</v>
      </c>
      <c r="O525" s="68">
        <v>44685</v>
      </c>
      <c r="P525" s="68">
        <v>44685</v>
      </c>
      <c r="R525" t="s">
        <v>748</v>
      </c>
    </row>
    <row r="526" spans="1:18">
      <c r="A526">
        <v>1547</v>
      </c>
      <c r="B526" t="s">
        <v>2084</v>
      </c>
      <c r="C526" t="s">
        <v>0</v>
      </c>
      <c r="D526" t="s">
        <v>2082</v>
      </c>
      <c r="I526" t="s">
        <v>2083</v>
      </c>
      <c r="J526">
        <v>28</v>
      </c>
      <c r="K526" t="s">
        <v>313</v>
      </c>
      <c r="L526" s="67">
        <v>0.22</v>
      </c>
      <c r="N526" s="67">
        <v>0.05</v>
      </c>
      <c r="O526" s="68">
        <v>44685</v>
      </c>
      <c r="P526" s="68">
        <v>44685</v>
      </c>
      <c r="R526" t="s">
        <v>748</v>
      </c>
    </row>
    <row r="527" spans="1:18">
      <c r="A527">
        <v>1548</v>
      </c>
      <c r="B527" t="s">
        <v>2088</v>
      </c>
      <c r="C527" t="s">
        <v>0</v>
      </c>
      <c r="D527" t="s">
        <v>2085</v>
      </c>
      <c r="E527" t="s">
        <v>2086</v>
      </c>
      <c r="I527" t="s">
        <v>2087</v>
      </c>
      <c r="J527">
        <v>20</v>
      </c>
      <c r="K527" t="s">
        <v>313</v>
      </c>
      <c r="L527" s="67">
        <v>0.22</v>
      </c>
      <c r="N527" s="67">
        <v>0.05</v>
      </c>
      <c r="O527" s="68">
        <v>44685</v>
      </c>
      <c r="P527" s="68">
        <v>44685</v>
      </c>
      <c r="R527" t="s">
        <v>748</v>
      </c>
    </row>
    <row r="528" spans="1:18">
      <c r="A528">
        <v>1549</v>
      </c>
      <c r="B528" t="s">
        <v>2091</v>
      </c>
      <c r="C528" t="s">
        <v>0</v>
      </c>
      <c r="D528" t="s">
        <v>736</v>
      </c>
      <c r="E528" t="s">
        <v>2089</v>
      </c>
      <c r="I528" t="s">
        <v>2090</v>
      </c>
      <c r="J528">
        <v>8</v>
      </c>
      <c r="K528" t="s">
        <v>313</v>
      </c>
      <c r="L528" s="67">
        <v>0.22</v>
      </c>
      <c r="N528" s="67">
        <v>0.05</v>
      </c>
      <c r="O528" s="68">
        <v>44686</v>
      </c>
      <c r="P528" s="68">
        <v>44686</v>
      </c>
      <c r="R528" t="s">
        <v>748</v>
      </c>
    </row>
    <row r="529" spans="1:18">
      <c r="A529">
        <v>1550</v>
      </c>
      <c r="B529" t="s">
        <v>2094</v>
      </c>
      <c r="C529" t="s">
        <v>0</v>
      </c>
      <c r="D529" t="s">
        <v>2093</v>
      </c>
      <c r="E529" t="s">
        <v>2092</v>
      </c>
      <c r="I529" t="s">
        <v>1134</v>
      </c>
      <c r="J529">
        <v>14</v>
      </c>
      <c r="K529" t="s">
        <v>313</v>
      </c>
      <c r="L529" s="67">
        <v>0.25</v>
      </c>
      <c r="N529" s="67">
        <v>0</v>
      </c>
      <c r="O529" s="68">
        <v>44687</v>
      </c>
      <c r="P529" s="68">
        <v>44687</v>
      </c>
      <c r="R529" t="s">
        <v>748</v>
      </c>
    </row>
    <row r="530" spans="1:18">
      <c r="A530">
        <v>1551</v>
      </c>
      <c r="B530" t="s">
        <v>2097</v>
      </c>
      <c r="C530" t="s">
        <v>0</v>
      </c>
      <c r="D530" t="s">
        <v>2093</v>
      </c>
      <c r="E530" t="s">
        <v>2096</v>
      </c>
      <c r="I530" t="s">
        <v>1134</v>
      </c>
      <c r="J530">
        <v>14</v>
      </c>
      <c r="K530" t="s">
        <v>313</v>
      </c>
      <c r="L530" s="67">
        <v>0.25</v>
      </c>
      <c r="N530" s="67">
        <v>0</v>
      </c>
      <c r="O530" s="68">
        <v>44687</v>
      </c>
      <c r="P530" s="68">
        <v>44687</v>
      </c>
      <c r="R530" t="s">
        <v>748</v>
      </c>
    </row>
    <row r="531" spans="1:18">
      <c r="A531">
        <v>1552</v>
      </c>
      <c r="B531" t="s">
        <v>2098</v>
      </c>
      <c r="C531" t="s">
        <v>0</v>
      </c>
      <c r="D531" t="s">
        <v>2085</v>
      </c>
      <c r="E531" t="s">
        <v>2086</v>
      </c>
      <c r="I531" t="s">
        <v>2087</v>
      </c>
      <c r="J531">
        <v>22</v>
      </c>
      <c r="K531" t="s">
        <v>313</v>
      </c>
      <c r="L531" s="67">
        <v>0.22</v>
      </c>
      <c r="N531" s="67">
        <v>0.05</v>
      </c>
      <c r="O531" s="68">
        <v>44690</v>
      </c>
      <c r="P531" s="68">
        <v>44690</v>
      </c>
      <c r="R531" t="s">
        <v>748</v>
      </c>
    </row>
    <row r="532" spans="1:18">
      <c r="A532">
        <v>1553</v>
      </c>
      <c r="B532" t="s">
        <v>2099</v>
      </c>
      <c r="C532" t="s">
        <v>0</v>
      </c>
      <c r="D532" t="s">
        <v>2085</v>
      </c>
      <c r="E532" t="s">
        <v>2086</v>
      </c>
      <c r="I532" t="s">
        <v>2087</v>
      </c>
      <c r="J532">
        <v>21</v>
      </c>
      <c r="K532" t="s">
        <v>313</v>
      </c>
      <c r="L532" s="67">
        <v>0.22</v>
      </c>
      <c r="N532" s="67">
        <v>0.05</v>
      </c>
      <c r="O532" s="68">
        <v>44690</v>
      </c>
      <c r="P532" s="68">
        <v>44690</v>
      </c>
      <c r="R532" t="s">
        <v>748</v>
      </c>
    </row>
    <row r="533" spans="1:18">
      <c r="A533">
        <v>1554</v>
      </c>
      <c r="B533" t="s">
        <v>2103</v>
      </c>
      <c r="C533" t="s">
        <v>0</v>
      </c>
      <c r="D533" t="s">
        <v>1634</v>
      </c>
      <c r="E533" t="s">
        <v>2100</v>
      </c>
      <c r="I533" t="s">
        <v>2101</v>
      </c>
      <c r="J533">
        <v>220</v>
      </c>
      <c r="K533" t="s">
        <v>554</v>
      </c>
      <c r="M533">
        <v>0</v>
      </c>
      <c r="O533" s="68">
        <v>44691</v>
      </c>
      <c r="P533" s="68">
        <v>44691</v>
      </c>
      <c r="R533" t="s">
        <v>748</v>
      </c>
    </row>
    <row r="534" spans="1:18">
      <c r="A534">
        <v>1555</v>
      </c>
      <c r="B534" t="s">
        <v>2104</v>
      </c>
      <c r="C534" t="s">
        <v>0</v>
      </c>
      <c r="D534" t="s">
        <v>1634</v>
      </c>
      <c r="E534" t="s">
        <v>2100</v>
      </c>
      <c r="I534" t="s">
        <v>2101</v>
      </c>
      <c r="J534">
        <v>220</v>
      </c>
      <c r="K534" t="s">
        <v>554</v>
      </c>
      <c r="M534">
        <v>0</v>
      </c>
      <c r="O534" s="68">
        <v>44691</v>
      </c>
      <c r="P534" s="68">
        <v>44691</v>
      </c>
      <c r="R534" t="s">
        <v>748</v>
      </c>
    </row>
    <row r="535" spans="1:18">
      <c r="A535">
        <v>1556</v>
      </c>
      <c r="B535" t="s">
        <v>2105</v>
      </c>
      <c r="C535" t="s">
        <v>0</v>
      </c>
      <c r="D535" t="s">
        <v>1634</v>
      </c>
      <c r="E535" t="s">
        <v>2100</v>
      </c>
      <c r="I535" t="s">
        <v>2101</v>
      </c>
      <c r="J535">
        <v>220</v>
      </c>
      <c r="K535" t="s">
        <v>554</v>
      </c>
      <c r="M535">
        <v>0</v>
      </c>
      <c r="O535" s="68">
        <v>44691</v>
      </c>
      <c r="P535" s="68">
        <v>44691</v>
      </c>
      <c r="R535" t="s">
        <v>748</v>
      </c>
    </row>
    <row r="536" spans="1:18">
      <c r="A536">
        <v>1557</v>
      </c>
      <c r="B536" t="s">
        <v>2107</v>
      </c>
      <c r="C536" t="s">
        <v>0</v>
      </c>
      <c r="D536" t="s">
        <v>1634</v>
      </c>
      <c r="E536" t="s">
        <v>2100</v>
      </c>
      <c r="I536" t="s">
        <v>2106</v>
      </c>
      <c r="J536">
        <v>6</v>
      </c>
      <c r="K536" t="s">
        <v>313</v>
      </c>
      <c r="L536" s="67">
        <v>0.25</v>
      </c>
      <c r="N536" s="67">
        <v>0</v>
      </c>
      <c r="O536" s="68">
        <v>44691</v>
      </c>
      <c r="P536" s="68">
        <v>44691</v>
      </c>
      <c r="R536" t="s">
        <v>748</v>
      </c>
    </row>
    <row r="537" spans="1:18">
      <c r="A537">
        <v>1558</v>
      </c>
      <c r="B537" t="s">
        <v>2112</v>
      </c>
      <c r="C537" t="s">
        <v>0</v>
      </c>
      <c r="D537" t="s">
        <v>2111</v>
      </c>
      <c r="I537" t="s">
        <v>1434</v>
      </c>
      <c r="J537">
        <v>4</v>
      </c>
      <c r="K537" t="s">
        <v>313</v>
      </c>
      <c r="L537" s="67">
        <v>0.25</v>
      </c>
      <c r="N537" s="67">
        <v>0</v>
      </c>
      <c r="O537" s="68">
        <v>44697</v>
      </c>
      <c r="P537" s="68">
        <v>44697</v>
      </c>
      <c r="R537" t="s">
        <v>748</v>
      </c>
    </row>
    <row r="538" spans="1:18">
      <c r="A538">
        <v>1559</v>
      </c>
      <c r="B538" t="s">
        <v>2114</v>
      </c>
      <c r="C538" t="s">
        <v>0</v>
      </c>
      <c r="D538" t="s">
        <v>2113</v>
      </c>
      <c r="I538" t="s">
        <v>1434</v>
      </c>
      <c r="J538">
        <v>4</v>
      </c>
      <c r="K538" t="s">
        <v>313</v>
      </c>
      <c r="L538" s="67">
        <v>0.25</v>
      </c>
      <c r="N538" s="67">
        <v>0</v>
      </c>
      <c r="O538" s="68">
        <v>44697</v>
      </c>
      <c r="P538" s="68">
        <v>44697</v>
      </c>
      <c r="R538" t="s">
        <v>748</v>
      </c>
    </row>
    <row r="539" spans="1:18">
      <c r="A539">
        <v>1560</v>
      </c>
      <c r="B539" t="s">
        <v>2116</v>
      </c>
      <c r="C539" t="s">
        <v>0</v>
      </c>
      <c r="D539" t="s">
        <v>2115</v>
      </c>
      <c r="I539" t="s">
        <v>1434</v>
      </c>
      <c r="J539">
        <v>4</v>
      </c>
      <c r="K539" t="s">
        <v>313</v>
      </c>
      <c r="L539" s="67">
        <v>0.25</v>
      </c>
      <c r="N539" s="67">
        <v>0</v>
      </c>
      <c r="O539" s="68">
        <v>44697</v>
      </c>
      <c r="P539" s="68">
        <v>44697</v>
      </c>
      <c r="R539" t="s">
        <v>748</v>
      </c>
    </row>
    <row r="540" spans="1:18">
      <c r="A540">
        <v>1561</v>
      </c>
      <c r="B540" t="s">
        <v>2118</v>
      </c>
      <c r="C540" t="s">
        <v>0</v>
      </c>
      <c r="D540" t="s">
        <v>2117</v>
      </c>
      <c r="I540" t="s">
        <v>1434</v>
      </c>
      <c r="J540">
        <v>4</v>
      </c>
      <c r="K540" t="s">
        <v>313</v>
      </c>
      <c r="L540" s="67">
        <v>0.25</v>
      </c>
      <c r="N540" s="67">
        <v>0</v>
      </c>
      <c r="O540" s="68">
        <v>44697</v>
      </c>
      <c r="P540" s="68">
        <v>44697</v>
      </c>
      <c r="R540" t="s">
        <v>748</v>
      </c>
    </row>
    <row r="541" spans="1:18">
      <c r="A541">
        <v>1562</v>
      </c>
      <c r="B541" t="s">
        <v>2120</v>
      </c>
      <c r="C541" t="s">
        <v>0</v>
      </c>
      <c r="D541" t="s">
        <v>2119</v>
      </c>
      <c r="I541" t="s">
        <v>1434</v>
      </c>
      <c r="J541">
        <v>4</v>
      </c>
      <c r="K541" t="s">
        <v>313</v>
      </c>
      <c r="L541" s="67">
        <v>0.25</v>
      </c>
      <c r="N541" s="67">
        <v>0</v>
      </c>
      <c r="O541" s="68">
        <v>44697</v>
      </c>
      <c r="P541" s="68">
        <v>44697</v>
      </c>
      <c r="R541" t="s">
        <v>748</v>
      </c>
    </row>
    <row r="542" spans="1:18">
      <c r="A542">
        <v>1563</v>
      </c>
      <c r="B542" t="s">
        <v>2138</v>
      </c>
      <c r="C542" t="s">
        <v>10</v>
      </c>
      <c r="D542" t="s">
        <v>2137</v>
      </c>
      <c r="I542" t="s">
        <v>938</v>
      </c>
      <c r="J542">
        <v>90</v>
      </c>
      <c r="K542" t="s">
        <v>313</v>
      </c>
      <c r="L542" s="67">
        <v>0.2</v>
      </c>
      <c r="N542" s="67">
        <v>0</v>
      </c>
      <c r="O542" s="68">
        <v>44702</v>
      </c>
      <c r="P542" s="68">
        <v>44702</v>
      </c>
      <c r="R542" t="s">
        <v>748</v>
      </c>
    </row>
    <row r="543" spans="1:18">
      <c r="A543">
        <v>1564</v>
      </c>
      <c r="B543" t="s">
        <v>2141</v>
      </c>
      <c r="C543" t="s">
        <v>7</v>
      </c>
      <c r="D543" t="s">
        <v>2139</v>
      </c>
      <c r="I543" t="s">
        <v>2140</v>
      </c>
      <c r="J543">
        <v>111</v>
      </c>
      <c r="K543" t="s">
        <v>313</v>
      </c>
      <c r="L543" s="67">
        <v>0.25</v>
      </c>
      <c r="N543" s="67">
        <v>0.05</v>
      </c>
      <c r="O543" s="68">
        <v>44703</v>
      </c>
      <c r="P543" s="68">
        <v>44703</v>
      </c>
      <c r="R543" t="s">
        <v>748</v>
      </c>
    </row>
    <row r="544" spans="1:18">
      <c r="A544">
        <v>1565</v>
      </c>
      <c r="B544" t="s">
        <v>2144</v>
      </c>
      <c r="C544" t="s">
        <v>0</v>
      </c>
      <c r="D544" t="s">
        <v>2142</v>
      </c>
      <c r="E544" t="s">
        <v>2143</v>
      </c>
      <c r="I544" t="s">
        <v>2143</v>
      </c>
      <c r="J544">
        <v>2</v>
      </c>
      <c r="K544" t="s">
        <v>313</v>
      </c>
      <c r="L544" s="67">
        <v>0.25</v>
      </c>
      <c r="N544" s="67">
        <v>0.05</v>
      </c>
      <c r="O544" s="68">
        <v>44703</v>
      </c>
      <c r="P544" s="68">
        <v>44703</v>
      </c>
      <c r="R544" t="s">
        <v>748</v>
      </c>
    </row>
    <row r="545" spans="1:18">
      <c r="A545">
        <v>1566</v>
      </c>
      <c r="B545" t="s">
        <v>2147</v>
      </c>
      <c r="C545" t="s">
        <v>3</v>
      </c>
      <c r="D545" t="s">
        <v>2145</v>
      </c>
      <c r="E545" t="s">
        <v>2146</v>
      </c>
      <c r="I545" t="s">
        <v>1619</v>
      </c>
      <c r="J545">
        <v>242</v>
      </c>
      <c r="K545" t="s">
        <v>313</v>
      </c>
      <c r="L545" s="67">
        <v>0.25</v>
      </c>
      <c r="N545" s="67">
        <v>0.05</v>
      </c>
      <c r="O545" s="68">
        <v>44703</v>
      </c>
      <c r="P545" s="68">
        <v>44703</v>
      </c>
      <c r="R545" t="s">
        <v>748</v>
      </c>
    </row>
    <row r="546" spans="1:18">
      <c r="A546">
        <v>1567</v>
      </c>
      <c r="B546" t="s">
        <v>2148</v>
      </c>
      <c r="C546" t="s">
        <v>3</v>
      </c>
      <c r="D546" t="s">
        <v>2145</v>
      </c>
      <c r="E546" t="s">
        <v>2146</v>
      </c>
      <c r="I546" t="s">
        <v>1619</v>
      </c>
      <c r="J546">
        <v>242</v>
      </c>
      <c r="K546" t="s">
        <v>313</v>
      </c>
      <c r="L546" s="67">
        <v>0.25</v>
      </c>
      <c r="N546" s="67">
        <v>0.05</v>
      </c>
      <c r="O546" s="68">
        <v>44703</v>
      </c>
      <c r="P546" s="68">
        <v>44703</v>
      </c>
      <c r="R546" t="s">
        <v>748</v>
      </c>
    </row>
    <row r="547" spans="1:18">
      <c r="A547">
        <v>1568</v>
      </c>
      <c r="B547" t="s">
        <v>2150</v>
      </c>
      <c r="C547" t="s">
        <v>3</v>
      </c>
      <c r="D547" t="s">
        <v>2145</v>
      </c>
      <c r="E547" t="s">
        <v>2149</v>
      </c>
      <c r="I547" t="s">
        <v>1619</v>
      </c>
      <c r="J547">
        <v>242</v>
      </c>
      <c r="K547" t="s">
        <v>313</v>
      </c>
      <c r="L547" s="67">
        <v>0.25</v>
      </c>
      <c r="N547" s="67">
        <v>0.05</v>
      </c>
      <c r="O547" s="68">
        <v>44704</v>
      </c>
      <c r="P547" s="68">
        <v>44704</v>
      </c>
      <c r="R547" t="s">
        <v>748</v>
      </c>
    </row>
    <row r="548" spans="1:18">
      <c r="A548">
        <v>1569</v>
      </c>
      <c r="B548" t="s">
        <v>2152</v>
      </c>
      <c r="C548" t="s">
        <v>7</v>
      </c>
      <c r="D548" t="s">
        <v>2151</v>
      </c>
      <c r="I548" t="s">
        <v>715</v>
      </c>
      <c r="J548">
        <v>57</v>
      </c>
      <c r="K548" t="s">
        <v>313</v>
      </c>
      <c r="L548" s="67">
        <v>0.25</v>
      </c>
      <c r="N548" s="67">
        <v>0</v>
      </c>
      <c r="O548" s="68">
        <v>44704</v>
      </c>
      <c r="P548" s="68">
        <v>44704</v>
      </c>
      <c r="R548" t="s">
        <v>748</v>
      </c>
    </row>
    <row r="549" spans="1:18">
      <c r="A549">
        <v>1570</v>
      </c>
      <c r="B549" t="s">
        <v>2154</v>
      </c>
      <c r="C549" t="s">
        <v>7</v>
      </c>
      <c r="D549" t="s">
        <v>2151</v>
      </c>
      <c r="E549" t="s">
        <v>2153</v>
      </c>
      <c r="I549" t="s">
        <v>715</v>
      </c>
      <c r="J549">
        <v>57</v>
      </c>
      <c r="K549" t="s">
        <v>313</v>
      </c>
      <c r="L549" s="67">
        <v>0.25</v>
      </c>
      <c r="N549" s="67">
        <v>0</v>
      </c>
      <c r="O549" s="68">
        <v>44704</v>
      </c>
      <c r="P549" s="68">
        <v>44704</v>
      </c>
      <c r="R549" t="s">
        <v>748</v>
      </c>
    </row>
    <row r="550" spans="1:18">
      <c r="A550">
        <v>1571</v>
      </c>
      <c r="B550" t="s">
        <v>2155</v>
      </c>
      <c r="C550" t="s">
        <v>0</v>
      </c>
      <c r="D550" t="s">
        <v>1634</v>
      </c>
      <c r="E550" t="s">
        <v>2100</v>
      </c>
      <c r="I550" t="s">
        <v>2101</v>
      </c>
      <c r="J550">
        <v>220</v>
      </c>
      <c r="K550" t="s">
        <v>554</v>
      </c>
      <c r="M550">
        <v>0</v>
      </c>
      <c r="O550" s="68">
        <v>44705</v>
      </c>
      <c r="P550" s="68">
        <v>44705</v>
      </c>
      <c r="R550" t="s">
        <v>748</v>
      </c>
    </row>
    <row r="551" spans="1:18">
      <c r="A551">
        <v>1572</v>
      </c>
      <c r="B551" t="s">
        <v>2158</v>
      </c>
      <c r="C551" t="s">
        <v>7</v>
      </c>
      <c r="D551" t="s">
        <v>2157</v>
      </c>
      <c r="E551" t="s">
        <v>2076</v>
      </c>
      <c r="I551" t="s">
        <v>2156</v>
      </c>
      <c r="J551">
        <v>2</v>
      </c>
      <c r="K551" t="s">
        <v>313</v>
      </c>
      <c r="L551" s="67">
        <v>0.25</v>
      </c>
      <c r="N551" s="67">
        <v>0.02</v>
      </c>
      <c r="O551" s="68">
        <v>44706</v>
      </c>
      <c r="P551" s="68">
        <v>44706</v>
      </c>
      <c r="R551" t="s">
        <v>748</v>
      </c>
    </row>
    <row r="552" spans="1:18">
      <c r="A552">
        <v>1573</v>
      </c>
      <c r="B552" t="s">
        <v>2160</v>
      </c>
      <c r="C552" t="s">
        <v>7</v>
      </c>
      <c r="D552" t="s">
        <v>2159</v>
      </c>
      <c r="E552" t="s">
        <v>2076</v>
      </c>
      <c r="I552" t="s">
        <v>2156</v>
      </c>
      <c r="J552">
        <v>6</v>
      </c>
      <c r="K552" t="s">
        <v>313</v>
      </c>
      <c r="L552" s="67">
        <v>0.25</v>
      </c>
      <c r="N552" s="67">
        <v>0.02</v>
      </c>
      <c r="O552" s="68">
        <v>44706</v>
      </c>
      <c r="P552" s="68">
        <v>44706</v>
      </c>
      <c r="R552" t="s">
        <v>748</v>
      </c>
    </row>
    <row r="553" spans="1:18">
      <c r="A553">
        <v>1574</v>
      </c>
      <c r="B553" t="s">
        <v>2162</v>
      </c>
      <c r="C553" t="s">
        <v>0</v>
      </c>
      <c r="D553" t="s">
        <v>2161</v>
      </c>
      <c r="E553">
        <v>5402142</v>
      </c>
      <c r="I553" t="s">
        <v>24</v>
      </c>
      <c r="J553">
        <v>90</v>
      </c>
      <c r="K553" t="s">
        <v>313</v>
      </c>
      <c r="L553" s="67">
        <v>0.23</v>
      </c>
      <c r="N553" s="67">
        <v>0.05</v>
      </c>
      <c r="O553" s="68">
        <v>44706</v>
      </c>
      <c r="P553" s="68">
        <v>44706</v>
      </c>
      <c r="R553" t="s">
        <v>748</v>
      </c>
    </row>
    <row r="554" spans="1:18">
      <c r="A554">
        <v>1575</v>
      </c>
      <c r="B554" t="s">
        <v>2163</v>
      </c>
      <c r="C554" t="s">
        <v>0</v>
      </c>
      <c r="D554" t="s">
        <v>2161</v>
      </c>
      <c r="E554">
        <v>5402142</v>
      </c>
      <c r="I554" t="s">
        <v>24</v>
      </c>
      <c r="J554">
        <v>90</v>
      </c>
      <c r="K554" t="s">
        <v>313</v>
      </c>
      <c r="L554" s="67">
        <v>0.23</v>
      </c>
      <c r="N554" s="67">
        <v>0.05</v>
      </c>
      <c r="O554" s="68">
        <v>44706</v>
      </c>
      <c r="P554" s="68">
        <v>44706</v>
      </c>
      <c r="R554" t="s">
        <v>748</v>
      </c>
    </row>
    <row r="555" spans="1:18">
      <c r="A555">
        <v>1576</v>
      </c>
      <c r="B555" t="s">
        <v>2165</v>
      </c>
      <c r="C555" t="s">
        <v>0</v>
      </c>
      <c r="D555" t="s">
        <v>2164</v>
      </c>
      <c r="E555">
        <v>3175747</v>
      </c>
      <c r="I555" t="s">
        <v>24</v>
      </c>
      <c r="J555">
        <v>42</v>
      </c>
      <c r="K555" t="s">
        <v>313</v>
      </c>
      <c r="L555" s="67">
        <v>0.23</v>
      </c>
      <c r="N555" s="67">
        <v>0.05</v>
      </c>
      <c r="O555" s="68">
        <v>44706</v>
      </c>
      <c r="P555" s="68">
        <v>44706</v>
      </c>
      <c r="R555" t="s">
        <v>748</v>
      </c>
    </row>
    <row r="556" spans="1:18">
      <c r="A556">
        <v>1577</v>
      </c>
      <c r="B556" t="s">
        <v>2184</v>
      </c>
      <c r="C556" t="s">
        <v>0</v>
      </c>
      <c r="D556" t="s">
        <v>2183</v>
      </c>
      <c r="E556">
        <v>10522839</v>
      </c>
      <c r="I556" t="s">
        <v>24</v>
      </c>
      <c r="J556">
        <v>76</v>
      </c>
      <c r="K556" t="s">
        <v>313</v>
      </c>
      <c r="L556" s="67">
        <v>0.25</v>
      </c>
      <c r="N556" s="67">
        <v>0.05</v>
      </c>
      <c r="O556" s="68">
        <v>44708</v>
      </c>
      <c r="P556" s="68">
        <v>44708</v>
      </c>
      <c r="R556" t="s">
        <v>748</v>
      </c>
    </row>
    <row r="557" spans="1:18">
      <c r="A557">
        <v>1578</v>
      </c>
      <c r="B557" t="s">
        <v>2185</v>
      </c>
      <c r="C557" t="s">
        <v>0</v>
      </c>
      <c r="D557" t="s">
        <v>2183</v>
      </c>
      <c r="E557">
        <v>10522839</v>
      </c>
      <c r="I557" t="s">
        <v>24</v>
      </c>
      <c r="J557">
        <v>66</v>
      </c>
      <c r="K557" t="s">
        <v>313</v>
      </c>
      <c r="L557" s="67">
        <v>0.25</v>
      </c>
      <c r="N557" s="67">
        <v>0.05</v>
      </c>
      <c r="O557" s="68">
        <v>44708</v>
      </c>
      <c r="P557" s="68">
        <v>44708</v>
      </c>
      <c r="R557" t="s">
        <v>748</v>
      </c>
    </row>
    <row r="558" spans="1:18">
      <c r="A558">
        <v>1579</v>
      </c>
      <c r="B558" t="s">
        <v>2187</v>
      </c>
      <c r="C558" t="s">
        <v>0</v>
      </c>
      <c r="D558" t="s">
        <v>2186</v>
      </c>
      <c r="E558">
        <v>10671655</v>
      </c>
      <c r="I558" t="s">
        <v>24</v>
      </c>
      <c r="J558">
        <v>51</v>
      </c>
      <c r="K558" t="s">
        <v>313</v>
      </c>
      <c r="L558" s="67">
        <v>0.25</v>
      </c>
      <c r="N558" s="67">
        <v>0.05</v>
      </c>
      <c r="O558" s="68">
        <v>44708</v>
      </c>
      <c r="P558" s="68">
        <v>44708</v>
      </c>
      <c r="R558" t="s">
        <v>748</v>
      </c>
    </row>
    <row r="559" spans="1:18">
      <c r="A559">
        <v>1580</v>
      </c>
      <c r="B559" t="s">
        <v>2190</v>
      </c>
      <c r="C559" t="s">
        <v>7</v>
      </c>
      <c r="D559" t="s">
        <v>2188</v>
      </c>
      <c r="I559" t="s">
        <v>2189</v>
      </c>
      <c r="J559">
        <v>72</v>
      </c>
      <c r="K559" t="s">
        <v>313</v>
      </c>
      <c r="L559" s="67">
        <v>0.25</v>
      </c>
      <c r="N559" s="67">
        <v>0.05</v>
      </c>
      <c r="O559" s="68">
        <v>44708</v>
      </c>
      <c r="P559" s="68">
        <v>44708</v>
      </c>
      <c r="R559" t="s">
        <v>748</v>
      </c>
    </row>
    <row r="560" spans="1:18">
      <c r="A560">
        <v>1581</v>
      </c>
      <c r="B560" t="s">
        <v>2192</v>
      </c>
      <c r="C560" t="s">
        <v>0</v>
      </c>
      <c r="D560" t="s">
        <v>2191</v>
      </c>
      <c r="I560" t="s">
        <v>1272</v>
      </c>
      <c r="J560">
        <v>6</v>
      </c>
      <c r="K560" t="s">
        <v>313</v>
      </c>
      <c r="L560" s="67">
        <v>0.25</v>
      </c>
      <c r="N560" s="67">
        <v>0.03</v>
      </c>
      <c r="O560" s="68">
        <v>44708</v>
      </c>
      <c r="P560" s="68">
        <v>44708</v>
      </c>
      <c r="R560" t="s">
        <v>748</v>
      </c>
    </row>
    <row r="561" spans="1:18">
      <c r="A561">
        <v>1582</v>
      </c>
      <c r="B561" t="s">
        <v>2194</v>
      </c>
      <c r="C561" t="s">
        <v>3</v>
      </c>
      <c r="D561" t="s">
        <v>2193</v>
      </c>
      <c r="E561">
        <v>7268511</v>
      </c>
      <c r="I561" t="s">
        <v>1272</v>
      </c>
      <c r="J561">
        <v>88</v>
      </c>
      <c r="K561" t="s">
        <v>313</v>
      </c>
      <c r="L561" s="67">
        <v>0.25</v>
      </c>
      <c r="N561" s="67">
        <v>0</v>
      </c>
      <c r="O561" s="68">
        <v>44711</v>
      </c>
      <c r="P561" s="68">
        <v>44711</v>
      </c>
      <c r="R561" t="s">
        <v>748</v>
      </c>
    </row>
    <row r="562" spans="1:18">
      <c r="A562">
        <v>1583</v>
      </c>
      <c r="B562" t="s">
        <v>2196</v>
      </c>
      <c r="C562" t="s">
        <v>3</v>
      </c>
      <c r="D562" t="s">
        <v>2195</v>
      </c>
      <c r="E562">
        <v>7269340</v>
      </c>
      <c r="I562" t="s">
        <v>715</v>
      </c>
      <c r="J562">
        <v>240</v>
      </c>
      <c r="K562" t="s">
        <v>313</v>
      </c>
      <c r="L562" s="67">
        <v>0.25</v>
      </c>
      <c r="N562" s="67">
        <v>0</v>
      </c>
      <c r="O562" s="68">
        <v>44711</v>
      </c>
      <c r="P562" s="68">
        <v>44711</v>
      </c>
      <c r="R562" t="s">
        <v>748</v>
      </c>
    </row>
    <row r="563" spans="1:18">
      <c r="A563">
        <v>1584</v>
      </c>
      <c r="B563" t="s">
        <v>2197</v>
      </c>
      <c r="C563" t="s">
        <v>3</v>
      </c>
      <c r="D563" t="s">
        <v>2193</v>
      </c>
      <c r="E563">
        <v>7268511</v>
      </c>
      <c r="I563" t="s">
        <v>715</v>
      </c>
      <c r="J563">
        <v>88</v>
      </c>
      <c r="K563" t="s">
        <v>313</v>
      </c>
      <c r="L563" s="67">
        <v>0.25</v>
      </c>
      <c r="N563" s="67">
        <v>0</v>
      </c>
      <c r="O563" s="68">
        <v>44711</v>
      </c>
      <c r="P563" s="68">
        <v>44711</v>
      </c>
      <c r="R563" t="s">
        <v>748</v>
      </c>
    </row>
    <row r="564" spans="1:18">
      <c r="A564">
        <v>1585</v>
      </c>
      <c r="B564" t="s">
        <v>2199</v>
      </c>
      <c r="C564" t="s">
        <v>3</v>
      </c>
      <c r="D564" t="s">
        <v>2198</v>
      </c>
      <c r="E564" t="s">
        <v>1880</v>
      </c>
      <c r="I564" t="s">
        <v>24</v>
      </c>
      <c r="J564">
        <v>90</v>
      </c>
      <c r="K564" t="s">
        <v>313</v>
      </c>
      <c r="L564" s="67">
        <v>0.24</v>
      </c>
      <c r="N564" s="67">
        <v>0.05</v>
      </c>
      <c r="O564" s="68">
        <v>44711</v>
      </c>
      <c r="P564" s="68">
        <v>44711</v>
      </c>
      <c r="R564" t="s">
        <v>748</v>
      </c>
    </row>
    <row r="565" spans="1:18">
      <c r="A565">
        <v>1586</v>
      </c>
      <c r="B565" t="s">
        <v>2200</v>
      </c>
      <c r="C565" t="s">
        <v>3</v>
      </c>
      <c r="D565" t="s">
        <v>2198</v>
      </c>
      <c r="E565" t="s">
        <v>1882</v>
      </c>
      <c r="I565" t="s">
        <v>24</v>
      </c>
      <c r="J565">
        <v>90</v>
      </c>
      <c r="K565" t="s">
        <v>313</v>
      </c>
      <c r="L565" s="67">
        <v>0.24</v>
      </c>
      <c r="N565" s="67">
        <v>0.05</v>
      </c>
      <c r="O565" s="68">
        <v>44711</v>
      </c>
      <c r="P565" s="68">
        <v>44711</v>
      </c>
      <c r="R565" t="s">
        <v>748</v>
      </c>
    </row>
    <row r="566" spans="1:18">
      <c r="A566">
        <v>1587</v>
      </c>
      <c r="B566" t="s">
        <v>2202</v>
      </c>
      <c r="C566" t="s">
        <v>3</v>
      </c>
      <c r="D566" t="s">
        <v>2198</v>
      </c>
      <c r="E566" t="s">
        <v>2201</v>
      </c>
      <c r="I566" t="s">
        <v>24</v>
      </c>
      <c r="J566">
        <v>240</v>
      </c>
      <c r="K566" t="s">
        <v>313</v>
      </c>
      <c r="L566" s="67">
        <v>0.24</v>
      </c>
      <c r="N566" s="67">
        <v>0.05</v>
      </c>
      <c r="O566" s="68">
        <v>44711</v>
      </c>
      <c r="P566" s="68">
        <v>44711</v>
      </c>
      <c r="R566" t="s">
        <v>748</v>
      </c>
    </row>
    <row r="567" spans="1:18">
      <c r="A567">
        <v>1588</v>
      </c>
      <c r="B567" t="s">
        <v>2206</v>
      </c>
      <c r="C567" t="s">
        <v>7</v>
      </c>
      <c r="D567" t="s">
        <v>2203</v>
      </c>
      <c r="E567" t="s">
        <v>2204</v>
      </c>
      <c r="I567" t="s">
        <v>2205</v>
      </c>
      <c r="J567">
        <v>52</v>
      </c>
      <c r="K567" t="s">
        <v>313</v>
      </c>
      <c r="L567" s="67">
        <v>0.25</v>
      </c>
      <c r="N567" s="67">
        <v>0</v>
      </c>
      <c r="O567" s="68">
        <v>44712</v>
      </c>
      <c r="P567" s="68">
        <v>44712</v>
      </c>
      <c r="R567" t="s">
        <v>748</v>
      </c>
    </row>
    <row r="568" spans="1:18">
      <c r="A568">
        <v>1589</v>
      </c>
      <c r="B568" t="s">
        <v>2207</v>
      </c>
      <c r="C568" t="s">
        <v>7</v>
      </c>
      <c r="D568" t="s">
        <v>2203</v>
      </c>
      <c r="E568" t="s">
        <v>2204</v>
      </c>
      <c r="I568" t="s">
        <v>2205</v>
      </c>
      <c r="J568">
        <v>52</v>
      </c>
      <c r="K568" t="s">
        <v>313</v>
      </c>
      <c r="L568" s="67">
        <v>0.25</v>
      </c>
      <c r="N568" s="67">
        <v>0</v>
      </c>
      <c r="O568" s="68">
        <v>44712</v>
      </c>
      <c r="P568" s="68">
        <v>44712</v>
      </c>
      <c r="R568" t="s">
        <v>748</v>
      </c>
    </row>
    <row r="569" spans="1:18">
      <c r="A569">
        <v>1590</v>
      </c>
      <c r="B569" t="s">
        <v>2209</v>
      </c>
      <c r="C569" t="s">
        <v>10</v>
      </c>
      <c r="D569" t="s">
        <v>2005</v>
      </c>
      <c r="E569" t="s">
        <v>2208</v>
      </c>
      <c r="I569" t="s">
        <v>1434</v>
      </c>
      <c r="J569">
        <v>88</v>
      </c>
      <c r="K569" t="s">
        <v>313</v>
      </c>
      <c r="L569" s="67">
        <v>0.22</v>
      </c>
      <c r="N569" s="67">
        <v>0.03</v>
      </c>
      <c r="O569" s="68">
        <v>44712</v>
      </c>
      <c r="P569" s="68">
        <v>44712</v>
      </c>
      <c r="R569" t="s">
        <v>748</v>
      </c>
    </row>
    <row r="570" spans="1:18">
      <c r="A570">
        <v>1591</v>
      </c>
      <c r="B570" t="s">
        <v>2211</v>
      </c>
      <c r="C570" t="s">
        <v>7</v>
      </c>
      <c r="D570" t="s">
        <v>2210</v>
      </c>
      <c r="I570" t="s">
        <v>24</v>
      </c>
      <c r="J570">
        <v>20</v>
      </c>
      <c r="K570" t="s">
        <v>313</v>
      </c>
      <c r="L570" s="67">
        <v>0.25</v>
      </c>
      <c r="N570" s="67">
        <v>0.01</v>
      </c>
      <c r="O570" s="68">
        <v>44713</v>
      </c>
      <c r="P570" s="68">
        <v>44713</v>
      </c>
      <c r="R570" t="s">
        <v>748</v>
      </c>
    </row>
    <row r="571" spans="1:18">
      <c r="A571">
        <v>1592</v>
      </c>
      <c r="B571" t="s">
        <v>2217</v>
      </c>
      <c r="C571" t="s">
        <v>0</v>
      </c>
      <c r="D571" t="s">
        <v>2214</v>
      </c>
      <c r="E571" t="s">
        <v>2216</v>
      </c>
      <c r="I571" t="s">
        <v>2215</v>
      </c>
      <c r="J571">
        <v>12</v>
      </c>
      <c r="K571" t="s">
        <v>313</v>
      </c>
      <c r="L571" s="67">
        <v>0.25</v>
      </c>
      <c r="N571" s="67">
        <v>0</v>
      </c>
      <c r="O571" s="68">
        <v>44717</v>
      </c>
      <c r="P571" s="68">
        <v>44717</v>
      </c>
      <c r="R571" t="s">
        <v>748</v>
      </c>
    </row>
    <row r="572" spans="1:18">
      <c r="A572">
        <v>1593</v>
      </c>
      <c r="B572" t="s">
        <v>2218</v>
      </c>
      <c r="C572" t="s">
        <v>0</v>
      </c>
      <c r="D572" t="s">
        <v>2214</v>
      </c>
      <c r="E572" t="s">
        <v>2216</v>
      </c>
      <c r="I572" t="s">
        <v>2215</v>
      </c>
      <c r="J572">
        <v>22</v>
      </c>
      <c r="K572" t="s">
        <v>313</v>
      </c>
      <c r="L572" s="67">
        <v>0.25</v>
      </c>
      <c r="N572" s="67">
        <v>0</v>
      </c>
      <c r="O572" s="68">
        <v>44717</v>
      </c>
      <c r="P572" s="68">
        <v>44717</v>
      </c>
      <c r="R572" t="s">
        <v>748</v>
      </c>
    </row>
    <row r="573" spans="1:18">
      <c r="A573">
        <v>1594</v>
      </c>
      <c r="B573" t="s">
        <v>2219</v>
      </c>
      <c r="C573" t="s">
        <v>3</v>
      </c>
      <c r="D573" t="s">
        <v>1563</v>
      </c>
      <c r="I573" t="s">
        <v>24</v>
      </c>
      <c r="J573">
        <v>54</v>
      </c>
      <c r="K573" t="s">
        <v>313</v>
      </c>
      <c r="L573" s="67">
        <v>0.25</v>
      </c>
      <c r="N573" s="67">
        <v>0</v>
      </c>
      <c r="O573" s="68">
        <v>44717</v>
      </c>
      <c r="P573" s="68">
        <v>44717</v>
      </c>
      <c r="R573" t="s">
        <v>748</v>
      </c>
    </row>
    <row r="574" spans="1:18">
      <c r="A574">
        <v>1595</v>
      </c>
      <c r="B574" t="s">
        <v>2222</v>
      </c>
      <c r="C574" t="s">
        <v>3</v>
      </c>
      <c r="D574" t="s">
        <v>2220</v>
      </c>
      <c r="I574" t="s">
        <v>133</v>
      </c>
      <c r="J574">
        <v>590</v>
      </c>
      <c r="K574" t="s">
        <v>313</v>
      </c>
      <c r="L574" s="67">
        <v>0.25</v>
      </c>
      <c r="N574" s="67">
        <v>0</v>
      </c>
      <c r="O574" s="68">
        <v>44718</v>
      </c>
      <c r="P574" s="68">
        <v>44718</v>
      </c>
      <c r="R574" t="s">
        <v>748</v>
      </c>
    </row>
    <row r="575" spans="1:18">
      <c r="A575">
        <v>1596</v>
      </c>
      <c r="B575" t="s">
        <v>2223</v>
      </c>
      <c r="C575" t="s">
        <v>3</v>
      </c>
      <c r="D575" t="s">
        <v>2220</v>
      </c>
      <c r="I575" t="s">
        <v>133</v>
      </c>
      <c r="J575">
        <v>590</v>
      </c>
      <c r="K575" t="s">
        <v>313</v>
      </c>
      <c r="L575" s="67">
        <v>0.25</v>
      </c>
      <c r="N575" s="67">
        <v>0</v>
      </c>
      <c r="O575" s="68">
        <v>44718</v>
      </c>
      <c r="P575" s="68">
        <v>44718</v>
      </c>
      <c r="R575" t="s">
        <v>748</v>
      </c>
    </row>
    <row r="576" spans="1:18">
      <c r="A576">
        <v>1597</v>
      </c>
      <c r="B576" t="s">
        <v>2226</v>
      </c>
      <c r="C576" t="s">
        <v>7</v>
      </c>
      <c r="D576" t="s">
        <v>2224</v>
      </c>
      <c r="I576" t="s">
        <v>2225</v>
      </c>
      <c r="J576">
        <v>236</v>
      </c>
      <c r="K576" t="s">
        <v>313</v>
      </c>
      <c r="L576" s="67">
        <v>0.25</v>
      </c>
      <c r="N576" s="67">
        <v>0.05</v>
      </c>
      <c r="O576" s="68">
        <v>44718</v>
      </c>
      <c r="P576" s="68">
        <v>44718</v>
      </c>
      <c r="R576" t="s">
        <v>748</v>
      </c>
    </row>
    <row r="577" spans="1:18">
      <c r="A577">
        <v>1598</v>
      </c>
      <c r="B577" t="s">
        <v>2230</v>
      </c>
      <c r="C577" t="s">
        <v>7</v>
      </c>
      <c r="D577" t="s">
        <v>2229</v>
      </c>
      <c r="E577">
        <v>2249759</v>
      </c>
      <c r="I577" t="s">
        <v>817</v>
      </c>
      <c r="J577">
        <v>234</v>
      </c>
      <c r="K577" t="s">
        <v>313</v>
      </c>
      <c r="L577" s="67">
        <v>0.25</v>
      </c>
      <c r="N577" s="67">
        <v>0.05</v>
      </c>
      <c r="O577" s="68">
        <v>44718</v>
      </c>
      <c r="P577" s="68">
        <v>44718</v>
      </c>
      <c r="R577" t="s">
        <v>748</v>
      </c>
    </row>
    <row r="578" spans="1:18">
      <c r="A578">
        <v>1599</v>
      </c>
      <c r="B578" t="s">
        <v>2233</v>
      </c>
      <c r="C578" t="s">
        <v>7</v>
      </c>
      <c r="D578" t="s">
        <v>2231</v>
      </c>
      <c r="E578" t="s">
        <v>2232</v>
      </c>
      <c r="I578" t="s">
        <v>817</v>
      </c>
      <c r="J578">
        <v>234</v>
      </c>
      <c r="K578" t="s">
        <v>313</v>
      </c>
      <c r="L578" s="67">
        <v>0.25</v>
      </c>
      <c r="N578" s="67">
        <v>0.05</v>
      </c>
      <c r="O578" s="68">
        <v>44718</v>
      </c>
      <c r="P578" s="68">
        <v>44718</v>
      </c>
      <c r="R578" t="s">
        <v>748</v>
      </c>
    </row>
    <row r="579" spans="1:18">
      <c r="A579">
        <v>1600</v>
      </c>
      <c r="B579" t="s">
        <v>2236</v>
      </c>
      <c r="C579" t="s">
        <v>0</v>
      </c>
      <c r="D579" t="s">
        <v>2234</v>
      </c>
      <c r="E579" t="s">
        <v>2235</v>
      </c>
      <c r="I579" t="s">
        <v>1055</v>
      </c>
      <c r="J579">
        <v>58</v>
      </c>
      <c r="K579" t="s">
        <v>313</v>
      </c>
      <c r="L579" s="67">
        <v>0.25</v>
      </c>
      <c r="N579" s="67">
        <v>0.02</v>
      </c>
      <c r="O579" s="68">
        <v>44720</v>
      </c>
      <c r="P579" s="68">
        <v>44720</v>
      </c>
      <c r="R579" t="s">
        <v>748</v>
      </c>
    </row>
    <row r="580" spans="1:18">
      <c r="A580">
        <v>1601</v>
      </c>
      <c r="B580" t="s">
        <v>2237</v>
      </c>
      <c r="C580" t="s">
        <v>0</v>
      </c>
      <c r="D580" t="s">
        <v>2234</v>
      </c>
      <c r="E580" t="s">
        <v>2235</v>
      </c>
      <c r="I580" t="s">
        <v>1055</v>
      </c>
      <c r="J580">
        <v>58</v>
      </c>
      <c r="K580" t="s">
        <v>313</v>
      </c>
      <c r="L580" s="67">
        <v>0.25</v>
      </c>
      <c r="N580" s="67">
        <v>0.02</v>
      </c>
      <c r="O580" s="68">
        <v>44720</v>
      </c>
      <c r="P580" s="68">
        <v>44720</v>
      </c>
      <c r="R580" t="s">
        <v>748</v>
      </c>
    </row>
    <row r="581" spans="1:18">
      <c r="A581">
        <v>1602</v>
      </c>
      <c r="B581" t="s">
        <v>2239</v>
      </c>
      <c r="C581" t="s">
        <v>0</v>
      </c>
      <c r="D581" t="s">
        <v>2234</v>
      </c>
      <c r="E581" t="s">
        <v>2238</v>
      </c>
      <c r="I581" t="s">
        <v>1055</v>
      </c>
      <c r="J581">
        <v>41</v>
      </c>
      <c r="K581" t="s">
        <v>313</v>
      </c>
      <c r="L581" s="67">
        <v>0.25</v>
      </c>
      <c r="N581" s="67">
        <v>0.02</v>
      </c>
      <c r="O581" s="68">
        <v>44720</v>
      </c>
      <c r="P581" s="68">
        <v>44720</v>
      </c>
      <c r="R581" t="s">
        <v>748</v>
      </c>
    </row>
    <row r="582" spans="1:18">
      <c r="A582">
        <v>1603</v>
      </c>
      <c r="B582" t="s">
        <v>2241</v>
      </c>
      <c r="C582" t="s">
        <v>0</v>
      </c>
      <c r="D582" t="s">
        <v>2240</v>
      </c>
      <c r="I582" t="s">
        <v>1055</v>
      </c>
      <c r="J582">
        <v>186</v>
      </c>
      <c r="K582" t="s">
        <v>313</v>
      </c>
      <c r="L582" s="67">
        <v>0.25</v>
      </c>
      <c r="N582" s="67">
        <v>0.02</v>
      </c>
      <c r="O582" s="68">
        <v>44720</v>
      </c>
      <c r="P582" s="68">
        <v>44720</v>
      </c>
      <c r="R582" t="s">
        <v>748</v>
      </c>
    </row>
    <row r="583" spans="1:18">
      <c r="A583">
        <v>1604</v>
      </c>
      <c r="B583" t="s">
        <v>2243</v>
      </c>
      <c r="C583" t="s">
        <v>0</v>
      </c>
      <c r="D583" t="s">
        <v>2242</v>
      </c>
      <c r="I583" t="s">
        <v>1055</v>
      </c>
      <c r="J583">
        <v>11</v>
      </c>
      <c r="K583" t="s">
        <v>313</v>
      </c>
      <c r="L583" s="67">
        <v>0.25</v>
      </c>
      <c r="N583" s="67">
        <v>0.02</v>
      </c>
      <c r="O583" s="68">
        <v>44720</v>
      </c>
      <c r="P583" s="68">
        <v>44720</v>
      </c>
      <c r="R583" t="s">
        <v>748</v>
      </c>
    </row>
    <row r="584" spans="1:18">
      <c r="A584">
        <v>1605</v>
      </c>
      <c r="B584" t="s">
        <v>2245</v>
      </c>
      <c r="C584" t="s">
        <v>0</v>
      </c>
      <c r="D584" t="s">
        <v>2244</v>
      </c>
      <c r="I584" t="s">
        <v>1055</v>
      </c>
      <c r="J584">
        <v>12</v>
      </c>
      <c r="K584" t="s">
        <v>313</v>
      </c>
      <c r="L584" s="67">
        <v>0.25</v>
      </c>
      <c r="N584" s="67">
        <v>0.02</v>
      </c>
      <c r="O584" s="68">
        <v>44720</v>
      </c>
      <c r="P584" s="68">
        <v>44720</v>
      </c>
      <c r="R584" t="s">
        <v>748</v>
      </c>
    </row>
    <row r="585" spans="1:18">
      <c r="A585">
        <v>1606</v>
      </c>
      <c r="B585" t="s">
        <v>2247</v>
      </c>
      <c r="C585" t="s">
        <v>0</v>
      </c>
      <c r="D585" t="s">
        <v>2246</v>
      </c>
      <c r="E585" t="s">
        <v>1532</v>
      </c>
      <c r="I585" t="s">
        <v>1055</v>
      </c>
      <c r="J585">
        <v>7</v>
      </c>
      <c r="K585" t="s">
        <v>313</v>
      </c>
      <c r="L585" s="67">
        <v>0.25</v>
      </c>
      <c r="N585" s="67">
        <v>0.05</v>
      </c>
      <c r="O585" s="68">
        <v>44722</v>
      </c>
      <c r="P585" s="68">
        <v>44722</v>
      </c>
      <c r="R585" t="s">
        <v>748</v>
      </c>
    </row>
    <row r="586" spans="1:18">
      <c r="A586">
        <v>1607</v>
      </c>
      <c r="B586" t="s">
        <v>2251</v>
      </c>
      <c r="C586" t="s">
        <v>0</v>
      </c>
      <c r="D586" t="s">
        <v>2248</v>
      </c>
      <c r="E586" t="s">
        <v>2249</v>
      </c>
      <c r="I586" t="s">
        <v>2250</v>
      </c>
      <c r="J586">
        <v>8</v>
      </c>
      <c r="K586" t="s">
        <v>313</v>
      </c>
      <c r="L586" s="67">
        <v>0.25</v>
      </c>
      <c r="N586" s="67">
        <v>0.05</v>
      </c>
      <c r="O586" s="68">
        <v>44722</v>
      </c>
      <c r="P586" s="68">
        <v>44722</v>
      </c>
      <c r="R586" t="s">
        <v>748</v>
      </c>
    </row>
    <row r="587" spans="1:18">
      <c r="A587">
        <v>1608</v>
      </c>
      <c r="B587" t="s">
        <v>2252</v>
      </c>
      <c r="C587" t="s">
        <v>0</v>
      </c>
      <c r="D587" t="s">
        <v>2248</v>
      </c>
      <c r="E587" t="s">
        <v>2249</v>
      </c>
      <c r="I587" t="s">
        <v>2250</v>
      </c>
      <c r="J587">
        <v>8</v>
      </c>
      <c r="K587" t="s">
        <v>313</v>
      </c>
      <c r="L587" s="67">
        <v>0.25</v>
      </c>
      <c r="N587" s="67">
        <v>0.05</v>
      </c>
      <c r="O587" s="68">
        <v>44723</v>
      </c>
      <c r="P587" s="68">
        <v>44723</v>
      </c>
      <c r="R587" t="s">
        <v>748</v>
      </c>
    </row>
    <row r="588" spans="1:18">
      <c r="A588">
        <v>1609</v>
      </c>
      <c r="B588" t="s">
        <v>2264</v>
      </c>
      <c r="C588" t="s">
        <v>0</v>
      </c>
      <c r="D588" t="s">
        <v>2262</v>
      </c>
      <c r="I588" t="s">
        <v>2263</v>
      </c>
      <c r="J588">
        <v>4</v>
      </c>
      <c r="K588" t="s">
        <v>313</v>
      </c>
      <c r="L588" s="67">
        <v>0</v>
      </c>
      <c r="N588" s="67">
        <v>0</v>
      </c>
      <c r="O588" s="68">
        <v>44726</v>
      </c>
      <c r="P588" s="68">
        <v>44726</v>
      </c>
      <c r="R588" t="s">
        <v>748</v>
      </c>
    </row>
    <row r="589" spans="1:18">
      <c r="A589">
        <v>1610</v>
      </c>
      <c r="B589" t="s">
        <v>2268</v>
      </c>
      <c r="C589" t="s">
        <v>3</v>
      </c>
      <c r="D589" t="s">
        <v>2265</v>
      </c>
      <c r="E589" t="s">
        <v>2266</v>
      </c>
      <c r="I589" t="s">
        <v>2267</v>
      </c>
      <c r="J589">
        <v>44</v>
      </c>
      <c r="K589" t="s">
        <v>313</v>
      </c>
      <c r="L589" s="67">
        <v>0.25</v>
      </c>
      <c r="N589" s="67">
        <v>0</v>
      </c>
      <c r="O589" s="68">
        <v>44726</v>
      </c>
      <c r="P589" s="68">
        <v>44726</v>
      </c>
      <c r="R589" t="s">
        <v>748</v>
      </c>
    </row>
    <row r="590" spans="1:18">
      <c r="A590">
        <v>1611</v>
      </c>
      <c r="B590" t="s">
        <v>2269</v>
      </c>
      <c r="C590" t="s">
        <v>3</v>
      </c>
      <c r="D590" t="s">
        <v>2145</v>
      </c>
      <c r="E590" t="s">
        <v>64</v>
      </c>
      <c r="I590" t="s">
        <v>1619</v>
      </c>
      <c r="J590">
        <v>238</v>
      </c>
      <c r="K590" t="s">
        <v>313</v>
      </c>
      <c r="L590" s="67">
        <v>0.25</v>
      </c>
      <c r="N590" s="67">
        <v>0.05</v>
      </c>
      <c r="O590" s="68">
        <v>44728</v>
      </c>
      <c r="P590" s="68">
        <v>44728</v>
      </c>
      <c r="R590" t="s">
        <v>748</v>
      </c>
    </row>
    <row r="591" spans="1:18">
      <c r="A591">
        <v>1612</v>
      </c>
      <c r="B591" t="s">
        <v>2270</v>
      </c>
      <c r="C591" t="s">
        <v>3</v>
      </c>
      <c r="D591" t="s">
        <v>2145</v>
      </c>
      <c r="E591" t="s">
        <v>64</v>
      </c>
      <c r="I591" t="s">
        <v>1619</v>
      </c>
      <c r="J591">
        <v>238</v>
      </c>
      <c r="K591" t="s">
        <v>313</v>
      </c>
      <c r="L591" s="67">
        <v>0.25</v>
      </c>
      <c r="N591" s="67">
        <v>0.05</v>
      </c>
      <c r="O591" s="68">
        <v>44728</v>
      </c>
      <c r="P591" s="68">
        <v>44728</v>
      </c>
      <c r="R591" t="s">
        <v>748</v>
      </c>
    </row>
    <row r="592" spans="1:18">
      <c r="A592">
        <v>1613</v>
      </c>
      <c r="B592" t="s">
        <v>2271</v>
      </c>
      <c r="C592" t="s">
        <v>3</v>
      </c>
      <c r="D592" t="s">
        <v>2145</v>
      </c>
      <c r="E592" t="s">
        <v>64</v>
      </c>
      <c r="I592" t="s">
        <v>1619</v>
      </c>
      <c r="J592">
        <v>238</v>
      </c>
      <c r="K592" t="s">
        <v>313</v>
      </c>
      <c r="L592" s="67">
        <v>0.25</v>
      </c>
      <c r="N592" s="67">
        <v>0.05</v>
      </c>
      <c r="O592" s="68">
        <v>44728</v>
      </c>
      <c r="P592" s="68">
        <v>44728</v>
      </c>
      <c r="R592" t="s">
        <v>748</v>
      </c>
    </row>
    <row r="593" spans="1:18">
      <c r="A593">
        <v>1614</v>
      </c>
      <c r="B593" t="s">
        <v>2273</v>
      </c>
      <c r="C593" t="s">
        <v>3</v>
      </c>
      <c r="D593" t="s">
        <v>2145</v>
      </c>
      <c r="E593" t="s">
        <v>2272</v>
      </c>
      <c r="I593" t="s">
        <v>1619</v>
      </c>
      <c r="J593">
        <v>238</v>
      </c>
      <c r="K593" t="s">
        <v>313</v>
      </c>
      <c r="L593" s="67">
        <v>0.25</v>
      </c>
      <c r="N593" s="67">
        <v>0.05</v>
      </c>
      <c r="O593" s="68">
        <v>44731</v>
      </c>
      <c r="P593" s="68">
        <v>44731</v>
      </c>
      <c r="R593" t="s">
        <v>748</v>
      </c>
    </row>
    <row r="594" spans="1:18">
      <c r="A594">
        <v>1615</v>
      </c>
      <c r="B594" t="s">
        <v>2275</v>
      </c>
      <c r="C594" t="s">
        <v>3</v>
      </c>
      <c r="D594" t="s">
        <v>2145</v>
      </c>
      <c r="E594" t="s">
        <v>2274</v>
      </c>
      <c r="I594" t="s">
        <v>1619</v>
      </c>
      <c r="J594">
        <v>238</v>
      </c>
      <c r="K594" t="s">
        <v>313</v>
      </c>
      <c r="L594" s="67">
        <v>0.25</v>
      </c>
      <c r="N594" s="67">
        <v>0.05</v>
      </c>
      <c r="O594" s="68">
        <v>44731</v>
      </c>
      <c r="P594" s="68">
        <v>44731</v>
      </c>
      <c r="R594" t="s">
        <v>748</v>
      </c>
    </row>
    <row r="595" spans="1:18">
      <c r="A595">
        <v>1616</v>
      </c>
      <c r="B595" t="s">
        <v>2277</v>
      </c>
      <c r="C595" t="s">
        <v>0</v>
      </c>
      <c r="D595" t="s">
        <v>2276</v>
      </c>
      <c r="I595" t="s">
        <v>1434</v>
      </c>
      <c r="J595">
        <v>136</v>
      </c>
      <c r="K595" t="s">
        <v>313</v>
      </c>
      <c r="L595" s="67">
        <v>0.24</v>
      </c>
      <c r="N595" s="67">
        <v>0.05</v>
      </c>
      <c r="O595" s="68">
        <v>44731</v>
      </c>
      <c r="P595" s="68">
        <v>44731</v>
      </c>
      <c r="R595" t="s">
        <v>748</v>
      </c>
    </row>
    <row r="596" spans="1:18">
      <c r="A596">
        <v>1617</v>
      </c>
      <c r="B596" t="s">
        <v>2280</v>
      </c>
      <c r="C596" t="s">
        <v>0</v>
      </c>
      <c r="D596" t="s">
        <v>2278</v>
      </c>
      <c r="I596" t="s">
        <v>2279</v>
      </c>
      <c r="J596">
        <v>6</v>
      </c>
      <c r="K596" t="s">
        <v>313</v>
      </c>
      <c r="L596" s="67">
        <v>0.25</v>
      </c>
      <c r="N596" s="67">
        <v>0.05</v>
      </c>
      <c r="O596" s="68">
        <v>44731</v>
      </c>
      <c r="P596" s="68">
        <v>44731</v>
      </c>
      <c r="R596" t="s">
        <v>748</v>
      </c>
    </row>
    <row r="597" spans="1:18">
      <c r="A597">
        <v>1618</v>
      </c>
      <c r="B597" t="s">
        <v>2282</v>
      </c>
      <c r="C597" t="s">
        <v>0</v>
      </c>
      <c r="D597" t="s">
        <v>2281</v>
      </c>
      <c r="I597" t="s">
        <v>1272</v>
      </c>
      <c r="J597">
        <v>156</v>
      </c>
      <c r="K597" t="s">
        <v>313</v>
      </c>
      <c r="L597" s="67">
        <v>0.25</v>
      </c>
      <c r="N597" s="67">
        <v>0.05</v>
      </c>
      <c r="O597" s="68">
        <v>44731</v>
      </c>
      <c r="P597" s="68">
        <v>44731</v>
      </c>
      <c r="R597" t="s">
        <v>748</v>
      </c>
    </row>
    <row r="598" spans="1:18">
      <c r="A598">
        <v>1619</v>
      </c>
      <c r="B598" t="s">
        <v>2285</v>
      </c>
      <c r="C598" t="s">
        <v>7</v>
      </c>
      <c r="D598" t="s">
        <v>2283</v>
      </c>
      <c r="I598" t="s">
        <v>2284</v>
      </c>
      <c r="J598">
        <v>48</v>
      </c>
      <c r="K598" t="s">
        <v>313</v>
      </c>
      <c r="L598" s="67">
        <v>0.25</v>
      </c>
      <c r="N598" s="67">
        <v>0.05</v>
      </c>
      <c r="O598" s="68">
        <v>44732</v>
      </c>
      <c r="P598" s="68">
        <v>44732</v>
      </c>
      <c r="R598" t="s">
        <v>748</v>
      </c>
    </row>
    <row r="599" spans="1:18">
      <c r="A599">
        <v>1620</v>
      </c>
      <c r="B599" t="s">
        <v>2286</v>
      </c>
      <c r="C599" t="s">
        <v>7</v>
      </c>
      <c r="D599" t="s">
        <v>2283</v>
      </c>
      <c r="I599" t="s">
        <v>2284</v>
      </c>
      <c r="J599">
        <v>160</v>
      </c>
      <c r="K599" t="s">
        <v>313</v>
      </c>
      <c r="L599" s="67">
        <v>0.25</v>
      </c>
      <c r="N599" s="67">
        <v>0.05</v>
      </c>
      <c r="O599" s="68">
        <v>44732</v>
      </c>
      <c r="P599" s="68">
        <v>44732</v>
      </c>
      <c r="R599" t="s">
        <v>748</v>
      </c>
    </row>
    <row r="600" spans="1:18">
      <c r="A600">
        <v>1621</v>
      </c>
      <c r="B600" t="s">
        <v>2290</v>
      </c>
      <c r="C600" t="s">
        <v>3</v>
      </c>
      <c r="D600" t="s">
        <v>2287</v>
      </c>
      <c r="E600" t="s">
        <v>2289</v>
      </c>
      <c r="I600" t="s">
        <v>2288</v>
      </c>
      <c r="J600">
        <v>1222</v>
      </c>
      <c r="K600" t="s">
        <v>313</v>
      </c>
      <c r="L600" s="67">
        <v>0.24</v>
      </c>
      <c r="N600" s="67">
        <v>0.05</v>
      </c>
      <c r="O600" s="68">
        <v>44732</v>
      </c>
      <c r="P600" s="68">
        <v>44732</v>
      </c>
      <c r="R600" t="s">
        <v>748</v>
      </c>
    </row>
    <row r="601" spans="1:18">
      <c r="A601">
        <v>1622</v>
      </c>
      <c r="B601" t="s">
        <v>2292</v>
      </c>
      <c r="C601" t="s">
        <v>3</v>
      </c>
      <c r="D601" t="s">
        <v>2287</v>
      </c>
      <c r="E601" t="s">
        <v>2291</v>
      </c>
      <c r="I601" t="s">
        <v>2288</v>
      </c>
      <c r="J601">
        <v>940</v>
      </c>
      <c r="K601" t="s">
        <v>313</v>
      </c>
      <c r="L601" s="67">
        <v>0.24</v>
      </c>
      <c r="N601" s="67">
        <v>0.05</v>
      </c>
      <c r="O601" s="68">
        <v>44732</v>
      </c>
      <c r="P601" s="68">
        <v>44732</v>
      </c>
      <c r="R601" t="s">
        <v>748</v>
      </c>
    </row>
    <row r="602" spans="1:18">
      <c r="A602">
        <v>1623</v>
      </c>
      <c r="B602" t="s">
        <v>2293</v>
      </c>
      <c r="C602" t="s">
        <v>3</v>
      </c>
      <c r="D602" t="s">
        <v>2287</v>
      </c>
      <c r="E602" t="s">
        <v>2291</v>
      </c>
      <c r="I602" t="s">
        <v>2288</v>
      </c>
      <c r="J602">
        <v>940</v>
      </c>
      <c r="K602" t="s">
        <v>313</v>
      </c>
      <c r="L602" s="67">
        <v>0.24</v>
      </c>
      <c r="N602" s="67">
        <v>0.05</v>
      </c>
      <c r="O602" s="68">
        <v>44732</v>
      </c>
      <c r="P602" s="68">
        <v>44732</v>
      </c>
      <c r="R602" t="s">
        <v>748</v>
      </c>
    </row>
    <row r="603" spans="1:18">
      <c r="A603">
        <v>1624</v>
      </c>
      <c r="B603" t="s">
        <v>2294</v>
      </c>
      <c r="C603" t="s">
        <v>3</v>
      </c>
      <c r="D603" t="s">
        <v>2287</v>
      </c>
      <c r="E603" t="s">
        <v>2289</v>
      </c>
      <c r="I603" t="s">
        <v>2288</v>
      </c>
      <c r="J603">
        <v>1221</v>
      </c>
      <c r="K603" t="s">
        <v>313</v>
      </c>
      <c r="L603" s="67">
        <v>0.24</v>
      </c>
      <c r="N603" s="67">
        <v>0.05</v>
      </c>
      <c r="O603" s="68">
        <v>44732</v>
      </c>
      <c r="P603" s="68">
        <v>44732</v>
      </c>
      <c r="R603" t="s">
        <v>748</v>
      </c>
    </row>
    <row r="604" spans="1:18">
      <c r="A604">
        <v>1625</v>
      </c>
      <c r="B604" t="s">
        <v>2297</v>
      </c>
      <c r="C604" t="s">
        <v>3</v>
      </c>
      <c r="D604" t="s">
        <v>2295</v>
      </c>
      <c r="E604" t="s">
        <v>2296</v>
      </c>
      <c r="I604" t="s">
        <v>24</v>
      </c>
      <c r="J604">
        <v>230</v>
      </c>
      <c r="K604" t="s">
        <v>313</v>
      </c>
      <c r="L604" s="67">
        <v>0.25</v>
      </c>
      <c r="N604" s="67">
        <v>0</v>
      </c>
      <c r="O604" s="68">
        <v>44735</v>
      </c>
      <c r="P604" s="68">
        <v>44735</v>
      </c>
      <c r="R604" t="s">
        <v>748</v>
      </c>
    </row>
    <row r="605" spans="1:18">
      <c r="A605">
        <v>1626</v>
      </c>
      <c r="B605" t="s">
        <v>2298</v>
      </c>
      <c r="C605" t="s">
        <v>3</v>
      </c>
      <c r="D605" t="s">
        <v>1629</v>
      </c>
      <c r="E605" t="s">
        <v>2296</v>
      </c>
      <c r="I605" t="s">
        <v>24</v>
      </c>
      <c r="J605">
        <v>230</v>
      </c>
      <c r="K605" t="s">
        <v>313</v>
      </c>
      <c r="L605" s="67">
        <v>0.25</v>
      </c>
      <c r="N605" s="67">
        <v>0</v>
      </c>
      <c r="O605" s="68">
        <v>44735</v>
      </c>
      <c r="P605" s="68">
        <v>44735</v>
      </c>
      <c r="R605" t="s">
        <v>748</v>
      </c>
    </row>
    <row r="606" spans="1:18">
      <c r="A606">
        <v>1627</v>
      </c>
      <c r="B606" t="s">
        <v>2300</v>
      </c>
      <c r="C606" t="s">
        <v>0</v>
      </c>
      <c r="D606" t="s">
        <v>2299</v>
      </c>
      <c r="E606">
        <v>0.2</v>
      </c>
      <c r="I606" t="s">
        <v>24</v>
      </c>
      <c r="J606">
        <v>4</v>
      </c>
      <c r="K606" t="s">
        <v>313</v>
      </c>
      <c r="L606" s="67">
        <v>0.25</v>
      </c>
      <c r="N606" s="67">
        <v>0.05</v>
      </c>
      <c r="O606" s="68">
        <v>44744</v>
      </c>
      <c r="P606" s="68">
        <v>44744</v>
      </c>
      <c r="R606" t="s">
        <v>748</v>
      </c>
    </row>
    <row r="607" spans="1:18">
      <c r="A607">
        <v>1628</v>
      </c>
      <c r="B607" t="s">
        <v>2301</v>
      </c>
      <c r="C607" t="s">
        <v>0</v>
      </c>
      <c r="D607" t="s">
        <v>736</v>
      </c>
      <c r="E607" t="s">
        <v>2089</v>
      </c>
      <c r="I607" t="s">
        <v>2090</v>
      </c>
      <c r="J607">
        <v>8</v>
      </c>
      <c r="K607" t="s">
        <v>313</v>
      </c>
      <c r="L607" s="67">
        <v>0.22600000000000001</v>
      </c>
      <c r="N607" s="67">
        <v>0.05</v>
      </c>
      <c r="O607" s="68">
        <v>44747</v>
      </c>
      <c r="P607" s="68">
        <v>44747</v>
      </c>
      <c r="R607" t="s">
        <v>748</v>
      </c>
    </row>
    <row r="608" spans="1:18">
      <c r="A608">
        <v>1629</v>
      </c>
      <c r="B608" t="s">
        <v>2303</v>
      </c>
      <c r="C608" t="s">
        <v>7</v>
      </c>
      <c r="D608" t="s">
        <v>2302</v>
      </c>
      <c r="E608" t="s">
        <v>1079</v>
      </c>
      <c r="I608" t="s">
        <v>2090</v>
      </c>
      <c r="J608">
        <v>56</v>
      </c>
      <c r="K608" t="s">
        <v>313</v>
      </c>
      <c r="L608" s="67">
        <v>0.25</v>
      </c>
      <c r="N608" s="67">
        <v>0.05</v>
      </c>
      <c r="O608" s="68">
        <v>44748</v>
      </c>
      <c r="P608" s="68">
        <v>44748</v>
      </c>
      <c r="R608" t="s">
        <v>748</v>
      </c>
    </row>
    <row r="609" spans="1:18">
      <c r="A609">
        <v>1630</v>
      </c>
      <c r="B609" t="s">
        <v>2306</v>
      </c>
      <c r="C609" t="s">
        <v>0</v>
      </c>
      <c r="D609" t="s">
        <v>2304</v>
      </c>
      <c r="E609" t="s">
        <v>2305</v>
      </c>
      <c r="I609" t="s">
        <v>1434</v>
      </c>
      <c r="J609">
        <v>10</v>
      </c>
      <c r="K609" t="s">
        <v>313</v>
      </c>
      <c r="L609" s="67">
        <v>0.25</v>
      </c>
      <c r="N609" s="67">
        <v>0</v>
      </c>
      <c r="O609" s="68">
        <v>44753</v>
      </c>
      <c r="P609" s="68">
        <v>44753</v>
      </c>
      <c r="R609" t="s">
        <v>748</v>
      </c>
    </row>
    <row r="610" spans="1:18">
      <c r="A610">
        <v>1631</v>
      </c>
      <c r="B610" t="s">
        <v>2308</v>
      </c>
      <c r="C610" t="s">
        <v>7</v>
      </c>
      <c r="D610" t="s">
        <v>2283</v>
      </c>
      <c r="I610" t="s">
        <v>2307</v>
      </c>
      <c r="J610">
        <v>161</v>
      </c>
      <c r="K610" t="s">
        <v>313</v>
      </c>
      <c r="L610" s="67">
        <v>0.25</v>
      </c>
      <c r="N610" s="67">
        <v>0.05</v>
      </c>
      <c r="O610" s="68">
        <v>44753</v>
      </c>
      <c r="P610" s="68">
        <v>44753</v>
      </c>
      <c r="R610" t="s">
        <v>748</v>
      </c>
    </row>
    <row r="611" spans="1:18">
      <c r="A611">
        <v>1632</v>
      </c>
      <c r="B611" t="s">
        <v>2311</v>
      </c>
      <c r="C611" t="s">
        <v>0</v>
      </c>
      <c r="D611" t="s">
        <v>2309</v>
      </c>
      <c r="I611" t="s">
        <v>2310</v>
      </c>
      <c r="J611">
        <v>4</v>
      </c>
      <c r="K611" t="s">
        <v>313</v>
      </c>
      <c r="L611" s="67">
        <v>0.25</v>
      </c>
      <c r="N611" s="67">
        <v>0</v>
      </c>
      <c r="O611" s="68">
        <v>44755</v>
      </c>
      <c r="P611" s="68">
        <v>44755</v>
      </c>
      <c r="R611" t="s">
        <v>748</v>
      </c>
    </row>
    <row r="612" spans="1:18">
      <c r="A612">
        <v>1633</v>
      </c>
      <c r="B612" t="s">
        <v>2314</v>
      </c>
      <c r="C612" t="s">
        <v>7</v>
      </c>
      <c r="D612" t="s">
        <v>2312</v>
      </c>
      <c r="E612" t="s">
        <v>2313</v>
      </c>
      <c r="I612" t="s">
        <v>1915</v>
      </c>
      <c r="J612">
        <v>37</v>
      </c>
      <c r="K612" t="s">
        <v>313</v>
      </c>
      <c r="L612" s="67">
        <v>0.25</v>
      </c>
      <c r="N612" s="67">
        <v>0.05</v>
      </c>
      <c r="O612" s="68">
        <v>44756</v>
      </c>
      <c r="P612" s="68">
        <v>44756</v>
      </c>
      <c r="R612" t="s">
        <v>748</v>
      </c>
    </row>
    <row r="613" spans="1:18">
      <c r="A613">
        <v>1634</v>
      </c>
      <c r="B613" t="s">
        <v>2315</v>
      </c>
      <c r="C613" t="s">
        <v>7</v>
      </c>
      <c r="D613" t="s">
        <v>2312</v>
      </c>
      <c r="E613" t="s">
        <v>2313</v>
      </c>
      <c r="I613" t="s">
        <v>1915</v>
      </c>
      <c r="J613">
        <v>37</v>
      </c>
      <c r="K613" t="s">
        <v>313</v>
      </c>
      <c r="L613" s="67">
        <v>0.25</v>
      </c>
      <c r="N613" s="67">
        <v>0.05</v>
      </c>
      <c r="O613" s="68">
        <v>44756</v>
      </c>
      <c r="P613" s="68">
        <v>44756</v>
      </c>
      <c r="R613" t="s">
        <v>748</v>
      </c>
    </row>
    <row r="614" spans="1:18">
      <c r="A614">
        <v>1635</v>
      </c>
      <c r="B614" t="s">
        <v>2316</v>
      </c>
      <c r="C614" t="s">
        <v>7</v>
      </c>
      <c r="D614" t="s">
        <v>2224</v>
      </c>
      <c r="E614" t="s">
        <v>2313</v>
      </c>
      <c r="I614" t="s">
        <v>1915</v>
      </c>
      <c r="J614">
        <v>236</v>
      </c>
      <c r="K614" t="s">
        <v>313</v>
      </c>
      <c r="L614" s="67">
        <v>0.25</v>
      </c>
      <c r="N614" s="67">
        <v>0.05</v>
      </c>
      <c r="O614" s="68">
        <v>44757</v>
      </c>
      <c r="P614" s="68">
        <v>44757</v>
      </c>
      <c r="R614" t="s">
        <v>748</v>
      </c>
    </row>
    <row r="615" spans="1:18">
      <c r="A615">
        <v>1636</v>
      </c>
      <c r="B615" t="s">
        <v>2317</v>
      </c>
      <c r="C615" t="s">
        <v>7</v>
      </c>
      <c r="D615" t="s">
        <v>2224</v>
      </c>
      <c r="E615" t="s">
        <v>2313</v>
      </c>
      <c r="I615" t="s">
        <v>1915</v>
      </c>
      <c r="J615">
        <v>236</v>
      </c>
      <c r="K615" t="s">
        <v>313</v>
      </c>
      <c r="L615" s="67">
        <v>0.25</v>
      </c>
      <c r="N615" s="67">
        <v>0.05</v>
      </c>
      <c r="O615" s="68">
        <v>44757</v>
      </c>
      <c r="P615" s="68">
        <v>44757</v>
      </c>
      <c r="R615" t="s">
        <v>748</v>
      </c>
    </row>
    <row r="616" spans="1:18">
      <c r="A616">
        <v>1637</v>
      </c>
      <c r="B616" t="s">
        <v>2320</v>
      </c>
      <c r="C616" t="s">
        <v>3</v>
      </c>
      <c r="D616" t="s">
        <v>2318</v>
      </c>
      <c r="I616" t="s">
        <v>2319</v>
      </c>
      <c r="J616">
        <v>10</v>
      </c>
      <c r="K616" t="s">
        <v>313</v>
      </c>
      <c r="L616" s="67">
        <v>0.25</v>
      </c>
      <c r="N616" s="67">
        <v>5.0000000000000001E-3</v>
      </c>
      <c r="O616" s="68">
        <v>44760</v>
      </c>
      <c r="P616" s="68">
        <v>44760</v>
      </c>
      <c r="R616" t="s">
        <v>748</v>
      </c>
    </row>
    <row r="617" spans="1:18">
      <c r="A617">
        <v>1638</v>
      </c>
      <c r="B617" t="s">
        <v>2322</v>
      </c>
      <c r="C617" t="s">
        <v>7</v>
      </c>
      <c r="D617" t="s">
        <v>2321</v>
      </c>
      <c r="E617">
        <v>2022</v>
      </c>
      <c r="I617" t="s">
        <v>133</v>
      </c>
      <c r="J617">
        <v>6</v>
      </c>
      <c r="K617" t="s">
        <v>313</v>
      </c>
      <c r="L617" s="67">
        <v>0.22</v>
      </c>
      <c r="N617" s="67">
        <v>0.05</v>
      </c>
      <c r="O617" s="68">
        <v>44760</v>
      </c>
      <c r="P617" s="68">
        <v>44760</v>
      </c>
      <c r="R617" t="s">
        <v>748</v>
      </c>
    </row>
    <row r="618" spans="1:18">
      <c r="A618">
        <v>1639</v>
      </c>
      <c r="B618" t="s">
        <v>2324</v>
      </c>
      <c r="C618" t="s">
        <v>0</v>
      </c>
      <c r="D618" t="s">
        <v>2323</v>
      </c>
      <c r="E618" t="s">
        <v>2090</v>
      </c>
      <c r="I618" t="s">
        <v>2090</v>
      </c>
      <c r="J618">
        <v>4</v>
      </c>
      <c r="K618" t="s">
        <v>313</v>
      </c>
      <c r="L618" s="67">
        <v>0.25</v>
      </c>
      <c r="N618" s="67">
        <v>0.05</v>
      </c>
      <c r="O618" s="68">
        <v>44760</v>
      </c>
      <c r="P618" s="68">
        <v>44760</v>
      </c>
      <c r="R618" t="s">
        <v>748</v>
      </c>
    </row>
    <row r="619" spans="1:18">
      <c r="A619">
        <v>1640</v>
      </c>
      <c r="B619" t="s">
        <v>2327</v>
      </c>
      <c r="C619" t="s">
        <v>0</v>
      </c>
      <c r="D619" t="s">
        <v>2325</v>
      </c>
      <c r="E619">
        <v>998363</v>
      </c>
      <c r="I619" t="s">
        <v>2326</v>
      </c>
      <c r="J619">
        <v>6</v>
      </c>
      <c r="K619" t="s">
        <v>313</v>
      </c>
      <c r="L619" s="67">
        <v>0.25</v>
      </c>
      <c r="N619" s="67">
        <v>0.05</v>
      </c>
      <c r="O619" s="68">
        <v>44761</v>
      </c>
      <c r="P619" s="68">
        <v>44761</v>
      </c>
      <c r="R619" t="s">
        <v>748</v>
      </c>
    </row>
    <row r="620" spans="1:18">
      <c r="A620">
        <v>1641</v>
      </c>
      <c r="B620" t="s">
        <v>2328</v>
      </c>
      <c r="C620" t="s">
        <v>0</v>
      </c>
      <c r="D620" t="s">
        <v>2325</v>
      </c>
      <c r="E620">
        <v>11327070</v>
      </c>
      <c r="I620" t="s">
        <v>2326</v>
      </c>
      <c r="J620">
        <v>4</v>
      </c>
      <c r="K620" t="s">
        <v>313</v>
      </c>
      <c r="L620" s="67">
        <v>0.25</v>
      </c>
      <c r="N620" s="67">
        <v>0.05</v>
      </c>
      <c r="O620" s="68">
        <v>44761</v>
      </c>
      <c r="P620" s="68">
        <v>44761</v>
      </c>
      <c r="R620" t="s">
        <v>748</v>
      </c>
    </row>
    <row r="621" spans="1:18">
      <c r="A621">
        <v>1642</v>
      </c>
      <c r="B621" t="s">
        <v>2329</v>
      </c>
      <c r="C621" t="s">
        <v>0</v>
      </c>
      <c r="D621" t="s">
        <v>2325</v>
      </c>
      <c r="E621" t="s">
        <v>1651</v>
      </c>
      <c r="I621" t="s">
        <v>2106</v>
      </c>
      <c r="J621">
        <v>9</v>
      </c>
      <c r="K621" t="s">
        <v>313</v>
      </c>
      <c r="L621" s="67">
        <v>0.25</v>
      </c>
      <c r="N621" s="67">
        <v>0.05</v>
      </c>
      <c r="O621" s="68">
        <v>44761</v>
      </c>
      <c r="P621" s="68">
        <v>44761</v>
      </c>
      <c r="R621" t="s">
        <v>748</v>
      </c>
    </row>
    <row r="622" spans="1:18">
      <c r="A622">
        <v>1643</v>
      </c>
      <c r="B622" t="s">
        <v>2331</v>
      </c>
      <c r="C622" t="s">
        <v>0</v>
      </c>
      <c r="D622" t="s">
        <v>2330</v>
      </c>
      <c r="I622" t="s">
        <v>817</v>
      </c>
      <c r="J622">
        <v>39</v>
      </c>
      <c r="K622" t="s">
        <v>313</v>
      </c>
      <c r="L622" s="67">
        <v>0.25</v>
      </c>
      <c r="N622" s="67">
        <v>0.05</v>
      </c>
      <c r="O622" s="68">
        <v>44761</v>
      </c>
      <c r="P622" s="68">
        <v>44761</v>
      </c>
      <c r="R622" t="s">
        <v>748</v>
      </c>
    </row>
    <row r="623" spans="1:18">
      <c r="A623">
        <v>1644</v>
      </c>
      <c r="B623" t="s">
        <v>2332</v>
      </c>
      <c r="C623" t="s">
        <v>0</v>
      </c>
      <c r="D623" t="s">
        <v>2330</v>
      </c>
      <c r="I623" t="s">
        <v>817</v>
      </c>
      <c r="J623">
        <v>48</v>
      </c>
      <c r="K623" t="s">
        <v>313</v>
      </c>
      <c r="L623" s="67">
        <v>0.25</v>
      </c>
      <c r="N623" s="67">
        <v>0.05</v>
      </c>
      <c r="O623" s="68">
        <v>44761</v>
      </c>
      <c r="P623" s="68">
        <v>44761</v>
      </c>
      <c r="R623" t="s">
        <v>748</v>
      </c>
    </row>
    <row r="624" spans="1:18">
      <c r="A624">
        <v>1645</v>
      </c>
      <c r="B624" t="s">
        <v>2333</v>
      </c>
      <c r="C624" t="s">
        <v>0</v>
      </c>
      <c r="D624" t="s">
        <v>2330</v>
      </c>
      <c r="I624" t="s">
        <v>817</v>
      </c>
      <c r="J624">
        <v>48</v>
      </c>
      <c r="K624" t="s">
        <v>313</v>
      </c>
      <c r="L624" s="67">
        <v>0.25</v>
      </c>
      <c r="N624" s="67">
        <v>0.05</v>
      </c>
      <c r="O624" s="68">
        <v>44761</v>
      </c>
      <c r="P624" s="68">
        <v>44761</v>
      </c>
      <c r="R624" t="s">
        <v>748</v>
      </c>
    </row>
    <row r="625" spans="1:18">
      <c r="A625">
        <v>1646</v>
      </c>
      <c r="B625" t="s">
        <v>2335</v>
      </c>
      <c r="C625" t="s">
        <v>0</v>
      </c>
      <c r="D625" t="s">
        <v>2334</v>
      </c>
      <c r="I625" t="s">
        <v>817</v>
      </c>
      <c r="J625">
        <v>37</v>
      </c>
      <c r="K625" t="s">
        <v>313</v>
      </c>
      <c r="L625" s="67">
        <v>0.25</v>
      </c>
      <c r="N625" s="67">
        <v>0.05</v>
      </c>
      <c r="O625" s="68">
        <v>44761</v>
      </c>
      <c r="P625" s="68">
        <v>44761</v>
      </c>
      <c r="R625" t="s">
        <v>748</v>
      </c>
    </row>
    <row r="626" spans="1:18">
      <c r="A626">
        <v>1647</v>
      </c>
      <c r="B626" t="s">
        <v>2336</v>
      </c>
      <c r="C626" t="s">
        <v>0</v>
      </c>
      <c r="D626" t="s">
        <v>2330</v>
      </c>
      <c r="I626" t="s">
        <v>817</v>
      </c>
      <c r="J626">
        <v>37</v>
      </c>
      <c r="K626" t="s">
        <v>313</v>
      </c>
      <c r="L626" s="67">
        <v>0.25</v>
      </c>
      <c r="N626" s="67">
        <v>0.05</v>
      </c>
      <c r="O626" s="68">
        <v>44761</v>
      </c>
      <c r="P626" s="68">
        <v>44761</v>
      </c>
      <c r="R626" t="s">
        <v>748</v>
      </c>
    </row>
    <row r="627" spans="1:18">
      <c r="A627">
        <v>1648</v>
      </c>
      <c r="B627" t="s">
        <v>2337</v>
      </c>
      <c r="C627" t="s">
        <v>10</v>
      </c>
      <c r="D627" t="s">
        <v>2005</v>
      </c>
      <c r="E627">
        <v>149733</v>
      </c>
      <c r="I627" t="s">
        <v>1434</v>
      </c>
      <c r="J627">
        <v>90</v>
      </c>
      <c r="K627" t="s">
        <v>313</v>
      </c>
      <c r="L627" s="67">
        <v>0.25</v>
      </c>
      <c r="N627" s="67">
        <v>0.05</v>
      </c>
      <c r="O627" s="68">
        <v>44762</v>
      </c>
      <c r="P627" s="68">
        <v>44762</v>
      </c>
      <c r="R627" t="s">
        <v>748</v>
      </c>
    </row>
    <row r="628" spans="1:18">
      <c r="A628">
        <v>1649</v>
      </c>
      <c r="B628" t="s">
        <v>2338</v>
      </c>
      <c r="C628" t="s">
        <v>10</v>
      </c>
      <c r="D628" t="s">
        <v>2005</v>
      </c>
      <c r="E628">
        <v>149733</v>
      </c>
      <c r="I628" t="s">
        <v>1434</v>
      </c>
      <c r="J628">
        <v>90</v>
      </c>
      <c r="K628" t="s">
        <v>313</v>
      </c>
      <c r="L628" s="67">
        <v>0.25</v>
      </c>
      <c r="N628" s="67">
        <v>0.05</v>
      </c>
      <c r="O628" s="68">
        <v>44762</v>
      </c>
      <c r="P628" s="68">
        <v>44762</v>
      </c>
      <c r="R628" t="s">
        <v>748</v>
      </c>
    </row>
    <row r="629" spans="1:18">
      <c r="A629">
        <v>1650</v>
      </c>
      <c r="B629" t="s">
        <v>2342</v>
      </c>
      <c r="C629" t="s">
        <v>7</v>
      </c>
      <c r="D629" t="s">
        <v>2339</v>
      </c>
      <c r="E629" t="s">
        <v>2340</v>
      </c>
      <c r="I629" t="s">
        <v>2341</v>
      </c>
      <c r="J629">
        <v>50</v>
      </c>
      <c r="K629" t="s">
        <v>313</v>
      </c>
      <c r="L629" s="67">
        <v>0.25</v>
      </c>
      <c r="N629" s="67">
        <v>0</v>
      </c>
      <c r="O629" s="68">
        <v>44762</v>
      </c>
      <c r="P629" s="68">
        <v>44762</v>
      </c>
      <c r="R629" t="s">
        <v>748</v>
      </c>
    </row>
    <row r="630" spans="1:18">
      <c r="A630">
        <v>1651</v>
      </c>
      <c r="B630" t="s">
        <v>2343</v>
      </c>
      <c r="C630" t="s">
        <v>7</v>
      </c>
      <c r="D630" t="s">
        <v>2339</v>
      </c>
      <c r="E630" t="s">
        <v>2340</v>
      </c>
      <c r="I630" t="s">
        <v>2341</v>
      </c>
      <c r="J630">
        <v>460</v>
      </c>
      <c r="K630" t="s">
        <v>313</v>
      </c>
      <c r="L630" s="67">
        <v>0.25</v>
      </c>
      <c r="N630" s="67">
        <v>0</v>
      </c>
      <c r="O630" s="68">
        <v>44762</v>
      </c>
      <c r="P630" s="68">
        <v>44762</v>
      </c>
      <c r="R630" t="s">
        <v>748</v>
      </c>
    </row>
    <row r="631" spans="1:18">
      <c r="A631">
        <v>1652</v>
      </c>
      <c r="B631" t="s">
        <v>2344</v>
      </c>
      <c r="C631" t="s">
        <v>3</v>
      </c>
      <c r="D631" t="s">
        <v>1383</v>
      </c>
      <c r="I631" t="s">
        <v>1334</v>
      </c>
      <c r="J631">
        <v>460</v>
      </c>
      <c r="K631" t="s">
        <v>313</v>
      </c>
      <c r="L631" s="67">
        <v>0.25</v>
      </c>
      <c r="N631" s="67">
        <v>0.03</v>
      </c>
      <c r="O631" s="68">
        <v>44762</v>
      </c>
      <c r="P631" s="68">
        <v>44762</v>
      </c>
      <c r="R631" t="s">
        <v>748</v>
      </c>
    </row>
    <row r="632" spans="1:18">
      <c r="A632">
        <v>1653</v>
      </c>
      <c r="B632" t="s">
        <v>2346</v>
      </c>
      <c r="C632" t="s">
        <v>7</v>
      </c>
      <c r="D632" t="s">
        <v>2345</v>
      </c>
      <c r="E632" t="s">
        <v>1136</v>
      </c>
      <c r="I632" t="s">
        <v>1136</v>
      </c>
      <c r="J632">
        <v>236</v>
      </c>
      <c r="K632" t="s">
        <v>313</v>
      </c>
      <c r="L632" s="67">
        <v>0.25</v>
      </c>
      <c r="N632" s="67">
        <v>0.05</v>
      </c>
      <c r="O632" s="68">
        <v>44763</v>
      </c>
      <c r="P632" s="68">
        <v>44763</v>
      </c>
      <c r="R632" t="s">
        <v>748</v>
      </c>
    </row>
    <row r="633" spans="1:18">
      <c r="A633">
        <v>1654</v>
      </c>
      <c r="B633" t="s">
        <v>2347</v>
      </c>
      <c r="C633" t="s">
        <v>7</v>
      </c>
      <c r="D633" t="s">
        <v>2076</v>
      </c>
      <c r="I633" t="s">
        <v>1434</v>
      </c>
      <c r="J633">
        <v>46</v>
      </c>
      <c r="K633" t="s">
        <v>313</v>
      </c>
      <c r="L633" s="67">
        <v>0.25</v>
      </c>
      <c r="N633" s="67">
        <v>2E-3</v>
      </c>
      <c r="O633" s="68">
        <v>44763</v>
      </c>
      <c r="P633" s="68">
        <v>44763</v>
      </c>
      <c r="R633" t="s">
        <v>748</v>
      </c>
    </row>
    <row r="634" spans="1:18">
      <c r="A634">
        <v>1655</v>
      </c>
      <c r="B634" t="s">
        <v>2348</v>
      </c>
      <c r="C634" t="s">
        <v>7</v>
      </c>
      <c r="D634" t="s">
        <v>2076</v>
      </c>
      <c r="I634" t="s">
        <v>1434</v>
      </c>
      <c r="J634">
        <v>34</v>
      </c>
      <c r="K634" t="s">
        <v>313</v>
      </c>
      <c r="L634" s="67">
        <v>0.25</v>
      </c>
      <c r="N634" s="67">
        <v>2E-3</v>
      </c>
      <c r="O634" s="68">
        <v>44763</v>
      </c>
      <c r="P634" s="68">
        <v>44763</v>
      </c>
      <c r="R634" t="s">
        <v>748</v>
      </c>
    </row>
    <row r="635" spans="1:18">
      <c r="A635">
        <v>1656</v>
      </c>
      <c r="B635" t="s">
        <v>2349</v>
      </c>
      <c r="C635" t="s">
        <v>7</v>
      </c>
      <c r="D635" t="s">
        <v>2076</v>
      </c>
      <c r="I635" t="s">
        <v>1434</v>
      </c>
      <c r="J635">
        <v>32</v>
      </c>
      <c r="K635" t="s">
        <v>313</v>
      </c>
      <c r="L635" s="67">
        <v>0.25</v>
      </c>
      <c r="N635" s="67">
        <v>2.3E-2</v>
      </c>
      <c r="O635" s="68">
        <v>44763</v>
      </c>
      <c r="P635" s="68">
        <v>44763</v>
      </c>
      <c r="R635" t="s">
        <v>748</v>
      </c>
    </row>
    <row r="636" spans="1:18">
      <c r="A636">
        <v>1657</v>
      </c>
      <c r="B636" t="s">
        <v>2351</v>
      </c>
      <c r="C636" t="s">
        <v>0</v>
      </c>
      <c r="D636" t="s">
        <v>2350</v>
      </c>
      <c r="I636" t="s">
        <v>24</v>
      </c>
      <c r="J636">
        <v>4</v>
      </c>
      <c r="K636" t="s">
        <v>313</v>
      </c>
      <c r="L636" s="67">
        <v>0.25</v>
      </c>
      <c r="N636" s="67">
        <v>0</v>
      </c>
      <c r="O636" s="68">
        <v>44767</v>
      </c>
      <c r="P636" s="68">
        <v>44767</v>
      </c>
      <c r="R636" t="s">
        <v>748</v>
      </c>
    </row>
    <row r="637" spans="1:18">
      <c r="A637">
        <v>1658</v>
      </c>
      <c r="B637" t="s">
        <v>2355</v>
      </c>
      <c r="C637" t="s">
        <v>0</v>
      </c>
      <c r="D637" t="s">
        <v>2352</v>
      </c>
      <c r="E637" t="s">
        <v>2354</v>
      </c>
      <c r="I637" t="s">
        <v>2353</v>
      </c>
      <c r="J637">
        <v>19</v>
      </c>
      <c r="K637" t="s">
        <v>313</v>
      </c>
      <c r="L637" s="67">
        <v>0.25</v>
      </c>
      <c r="N637" s="67">
        <v>0.05</v>
      </c>
      <c r="O637" s="68">
        <v>44768</v>
      </c>
      <c r="P637" s="68">
        <v>44768</v>
      </c>
      <c r="R637" t="s">
        <v>748</v>
      </c>
    </row>
    <row r="638" spans="1:18">
      <c r="A638">
        <v>1659</v>
      </c>
      <c r="B638" t="s">
        <v>2357</v>
      </c>
      <c r="C638" t="s">
        <v>0</v>
      </c>
      <c r="D638" t="s">
        <v>2352</v>
      </c>
      <c r="E638" t="s">
        <v>2356</v>
      </c>
      <c r="I638" t="s">
        <v>2353</v>
      </c>
      <c r="J638">
        <v>12</v>
      </c>
      <c r="K638" t="s">
        <v>313</v>
      </c>
      <c r="L638" s="67">
        <v>0.25</v>
      </c>
      <c r="N638" s="67">
        <v>0.05</v>
      </c>
      <c r="O638" s="68">
        <v>44768</v>
      </c>
      <c r="P638" s="68">
        <v>44768</v>
      </c>
      <c r="R638" t="s">
        <v>748</v>
      </c>
    </row>
    <row r="639" spans="1:18">
      <c r="A639">
        <v>1660</v>
      </c>
      <c r="B639" t="s">
        <v>2360</v>
      </c>
      <c r="C639" t="s">
        <v>0</v>
      </c>
      <c r="D639" t="s">
        <v>2358</v>
      </c>
      <c r="E639" t="s">
        <v>2359</v>
      </c>
      <c r="I639" t="s">
        <v>24</v>
      </c>
      <c r="J639">
        <v>8</v>
      </c>
      <c r="K639" t="s">
        <v>313</v>
      </c>
      <c r="L639" s="67">
        <v>0.25</v>
      </c>
      <c r="N639" s="67">
        <v>0.03</v>
      </c>
      <c r="O639" s="68">
        <v>44768</v>
      </c>
      <c r="P639" s="68">
        <v>44768</v>
      </c>
      <c r="R639" t="s">
        <v>748</v>
      </c>
    </row>
    <row r="640" spans="1:18">
      <c r="A640">
        <v>1661</v>
      </c>
      <c r="B640" t="s">
        <v>2363</v>
      </c>
      <c r="C640" t="s">
        <v>10</v>
      </c>
      <c r="D640" t="s">
        <v>2361</v>
      </c>
      <c r="E640" t="s">
        <v>2362</v>
      </c>
      <c r="I640" t="s">
        <v>2362</v>
      </c>
      <c r="J640">
        <v>48</v>
      </c>
      <c r="K640" t="s">
        <v>313</v>
      </c>
      <c r="L640" s="67">
        <v>0.25</v>
      </c>
      <c r="N640" s="67">
        <v>0</v>
      </c>
      <c r="O640" s="68">
        <v>44777</v>
      </c>
      <c r="P640" s="68">
        <v>44777</v>
      </c>
      <c r="R640" t="s">
        <v>748</v>
      </c>
    </row>
    <row r="641" spans="1:18">
      <c r="A641">
        <v>1662</v>
      </c>
      <c r="B641" t="s">
        <v>2365</v>
      </c>
      <c r="C641" t="s">
        <v>10</v>
      </c>
      <c r="D641" t="s">
        <v>2361</v>
      </c>
      <c r="E641" t="s">
        <v>2364</v>
      </c>
      <c r="I641" t="s">
        <v>2362</v>
      </c>
      <c r="J641">
        <v>30</v>
      </c>
      <c r="K641" t="s">
        <v>313</v>
      </c>
      <c r="L641" s="67">
        <v>0.25</v>
      </c>
      <c r="N641" s="67">
        <v>0</v>
      </c>
      <c r="O641" s="68">
        <v>44777</v>
      </c>
      <c r="P641" s="68">
        <v>44777</v>
      </c>
      <c r="R641" t="s">
        <v>748</v>
      </c>
    </row>
    <row r="642" spans="1:18">
      <c r="A642">
        <v>1663</v>
      </c>
      <c r="B642" t="s">
        <v>2367</v>
      </c>
      <c r="C642" t="s">
        <v>0</v>
      </c>
      <c r="D642" t="s">
        <v>2366</v>
      </c>
      <c r="E642" t="s">
        <v>1053</v>
      </c>
      <c r="I642" t="s">
        <v>1053</v>
      </c>
      <c r="J642">
        <v>220</v>
      </c>
      <c r="K642" t="s">
        <v>554</v>
      </c>
      <c r="M642">
        <v>7.4999999999999997E-2</v>
      </c>
      <c r="O642" s="68">
        <v>44778</v>
      </c>
      <c r="P642" s="68">
        <v>44778</v>
      </c>
      <c r="R642" t="s">
        <v>748</v>
      </c>
    </row>
    <row r="643" spans="1:18">
      <c r="A643">
        <v>1664</v>
      </c>
      <c r="B643" t="s">
        <v>2370</v>
      </c>
      <c r="C643" t="s">
        <v>0</v>
      </c>
      <c r="D643" t="s">
        <v>2368</v>
      </c>
      <c r="E643" t="s">
        <v>2369</v>
      </c>
      <c r="I643" t="s">
        <v>1571</v>
      </c>
      <c r="J643">
        <v>6</v>
      </c>
      <c r="K643" t="s">
        <v>313</v>
      </c>
      <c r="L643" s="67">
        <v>0.25</v>
      </c>
      <c r="N643" s="67">
        <v>0</v>
      </c>
      <c r="O643" s="68">
        <v>44778</v>
      </c>
      <c r="P643" s="68">
        <v>44778</v>
      </c>
      <c r="R643" t="s">
        <v>748</v>
      </c>
    </row>
    <row r="644" spans="1:18">
      <c r="A644">
        <v>1665</v>
      </c>
      <c r="B644" t="s">
        <v>2372</v>
      </c>
      <c r="C644" t="s">
        <v>7</v>
      </c>
      <c r="D644" t="s">
        <v>2224</v>
      </c>
      <c r="E644" t="s">
        <v>2371</v>
      </c>
      <c r="I644" t="s">
        <v>1244</v>
      </c>
      <c r="J644">
        <v>147</v>
      </c>
      <c r="K644" t="s">
        <v>313</v>
      </c>
      <c r="L644" s="67">
        <v>0.25</v>
      </c>
      <c r="N644" s="67">
        <v>0.05</v>
      </c>
      <c r="O644" s="68">
        <v>44778</v>
      </c>
      <c r="P644" s="68">
        <v>44778</v>
      </c>
      <c r="R644" t="s">
        <v>748</v>
      </c>
    </row>
    <row r="645" spans="1:18">
      <c r="A645">
        <v>1666</v>
      </c>
      <c r="B645" t="s">
        <v>2374</v>
      </c>
      <c r="C645" t="s">
        <v>7</v>
      </c>
      <c r="D645" t="s">
        <v>2373</v>
      </c>
      <c r="I645" t="s">
        <v>867</v>
      </c>
      <c r="J645">
        <v>74</v>
      </c>
      <c r="K645" t="s">
        <v>313</v>
      </c>
      <c r="L645" s="67">
        <v>0.25</v>
      </c>
      <c r="N645" s="67">
        <v>0</v>
      </c>
      <c r="O645" s="68">
        <v>44778</v>
      </c>
      <c r="P645" s="68">
        <v>44778</v>
      </c>
      <c r="R645" t="s">
        <v>748</v>
      </c>
    </row>
    <row r="646" spans="1:18">
      <c r="A646">
        <v>1667</v>
      </c>
      <c r="B646" t="s">
        <v>2376</v>
      </c>
      <c r="C646" t="s">
        <v>7</v>
      </c>
      <c r="D646" t="s">
        <v>2373</v>
      </c>
      <c r="E646" t="s">
        <v>2375</v>
      </c>
      <c r="I646" t="s">
        <v>867</v>
      </c>
      <c r="J646">
        <v>64</v>
      </c>
      <c r="K646" t="s">
        <v>313</v>
      </c>
      <c r="L646" s="67">
        <v>0.25</v>
      </c>
      <c r="N646" s="67">
        <v>0</v>
      </c>
      <c r="O646" s="68">
        <v>44778</v>
      </c>
      <c r="P646" s="68">
        <v>44778</v>
      </c>
      <c r="R646" t="s">
        <v>748</v>
      </c>
    </row>
    <row r="647" spans="1:18">
      <c r="A647">
        <v>1668</v>
      </c>
      <c r="B647" t="s">
        <v>2379</v>
      </c>
      <c r="C647" t="s">
        <v>7</v>
      </c>
      <c r="D647" t="s">
        <v>2377</v>
      </c>
      <c r="E647" t="s">
        <v>2378</v>
      </c>
      <c r="I647" t="s">
        <v>24</v>
      </c>
      <c r="J647">
        <v>22</v>
      </c>
      <c r="K647" t="s">
        <v>313</v>
      </c>
      <c r="L647" s="67">
        <v>0.25</v>
      </c>
      <c r="N647" s="67">
        <v>0</v>
      </c>
      <c r="O647" s="68">
        <v>44784</v>
      </c>
      <c r="P647" s="68">
        <v>44784</v>
      </c>
      <c r="R647" t="s">
        <v>748</v>
      </c>
    </row>
    <row r="648" spans="1:18">
      <c r="A648">
        <v>1669</v>
      </c>
      <c r="B648" t="s">
        <v>2381</v>
      </c>
      <c r="C648" t="s">
        <v>7</v>
      </c>
      <c r="D648" t="s">
        <v>2380</v>
      </c>
      <c r="E648" t="s">
        <v>2378</v>
      </c>
      <c r="I648" t="s">
        <v>24</v>
      </c>
      <c r="J648">
        <v>22</v>
      </c>
      <c r="K648" t="s">
        <v>313</v>
      </c>
      <c r="L648" s="67">
        <v>0.25</v>
      </c>
      <c r="N648" s="67">
        <v>0</v>
      </c>
      <c r="O648" s="68">
        <v>44784</v>
      </c>
      <c r="P648" s="68">
        <v>44784</v>
      </c>
      <c r="R648" t="s">
        <v>748</v>
      </c>
    </row>
    <row r="649" spans="1:18">
      <c r="A649">
        <v>1670</v>
      </c>
      <c r="B649" t="s">
        <v>2383</v>
      </c>
      <c r="C649" t="s">
        <v>7</v>
      </c>
      <c r="D649" t="s">
        <v>2382</v>
      </c>
      <c r="E649" t="s">
        <v>2378</v>
      </c>
      <c r="I649" t="s">
        <v>24</v>
      </c>
      <c r="J649">
        <v>20</v>
      </c>
      <c r="K649" t="s">
        <v>313</v>
      </c>
      <c r="L649" s="67">
        <v>0.25</v>
      </c>
      <c r="N649" s="67">
        <v>0</v>
      </c>
      <c r="O649" s="68">
        <v>44784</v>
      </c>
      <c r="P649" s="68">
        <v>44784</v>
      </c>
      <c r="R649" t="s">
        <v>748</v>
      </c>
    </row>
    <row r="650" spans="1:18">
      <c r="A650">
        <v>1671</v>
      </c>
      <c r="B650" t="s">
        <v>2385</v>
      </c>
      <c r="C650" t="s">
        <v>7</v>
      </c>
      <c r="D650" t="s">
        <v>2384</v>
      </c>
      <c r="E650">
        <v>1</v>
      </c>
      <c r="I650" t="s">
        <v>1095</v>
      </c>
      <c r="J650">
        <v>216</v>
      </c>
      <c r="K650" t="s">
        <v>313</v>
      </c>
      <c r="L650" s="67">
        <v>0.25</v>
      </c>
      <c r="N650" s="67">
        <v>0</v>
      </c>
      <c r="O650" s="68">
        <v>44784</v>
      </c>
      <c r="P650" s="68">
        <v>44784</v>
      </c>
      <c r="R650" t="s">
        <v>748</v>
      </c>
    </row>
    <row r="651" spans="1:18">
      <c r="A651">
        <v>1672</v>
      </c>
      <c r="B651" t="s">
        <v>2386</v>
      </c>
      <c r="C651" t="s">
        <v>7</v>
      </c>
      <c r="D651" t="s">
        <v>2384</v>
      </c>
      <c r="E651">
        <v>0.75</v>
      </c>
      <c r="I651" t="s">
        <v>1095</v>
      </c>
      <c r="J651">
        <v>162</v>
      </c>
      <c r="K651" t="s">
        <v>313</v>
      </c>
      <c r="L651" s="67">
        <v>0.25</v>
      </c>
      <c r="N651" s="67">
        <v>0</v>
      </c>
      <c r="O651" s="68">
        <v>44784</v>
      </c>
      <c r="P651" s="68">
        <v>44784</v>
      </c>
      <c r="R651" t="s">
        <v>748</v>
      </c>
    </row>
    <row r="652" spans="1:18">
      <c r="A652">
        <v>1673</v>
      </c>
      <c r="B652" t="s">
        <v>2387</v>
      </c>
      <c r="C652" t="s">
        <v>7</v>
      </c>
      <c r="D652" t="s">
        <v>2384</v>
      </c>
      <c r="E652">
        <v>75</v>
      </c>
      <c r="I652" t="s">
        <v>1095</v>
      </c>
      <c r="J652">
        <v>162</v>
      </c>
      <c r="K652" t="s">
        <v>313</v>
      </c>
      <c r="L652" s="67">
        <v>0.25</v>
      </c>
      <c r="N652" s="67">
        <v>0</v>
      </c>
      <c r="O652" s="68">
        <v>44784</v>
      </c>
      <c r="P652" s="68">
        <v>44784</v>
      </c>
      <c r="R652" t="s">
        <v>748</v>
      </c>
    </row>
    <row r="653" spans="1:18">
      <c r="A653">
        <v>1674</v>
      </c>
      <c r="B653" t="s">
        <v>2388</v>
      </c>
      <c r="C653" t="s">
        <v>7</v>
      </c>
      <c r="D653" t="s">
        <v>2384</v>
      </c>
      <c r="E653">
        <v>75</v>
      </c>
      <c r="I653" t="s">
        <v>1095</v>
      </c>
      <c r="J653">
        <v>108</v>
      </c>
      <c r="K653" t="s">
        <v>313</v>
      </c>
      <c r="L653" s="67">
        <v>0.25</v>
      </c>
      <c r="N653" s="67">
        <v>0</v>
      </c>
      <c r="O653" s="68">
        <v>44784</v>
      </c>
      <c r="P653" s="68">
        <v>44784</v>
      </c>
      <c r="R653" t="s">
        <v>748</v>
      </c>
    </row>
    <row r="654" spans="1:18">
      <c r="A654">
        <v>1675</v>
      </c>
      <c r="B654" t="s">
        <v>2390</v>
      </c>
      <c r="C654" t="s">
        <v>7</v>
      </c>
      <c r="D654" t="s">
        <v>2389</v>
      </c>
      <c r="E654">
        <v>1068729</v>
      </c>
      <c r="I654" t="s">
        <v>24</v>
      </c>
      <c r="J654">
        <v>90</v>
      </c>
      <c r="K654" t="s">
        <v>313</v>
      </c>
      <c r="L654" s="67">
        <v>0.25</v>
      </c>
      <c r="N654" s="67">
        <v>0.05</v>
      </c>
      <c r="O654" s="68">
        <v>44790</v>
      </c>
      <c r="P654" s="68">
        <v>44790</v>
      </c>
      <c r="R654" t="s">
        <v>748</v>
      </c>
    </row>
    <row r="655" spans="1:18">
      <c r="A655">
        <v>1676</v>
      </c>
      <c r="B655" t="s">
        <v>2392</v>
      </c>
      <c r="C655" t="s">
        <v>7</v>
      </c>
      <c r="D655" t="s">
        <v>2391</v>
      </c>
      <c r="E655">
        <v>1069564</v>
      </c>
      <c r="I655" t="s">
        <v>24</v>
      </c>
      <c r="J655">
        <v>90</v>
      </c>
      <c r="K655" t="s">
        <v>313</v>
      </c>
      <c r="L655" s="67">
        <v>0.25</v>
      </c>
      <c r="N655" s="67">
        <v>0.05</v>
      </c>
      <c r="O655" s="68">
        <v>44790</v>
      </c>
      <c r="P655" s="68">
        <v>44790</v>
      </c>
      <c r="R655" t="s">
        <v>748</v>
      </c>
    </row>
    <row r="656" spans="1:18">
      <c r="A656">
        <v>1677</v>
      </c>
      <c r="B656" t="s">
        <v>2394</v>
      </c>
      <c r="C656" t="s">
        <v>3</v>
      </c>
      <c r="D656" t="s">
        <v>2393</v>
      </c>
      <c r="E656">
        <v>1216901</v>
      </c>
      <c r="I656" t="s">
        <v>24</v>
      </c>
      <c r="J656">
        <v>240</v>
      </c>
      <c r="K656" t="s">
        <v>313</v>
      </c>
      <c r="L656" s="67">
        <v>0.25</v>
      </c>
      <c r="N656" s="67">
        <v>0.05</v>
      </c>
      <c r="O656" s="68">
        <v>44790</v>
      </c>
      <c r="P656" s="68">
        <v>44790</v>
      </c>
      <c r="R656" t="s">
        <v>748</v>
      </c>
    </row>
    <row r="657" spans="1:18">
      <c r="A657">
        <v>1678</v>
      </c>
      <c r="B657" t="s">
        <v>2397</v>
      </c>
      <c r="C657" t="s">
        <v>10</v>
      </c>
      <c r="D657" t="s">
        <v>2395</v>
      </c>
      <c r="E657" t="s">
        <v>2396</v>
      </c>
      <c r="I657" t="s">
        <v>2362</v>
      </c>
      <c r="J657">
        <v>30</v>
      </c>
      <c r="K657" t="s">
        <v>313</v>
      </c>
      <c r="L657" s="67">
        <v>0.25</v>
      </c>
      <c r="N657" s="67">
        <v>0.1</v>
      </c>
      <c r="O657" s="68">
        <v>44790</v>
      </c>
      <c r="P657" s="68">
        <v>44790</v>
      </c>
      <c r="R657" t="s">
        <v>748</v>
      </c>
    </row>
    <row r="658" spans="1:18">
      <c r="A658">
        <v>1679</v>
      </c>
      <c r="B658" t="s">
        <v>2399</v>
      </c>
      <c r="C658" t="s">
        <v>10</v>
      </c>
      <c r="D658" t="s">
        <v>2395</v>
      </c>
      <c r="E658" t="s">
        <v>2398</v>
      </c>
      <c r="I658" t="s">
        <v>2362</v>
      </c>
      <c r="J658">
        <v>48</v>
      </c>
      <c r="K658" t="s">
        <v>313</v>
      </c>
      <c r="L658" s="67">
        <v>0.25</v>
      </c>
      <c r="N658" s="67">
        <v>0.1</v>
      </c>
      <c r="O658" s="68">
        <v>44790</v>
      </c>
      <c r="P658" s="68">
        <v>44790</v>
      </c>
      <c r="R658" t="s">
        <v>748</v>
      </c>
    </row>
    <row r="659" spans="1:18">
      <c r="A659">
        <v>1680</v>
      </c>
      <c r="B659" t="s">
        <v>2401</v>
      </c>
      <c r="C659" t="s">
        <v>7</v>
      </c>
      <c r="D659" t="s">
        <v>2400</v>
      </c>
      <c r="I659" t="s">
        <v>1619</v>
      </c>
      <c r="J659">
        <v>40</v>
      </c>
      <c r="K659" t="s">
        <v>313</v>
      </c>
      <c r="L659" s="67">
        <v>0.25</v>
      </c>
      <c r="N659" s="67">
        <v>0.05</v>
      </c>
      <c r="O659" s="68">
        <v>44790</v>
      </c>
      <c r="P659" s="68">
        <v>44790</v>
      </c>
      <c r="R659" t="s">
        <v>748</v>
      </c>
    </row>
    <row r="660" spans="1:18">
      <c r="A660">
        <v>1681</v>
      </c>
      <c r="B660" t="s">
        <v>2404</v>
      </c>
      <c r="C660" t="s">
        <v>7</v>
      </c>
      <c r="D660" t="s">
        <v>2402</v>
      </c>
      <c r="E660" t="s">
        <v>2403</v>
      </c>
      <c r="I660" t="s">
        <v>1434</v>
      </c>
      <c r="J660">
        <v>26</v>
      </c>
      <c r="K660" t="s">
        <v>313</v>
      </c>
      <c r="L660" s="67">
        <v>0.25</v>
      </c>
      <c r="N660" s="67">
        <v>0.05</v>
      </c>
      <c r="O660" s="68">
        <v>44790</v>
      </c>
      <c r="P660" s="68">
        <v>44790</v>
      </c>
      <c r="R660" t="s">
        <v>748</v>
      </c>
    </row>
    <row r="661" spans="1:18">
      <c r="A661">
        <v>1682</v>
      </c>
      <c r="B661" t="s">
        <v>2421</v>
      </c>
      <c r="C661" t="s">
        <v>7</v>
      </c>
      <c r="D661" t="s">
        <v>2419</v>
      </c>
      <c r="E661" t="s">
        <v>2420</v>
      </c>
      <c r="I661" t="s">
        <v>1434</v>
      </c>
      <c r="K661" t="s">
        <v>313</v>
      </c>
      <c r="L661" s="67">
        <v>0.25</v>
      </c>
      <c r="N661" s="67">
        <v>0.05</v>
      </c>
      <c r="O661" s="68">
        <v>44791</v>
      </c>
      <c r="P661" s="68">
        <v>44791</v>
      </c>
      <c r="Q661" s="57">
        <v>21582740.161629818</v>
      </c>
      <c r="R661" t="s">
        <v>748</v>
      </c>
    </row>
    <row r="662" spans="1:18">
      <c r="A662">
        <v>1683</v>
      </c>
      <c r="B662" t="s">
        <v>2423</v>
      </c>
      <c r="C662" t="s">
        <v>0</v>
      </c>
      <c r="D662" t="s">
        <v>2422</v>
      </c>
      <c r="E662" t="s">
        <v>1189</v>
      </c>
      <c r="I662" t="s">
        <v>1434</v>
      </c>
      <c r="K662" t="s">
        <v>313</v>
      </c>
      <c r="L662" s="67">
        <v>0.22</v>
      </c>
      <c r="N662" s="67">
        <v>0.05</v>
      </c>
      <c r="O662" s="68">
        <v>44794</v>
      </c>
      <c r="P662" s="68">
        <v>44794</v>
      </c>
      <c r="Q662" s="57">
        <v>392918443.857476</v>
      </c>
      <c r="R662" t="s">
        <v>748</v>
      </c>
    </row>
    <row r="663" spans="1:18">
      <c r="A663">
        <v>1684</v>
      </c>
      <c r="B663" t="s">
        <v>2425</v>
      </c>
      <c r="C663" t="s">
        <v>0</v>
      </c>
      <c r="D663" t="s">
        <v>2422</v>
      </c>
      <c r="E663" t="s">
        <v>2424</v>
      </c>
      <c r="I663" t="s">
        <v>1434</v>
      </c>
      <c r="K663" t="s">
        <v>313</v>
      </c>
      <c r="L663" s="67">
        <v>0.22</v>
      </c>
      <c r="N663" s="67">
        <v>0.05</v>
      </c>
      <c r="O663" s="68">
        <v>44794</v>
      </c>
      <c r="P663" s="68">
        <v>44794</v>
      </c>
      <c r="Q663" s="57">
        <v>97376956.968081653</v>
      </c>
      <c r="R663" t="s">
        <v>748</v>
      </c>
    </row>
    <row r="664" spans="1:18">
      <c r="A664">
        <v>1685</v>
      </c>
      <c r="B664" t="s">
        <v>2427</v>
      </c>
      <c r="C664" t="s">
        <v>0</v>
      </c>
      <c r="D664" t="s">
        <v>2422</v>
      </c>
      <c r="E664" t="s">
        <v>2426</v>
      </c>
      <c r="I664" t="s">
        <v>1434</v>
      </c>
      <c r="K664" t="s">
        <v>313</v>
      </c>
      <c r="L664" s="67">
        <v>0.22</v>
      </c>
      <c r="N664" s="67">
        <v>0.05</v>
      </c>
      <c r="O664" s="68">
        <v>44794</v>
      </c>
      <c r="P664" s="68">
        <v>44794</v>
      </c>
      <c r="Q664" s="57">
        <v>97376956.968081653</v>
      </c>
      <c r="R664" t="s">
        <v>748</v>
      </c>
    </row>
    <row r="665" spans="1:18">
      <c r="A665">
        <v>1686</v>
      </c>
      <c r="B665" t="s">
        <v>2428</v>
      </c>
      <c r="C665" t="s">
        <v>0</v>
      </c>
      <c r="D665" t="s">
        <v>2422</v>
      </c>
      <c r="E665" t="s">
        <v>2426</v>
      </c>
      <c r="I665" t="s">
        <v>1434</v>
      </c>
      <c r="K665" t="s">
        <v>313</v>
      </c>
      <c r="L665" s="67">
        <v>0.2</v>
      </c>
      <c r="N665" s="67">
        <v>0.05</v>
      </c>
      <c r="O665" s="68">
        <v>44795</v>
      </c>
      <c r="P665" s="68">
        <v>44795</v>
      </c>
      <c r="Q665" s="57">
        <v>90049046.818376467</v>
      </c>
      <c r="R665" t="s">
        <v>748</v>
      </c>
    </row>
    <row r="666" spans="1:18">
      <c r="A666">
        <v>1687</v>
      </c>
      <c r="B666" t="s">
        <v>2430</v>
      </c>
      <c r="C666" t="s">
        <v>0</v>
      </c>
      <c r="D666" t="s">
        <v>2422</v>
      </c>
      <c r="E666" t="s">
        <v>2429</v>
      </c>
      <c r="I666" t="s">
        <v>1434</v>
      </c>
      <c r="K666" t="s">
        <v>313</v>
      </c>
      <c r="L666" s="67">
        <v>0.2</v>
      </c>
      <c r="N666" s="67">
        <v>0.05</v>
      </c>
      <c r="O666" s="68">
        <v>44795</v>
      </c>
      <c r="P666" s="68">
        <v>44795</v>
      </c>
      <c r="Q666" s="57">
        <v>358953025.31396562</v>
      </c>
      <c r="R666" t="s">
        <v>748</v>
      </c>
    </row>
    <row r="667" spans="1:18">
      <c r="A667">
        <v>1688</v>
      </c>
      <c r="B667" t="s">
        <v>2433</v>
      </c>
      <c r="C667" t="s">
        <v>0</v>
      </c>
      <c r="D667" t="s">
        <v>2432</v>
      </c>
      <c r="I667" t="s">
        <v>2431</v>
      </c>
      <c r="K667" t="s">
        <v>313</v>
      </c>
      <c r="L667" s="67">
        <v>0.22</v>
      </c>
      <c r="N667" s="67">
        <v>0.06</v>
      </c>
      <c r="O667" s="68">
        <v>44799</v>
      </c>
      <c r="P667" s="68">
        <v>44799</v>
      </c>
      <c r="Q667" s="57">
        <v>87650658.797680974</v>
      </c>
      <c r="R667" t="s">
        <v>748</v>
      </c>
    </row>
    <row r="668" spans="1:18">
      <c r="A668">
        <v>1689</v>
      </c>
      <c r="B668" t="s">
        <v>2436</v>
      </c>
      <c r="C668" t="s">
        <v>0</v>
      </c>
      <c r="D668" t="s">
        <v>2434</v>
      </c>
      <c r="I668" t="s">
        <v>2435</v>
      </c>
      <c r="K668" t="s">
        <v>313</v>
      </c>
      <c r="L668" s="67">
        <v>0.27</v>
      </c>
      <c r="N668" s="67">
        <v>0</v>
      </c>
      <c r="O668" s="68">
        <v>44799</v>
      </c>
      <c r="P668" s="68">
        <v>44799</v>
      </c>
      <c r="Q668" s="57">
        <v>13139869.33511189</v>
      </c>
      <c r="R668" t="s">
        <v>748</v>
      </c>
    </row>
    <row r="669" spans="1:18">
      <c r="A669">
        <v>1690</v>
      </c>
      <c r="B669" t="s">
        <v>2439</v>
      </c>
      <c r="C669" t="s">
        <v>0</v>
      </c>
      <c r="D669" t="s">
        <v>2437</v>
      </c>
      <c r="E669" t="s">
        <v>2438</v>
      </c>
      <c r="I669" t="s">
        <v>24</v>
      </c>
      <c r="K669" t="s">
        <v>313</v>
      </c>
      <c r="L669" s="67">
        <v>0.25</v>
      </c>
      <c r="N669" s="67">
        <v>2.6398444276083559E-2</v>
      </c>
      <c r="O669" s="68">
        <v>44799</v>
      </c>
      <c r="P669" s="68">
        <v>44799</v>
      </c>
      <c r="Q669" s="57">
        <v>11419810</v>
      </c>
      <c r="R669" t="s">
        <v>748</v>
      </c>
    </row>
    <row r="670" spans="1:18">
      <c r="A670">
        <v>1691</v>
      </c>
      <c r="B670" t="s">
        <v>2488</v>
      </c>
      <c r="C670" t="s">
        <v>7</v>
      </c>
      <c r="D670" t="s">
        <v>2487</v>
      </c>
      <c r="I670" t="s">
        <v>867</v>
      </c>
      <c r="K670" t="s">
        <v>313</v>
      </c>
      <c r="L670" s="67">
        <v>0.25</v>
      </c>
      <c r="N670" s="67">
        <v>0.02</v>
      </c>
      <c r="O670" s="68">
        <v>44802</v>
      </c>
      <c r="P670" s="68">
        <v>44802</v>
      </c>
      <c r="Q670" s="57">
        <v>109685168.34413923</v>
      </c>
      <c r="R670" t="s">
        <v>748</v>
      </c>
    </row>
    <row r="671" spans="1:18">
      <c r="A671">
        <v>1692</v>
      </c>
      <c r="B671" t="s">
        <v>2491</v>
      </c>
      <c r="C671" t="s">
        <v>0</v>
      </c>
      <c r="D671" t="s">
        <v>2489</v>
      </c>
      <c r="E671" t="s">
        <v>2490</v>
      </c>
      <c r="I671" t="s">
        <v>1434</v>
      </c>
      <c r="K671" t="s">
        <v>313</v>
      </c>
      <c r="L671" s="67">
        <v>0.2</v>
      </c>
      <c r="N671" s="67">
        <v>0.05</v>
      </c>
      <c r="O671" s="68">
        <v>44804</v>
      </c>
      <c r="P671" s="68">
        <v>44804</v>
      </c>
      <c r="Q671" s="57">
        <v>48219494.59915603</v>
      </c>
      <c r="R671" t="s">
        <v>748</v>
      </c>
    </row>
    <row r="672" spans="1:18">
      <c r="A672">
        <v>1693</v>
      </c>
      <c r="B672" t="s">
        <v>2494</v>
      </c>
      <c r="C672" t="s">
        <v>3</v>
      </c>
      <c r="D672" t="s">
        <v>2492</v>
      </c>
      <c r="I672" t="s">
        <v>2493</v>
      </c>
      <c r="K672" t="s">
        <v>313</v>
      </c>
      <c r="L672" s="67">
        <v>0.25</v>
      </c>
      <c r="N672" s="67">
        <v>0.05</v>
      </c>
      <c r="O672" s="68">
        <v>44804</v>
      </c>
      <c r="P672" s="68">
        <v>44804</v>
      </c>
      <c r="Q672" s="57">
        <v>418072710.85716909</v>
      </c>
      <c r="R672" t="s">
        <v>748</v>
      </c>
    </row>
    <row r="673" spans="1:18">
      <c r="A673">
        <v>1694</v>
      </c>
      <c r="B673" t="s">
        <v>2495</v>
      </c>
      <c r="C673" t="s">
        <v>3</v>
      </c>
      <c r="D673" t="s">
        <v>2492</v>
      </c>
      <c r="I673" t="s">
        <v>2493</v>
      </c>
      <c r="K673" t="s">
        <v>313</v>
      </c>
      <c r="L673" s="67">
        <v>0.25</v>
      </c>
      <c r="N673" s="67">
        <v>0.05</v>
      </c>
      <c r="O673" s="68">
        <v>44804</v>
      </c>
      <c r="P673" s="68">
        <v>44804</v>
      </c>
      <c r="Q673" s="57">
        <v>418072710.85716909</v>
      </c>
      <c r="R673" t="s">
        <v>748</v>
      </c>
    </row>
    <row r="674" spans="1:18">
      <c r="A674">
        <v>1695</v>
      </c>
      <c r="B674" t="s">
        <v>2497</v>
      </c>
      <c r="C674" t="s">
        <v>3</v>
      </c>
      <c r="D674" t="s">
        <v>2496</v>
      </c>
      <c r="I674" t="s">
        <v>753</v>
      </c>
      <c r="K674" t="s">
        <v>313</v>
      </c>
      <c r="L674" s="67">
        <v>0.25</v>
      </c>
      <c r="N674" s="67">
        <v>0</v>
      </c>
      <c r="O674" s="68">
        <v>44809</v>
      </c>
      <c r="P674" s="68">
        <v>44809</v>
      </c>
      <c r="Q674" s="57">
        <v>1386456235.3146062</v>
      </c>
      <c r="R674" t="s">
        <v>748</v>
      </c>
    </row>
    <row r="675" spans="1:18">
      <c r="A675">
        <v>1696</v>
      </c>
      <c r="B675" t="s">
        <v>2499</v>
      </c>
      <c r="C675" t="s">
        <v>0</v>
      </c>
      <c r="D675" t="s">
        <v>2498</v>
      </c>
      <c r="I675" t="s">
        <v>1012</v>
      </c>
      <c r="K675" t="s">
        <v>313</v>
      </c>
      <c r="L675" s="67">
        <v>6.5206695191735442E-2</v>
      </c>
      <c r="N675" s="67">
        <v>0</v>
      </c>
      <c r="O675" s="68">
        <v>44809</v>
      </c>
      <c r="P675" s="68">
        <v>44809</v>
      </c>
      <c r="Q675" s="57">
        <v>20964829.000000797</v>
      </c>
      <c r="R675" t="s">
        <v>748</v>
      </c>
    </row>
    <row r="676" spans="1:18">
      <c r="A676">
        <v>1697</v>
      </c>
      <c r="B676" t="s">
        <v>2501</v>
      </c>
      <c r="C676" t="s">
        <v>0</v>
      </c>
      <c r="D676" t="s">
        <v>2500</v>
      </c>
      <c r="I676" t="s">
        <v>1030</v>
      </c>
      <c r="K676" t="s">
        <v>313</v>
      </c>
      <c r="L676" s="67">
        <v>0.13339551038190359</v>
      </c>
      <c r="N676" s="67">
        <v>0</v>
      </c>
      <c r="O676" s="68">
        <v>44809</v>
      </c>
      <c r="P676" s="68">
        <v>44809</v>
      </c>
      <c r="Q676" s="57">
        <v>24701768.999985084</v>
      </c>
      <c r="R676" t="s">
        <v>748</v>
      </c>
    </row>
    <row r="677" spans="1:18">
      <c r="A677">
        <v>1698</v>
      </c>
      <c r="B677" t="s">
        <v>2504</v>
      </c>
      <c r="C677" t="s">
        <v>0</v>
      </c>
      <c r="D677" t="s">
        <v>2502</v>
      </c>
      <c r="I677" t="s">
        <v>2503</v>
      </c>
      <c r="K677" t="s">
        <v>313</v>
      </c>
      <c r="L677" s="67">
        <v>0.25</v>
      </c>
      <c r="N677" s="67">
        <v>0</v>
      </c>
      <c r="O677" s="68">
        <v>44810</v>
      </c>
      <c r="P677" s="68">
        <v>44810</v>
      </c>
      <c r="Q677" s="57">
        <v>12789472.819508908</v>
      </c>
      <c r="R677" t="s">
        <v>748</v>
      </c>
    </row>
    <row r="678" spans="1:18">
      <c r="A678">
        <v>1699</v>
      </c>
      <c r="B678" t="s">
        <v>2507</v>
      </c>
      <c r="C678" t="s">
        <v>7</v>
      </c>
      <c r="D678" t="s">
        <v>2505</v>
      </c>
      <c r="E678" t="s">
        <v>2506</v>
      </c>
      <c r="I678" t="s">
        <v>24</v>
      </c>
      <c r="K678" t="s">
        <v>313</v>
      </c>
      <c r="L678" s="67">
        <v>0.25</v>
      </c>
      <c r="N678" s="67">
        <v>0.05</v>
      </c>
      <c r="O678" s="68">
        <v>44810</v>
      </c>
      <c r="P678" s="68">
        <v>44810</v>
      </c>
      <c r="Q678" s="57">
        <v>243126982.37380683</v>
      </c>
      <c r="R678" t="s">
        <v>748</v>
      </c>
    </row>
    <row r="679" spans="1:18">
      <c r="A679">
        <v>1700</v>
      </c>
      <c r="B679" t="s">
        <v>2511</v>
      </c>
      <c r="C679" t="s">
        <v>0</v>
      </c>
      <c r="D679" t="s">
        <v>2508</v>
      </c>
      <c r="E679" t="s">
        <v>2509</v>
      </c>
      <c r="I679" t="s">
        <v>2510</v>
      </c>
      <c r="K679" t="s">
        <v>313</v>
      </c>
      <c r="L679" s="67">
        <v>0.25</v>
      </c>
      <c r="N679" s="67">
        <v>0</v>
      </c>
      <c r="O679" s="68">
        <v>44810</v>
      </c>
      <c r="P679" s="68">
        <v>44810</v>
      </c>
      <c r="Q679" s="57">
        <v>19696382.91265285</v>
      </c>
      <c r="R679" t="s">
        <v>748</v>
      </c>
    </row>
    <row r="680" spans="1:18">
      <c r="A680">
        <v>1701</v>
      </c>
      <c r="B680" t="s">
        <v>2513</v>
      </c>
      <c r="C680" t="s">
        <v>0</v>
      </c>
      <c r="D680" t="s">
        <v>2508</v>
      </c>
      <c r="E680" t="s">
        <v>2512</v>
      </c>
      <c r="I680" t="s">
        <v>24</v>
      </c>
      <c r="K680" t="s">
        <v>313</v>
      </c>
      <c r="L680" s="67">
        <v>0.25</v>
      </c>
      <c r="N680" s="67">
        <v>0</v>
      </c>
      <c r="O680" s="68">
        <v>44810</v>
      </c>
      <c r="P680" s="68">
        <v>44810</v>
      </c>
      <c r="Q680" s="57">
        <v>69077872.141989604</v>
      </c>
      <c r="R680" t="s">
        <v>748</v>
      </c>
    </row>
    <row r="681" spans="1:18">
      <c r="A681">
        <v>1702</v>
      </c>
      <c r="B681" t="s">
        <v>2515</v>
      </c>
      <c r="C681" t="s">
        <v>0</v>
      </c>
      <c r="D681" t="s">
        <v>2514</v>
      </c>
      <c r="I681" t="s">
        <v>24</v>
      </c>
      <c r="K681" t="s">
        <v>313</v>
      </c>
      <c r="L681" s="67">
        <v>0.25</v>
      </c>
      <c r="N681" s="67">
        <v>0</v>
      </c>
      <c r="O681" s="68">
        <v>44812</v>
      </c>
      <c r="P681" s="68">
        <v>44812</v>
      </c>
      <c r="Q681" s="57">
        <v>296410438.72508657</v>
      </c>
      <c r="R681" t="s">
        <v>748</v>
      </c>
    </row>
    <row r="682" spans="1:18">
      <c r="A682">
        <v>1703</v>
      </c>
      <c r="B682" t="s">
        <v>2517</v>
      </c>
      <c r="C682" t="s">
        <v>10</v>
      </c>
      <c r="D682" t="s">
        <v>2516</v>
      </c>
      <c r="I682" t="s">
        <v>715</v>
      </c>
      <c r="K682" t="s">
        <v>313</v>
      </c>
      <c r="L682" s="67">
        <v>0.25</v>
      </c>
      <c r="N682" s="67">
        <v>0.03</v>
      </c>
      <c r="O682" s="68">
        <v>44812</v>
      </c>
      <c r="P682" s="68">
        <v>44812</v>
      </c>
      <c r="Q682" s="57">
        <v>94364609.984434232</v>
      </c>
      <c r="R682" t="s">
        <v>748</v>
      </c>
    </row>
    <row r="683" spans="1:18">
      <c r="A683">
        <v>1704</v>
      </c>
      <c r="B683" t="s">
        <v>2520</v>
      </c>
      <c r="C683" t="s">
        <v>0</v>
      </c>
      <c r="D683" t="s">
        <v>2518</v>
      </c>
      <c r="E683" t="s">
        <v>2519</v>
      </c>
      <c r="I683" t="s">
        <v>24</v>
      </c>
      <c r="J683">
        <v>220</v>
      </c>
      <c r="K683" t="s">
        <v>554</v>
      </c>
      <c r="M683">
        <v>0</v>
      </c>
      <c r="O683" s="68">
        <v>44813</v>
      </c>
      <c r="P683" s="68">
        <v>44813</v>
      </c>
      <c r="R683" t="s">
        <v>748</v>
      </c>
    </row>
    <row r="684" spans="1:18">
      <c r="A684">
        <v>1705</v>
      </c>
      <c r="B684" t="s">
        <v>2527</v>
      </c>
      <c r="C684" t="s">
        <v>0</v>
      </c>
      <c r="D684" t="s">
        <v>2526</v>
      </c>
      <c r="I684" t="s">
        <v>24</v>
      </c>
      <c r="K684" t="s">
        <v>313</v>
      </c>
      <c r="L684" s="67">
        <v>0.25</v>
      </c>
      <c r="N684" s="67">
        <v>0.05</v>
      </c>
      <c r="O684" s="68">
        <v>44823</v>
      </c>
      <c r="P684" s="68">
        <v>44823</v>
      </c>
      <c r="Q684" s="57">
        <v>10821452.565697281</v>
      </c>
      <c r="R684" t="s">
        <v>748</v>
      </c>
    </row>
    <row r="685" spans="1:18">
      <c r="A685">
        <v>1706</v>
      </c>
      <c r="B685" t="s">
        <v>2530</v>
      </c>
      <c r="C685" t="s">
        <v>0</v>
      </c>
      <c r="D685" t="s">
        <v>2528</v>
      </c>
      <c r="E685" t="s">
        <v>1363</v>
      </c>
      <c r="I685" t="s">
        <v>2529</v>
      </c>
      <c r="K685" t="s">
        <v>313</v>
      </c>
      <c r="L685" s="67">
        <v>0.25</v>
      </c>
      <c r="N685" s="67">
        <v>0.05</v>
      </c>
      <c r="O685" s="68">
        <v>44823</v>
      </c>
      <c r="P685" s="68">
        <v>44823</v>
      </c>
      <c r="Q685" s="57">
        <v>22504483.001974918</v>
      </c>
      <c r="R685" t="s">
        <v>748</v>
      </c>
    </row>
    <row r="686" spans="1:18">
      <c r="A686">
        <v>1707</v>
      </c>
      <c r="B686" t="s">
        <v>2531</v>
      </c>
      <c r="C686" t="s">
        <v>7</v>
      </c>
      <c r="D686" t="s">
        <v>1521</v>
      </c>
      <c r="I686" t="s">
        <v>24</v>
      </c>
      <c r="K686" t="s">
        <v>313</v>
      </c>
      <c r="L686" s="67">
        <v>0.25</v>
      </c>
      <c r="N686" s="67">
        <v>0.05</v>
      </c>
      <c r="O686" s="68">
        <v>44823</v>
      </c>
      <c r="P686" s="68">
        <v>44823</v>
      </c>
      <c r="Q686" s="57">
        <v>250078420.81469351</v>
      </c>
      <c r="R686" t="s">
        <v>748</v>
      </c>
    </row>
    <row r="687" spans="1:18">
      <c r="A687">
        <v>1708</v>
      </c>
      <c r="B687" t="s">
        <v>2532</v>
      </c>
      <c r="C687" t="s">
        <v>7</v>
      </c>
      <c r="D687" t="s">
        <v>1521</v>
      </c>
      <c r="I687" t="s">
        <v>24</v>
      </c>
      <c r="K687" t="s">
        <v>313</v>
      </c>
      <c r="L687" s="67">
        <v>0.25</v>
      </c>
      <c r="N687" s="67">
        <v>0.05</v>
      </c>
      <c r="O687" s="68">
        <v>44823</v>
      </c>
      <c r="P687" s="68">
        <v>44823</v>
      </c>
      <c r="Q687" s="57">
        <v>251903585.28009084</v>
      </c>
      <c r="R687" t="s">
        <v>748</v>
      </c>
    </row>
    <row r="688" spans="1:18">
      <c r="A688">
        <v>1709</v>
      </c>
      <c r="B688" t="s">
        <v>2535</v>
      </c>
      <c r="C688" t="s">
        <v>7</v>
      </c>
      <c r="D688" t="s">
        <v>2533</v>
      </c>
      <c r="E688" t="s">
        <v>2534</v>
      </c>
      <c r="I688" t="s">
        <v>753</v>
      </c>
      <c r="K688" t="s">
        <v>313</v>
      </c>
      <c r="L688" s="67">
        <v>0.25</v>
      </c>
      <c r="N688" s="67">
        <v>0</v>
      </c>
      <c r="O688" s="68">
        <v>44830</v>
      </c>
      <c r="P688" s="68">
        <v>44830</v>
      </c>
      <c r="Q688" s="57">
        <v>330587375.19656706</v>
      </c>
      <c r="R688" t="s">
        <v>748</v>
      </c>
    </row>
    <row r="689" spans="1:18">
      <c r="A689">
        <v>1710</v>
      </c>
      <c r="B689" t="s">
        <v>2537</v>
      </c>
      <c r="C689" t="s">
        <v>7</v>
      </c>
      <c r="D689" t="s">
        <v>2533</v>
      </c>
      <c r="E689" t="s">
        <v>2536</v>
      </c>
      <c r="I689" t="s">
        <v>24</v>
      </c>
      <c r="K689" t="s">
        <v>313</v>
      </c>
      <c r="L689" s="67">
        <v>0.25</v>
      </c>
      <c r="N689" s="67">
        <v>0</v>
      </c>
      <c r="O689" s="68">
        <v>44830</v>
      </c>
      <c r="P689" s="68">
        <v>44830</v>
      </c>
      <c r="Q689" s="57">
        <v>398534474.82009649</v>
      </c>
      <c r="R689" t="s">
        <v>748</v>
      </c>
    </row>
    <row r="690" spans="1:18">
      <c r="A690">
        <v>1711</v>
      </c>
      <c r="B690" t="s">
        <v>2539</v>
      </c>
      <c r="C690" t="s">
        <v>0</v>
      </c>
      <c r="D690" t="s">
        <v>2538</v>
      </c>
      <c r="E690" t="s">
        <v>1530</v>
      </c>
      <c r="I690" t="s">
        <v>135</v>
      </c>
      <c r="K690" t="s">
        <v>313</v>
      </c>
      <c r="L690" s="67">
        <v>0.25</v>
      </c>
      <c r="N690" s="67">
        <v>0</v>
      </c>
      <c r="O690" s="68">
        <v>44834</v>
      </c>
      <c r="P690" s="68">
        <v>44834</v>
      </c>
      <c r="Q690" s="57">
        <v>46093649.18099159</v>
      </c>
      <c r="R690" t="s">
        <v>748</v>
      </c>
    </row>
    <row r="691" spans="1:18">
      <c r="A691">
        <v>1712</v>
      </c>
      <c r="B691" t="s">
        <v>2541</v>
      </c>
      <c r="C691" t="s">
        <v>3</v>
      </c>
      <c r="D691" t="s">
        <v>2540</v>
      </c>
      <c r="I691" t="s">
        <v>135</v>
      </c>
      <c r="K691" t="s">
        <v>313</v>
      </c>
      <c r="L691" s="67">
        <v>0.25</v>
      </c>
      <c r="N691" s="67">
        <v>0</v>
      </c>
      <c r="O691" s="68">
        <v>44834</v>
      </c>
      <c r="P691" s="68">
        <v>44834</v>
      </c>
      <c r="Q691" s="57">
        <v>893641946.78354657</v>
      </c>
      <c r="R691" t="s">
        <v>748</v>
      </c>
    </row>
    <row r="692" spans="1:18">
      <c r="A692">
        <v>1713</v>
      </c>
      <c r="B692" t="s">
        <v>2543</v>
      </c>
      <c r="C692" t="s">
        <v>3</v>
      </c>
      <c r="D692" t="s">
        <v>2540</v>
      </c>
      <c r="E692" t="s">
        <v>2542</v>
      </c>
      <c r="I692" t="s">
        <v>135</v>
      </c>
      <c r="K692" t="s">
        <v>313</v>
      </c>
      <c r="L692" s="67">
        <v>0.25</v>
      </c>
      <c r="N692" s="67">
        <v>0</v>
      </c>
      <c r="O692" s="68">
        <v>44834</v>
      </c>
      <c r="P692" s="68">
        <v>44834</v>
      </c>
      <c r="Q692" s="57">
        <v>1089381946.7835464</v>
      </c>
      <c r="R692" t="s">
        <v>748</v>
      </c>
    </row>
    <row r="693" spans="1:18">
      <c r="A693">
        <v>1714</v>
      </c>
      <c r="B693" t="s">
        <v>2545</v>
      </c>
      <c r="C693" t="s">
        <v>7</v>
      </c>
      <c r="D693" t="s">
        <v>2544</v>
      </c>
      <c r="I693" t="s">
        <v>24</v>
      </c>
      <c r="K693" t="s">
        <v>313</v>
      </c>
      <c r="L693" s="67">
        <v>0.25</v>
      </c>
      <c r="N693" s="67">
        <v>0.05</v>
      </c>
      <c r="O693" s="68">
        <v>44834</v>
      </c>
      <c r="P693" s="68">
        <v>44834</v>
      </c>
      <c r="Q693" s="57">
        <v>117056307.74128422</v>
      </c>
      <c r="R693" t="s">
        <v>748</v>
      </c>
    </row>
    <row r="694" spans="1:18">
      <c r="A694">
        <v>1715</v>
      </c>
      <c r="B694" t="s">
        <v>2547</v>
      </c>
      <c r="C694" t="s">
        <v>7</v>
      </c>
      <c r="D694" t="s">
        <v>2546</v>
      </c>
      <c r="I694" t="s">
        <v>24</v>
      </c>
      <c r="K694" t="s">
        <v>313</v>
      </c>
      <c r="L694" s="67">
        <v>0.25</v>
      </c>
      <c r="N694" s="67">
        <v>0.05</v>
      </c>
      <c r="O694" s="68">
        <v>44834</v>
      </c>
      <c r="P694" s="68">
        <v>44834</v>
      </c>
      <c r="Q694" s="57">
        <v>117056307.74128422</v>
      </c>
      <c r="R694" t="s">
        <v>748</v>
      </c>
    </row>
    <row r="695" spans="1:18">
      <c r="A695">
        <v>1716</v>
      </c>
      <c r="B695" t="s">
        <v>2548</v>
      </c>
      <c r="C695" t="s">
        <v>7</v>
      </c>
      <c r="D695" t="s">
        <v>2546</v>
      </c>
      <c r="I695" t="s">
        <v>24</v>
      </c>
      <c r="K695" t="s">
        <v>313</v>
      </c>
      <c r="L695" s="67">
        <v>0.25</v>
      </c>
      <c r="N695" s="67">
        <v>0.05</v>
      </c>
      <c r="O695" s="68">
        <v>44834</v>
      </c>
      <c r="P695" s="68">
        <v>44834</v>
      </c>
      <c r="Q695" s="57">
        <v>117056307.74128422</v>
      </c>
      <c r="R695" t="s">
        <v>748</v>
      </c>
    </row>
    <row r="696" spans="1:18">
      <c r="A696">
        <v>1717</v>
      </c>
      <c r="B696" t="s">
        <v>2550</v>
      </c>
      <c r="C696" t="s">
        <v>7</v>
      </c>
      <c r="D696" t="s">
        <v>2549</v>
      </c>
      <c r="I696" t="s">
        <v>24</v>
      </c>
      <c r="K696" t="s">
        <v>313</v>
      </c>
      <c r="L696" s="67">
        <v>0.25</v>
      </c>
      <c r="N696" s="67">
        <v>0.05</v>
      </c>
      <c r="O696" s="68">
        <v>44834</v>
      </c>
      <c r="P696" s="68">
        <v>44834</v>
      </c>
      <c r="Q696" s="57">
        <v>119019151.08109285</v>
      </c>
      <c r="R696" t="s">
        <v>748</v>
      </c>
    </row>
    <row r="697" spans="1:18">
      <c r="A697">
        <v>1718</v>
      </c>
      <c r="B697" t="s">
        <v>2552</v>
      </c>
      <c r="C697" t="s">
        <v>0</v>
      </c>
      <c r="D697" t="s">
        <v>2551</v>
      </c>
      <c r="I697" t="s">
        <v>817</v>
      </c>
      <c r="K697" t="s">
        <v>313</v>
      </c>
      <c r="L697" s="67">
        <v>0.25</v>
      </c>
      <c r="N697" s="67">
        <v>0.05</v>
      </c>
      <c r="O697" s="68">
        <v>44834</v>
      </c>
      <c r="P697" s="68">
        <v>44834</v>
      </c>
      <c r="Q697" s="57">
        <v>480164158.08188689</v>
      </c>
      <c r="R697" t="s">
        <v>748</v>
      </c>
    </row>
    <row r="698" spans="1:18">
      <c r="A698">
        <v>1719</v>
      </c>
      <c r="B698" t="s">
        <v>2553</v>
      </c>
      <c r="C698" t="s">
        <v>3</v>
      </c>
      <c r="D698" t="s">
        <v>1317</v>
      </c>
      <c r="I698" t="s">
        <v>753</v>
      </c>
      <c r="K698" t="s">
        <v>313</v>
      </c>
      <c r="L698" s="67">
        <v>0.25</v>
      </c>
      <c r="N698" s="67">
        <v>0.05</v>
      </c>
      <c r="O698" s="68">
        <v>44834</v>
      </c>
      <c r="P698" s="68">
        <v>44834</v>
      </c>
      <c r="Q698" s="57">
        <v>550863418.06434917</v>
      </c>
      <c r="R698" t="s">
        <v>748</v>
      </c>
    </row>
    <row r="699" spans="1:18">
      <c r="A699">
        <v>1720</v>
      </c>
      <c r="B699" t="s">
        <v>2554</v>
      </c>
      <c r="C699" t="s">
        <v>3</v>
      </c>
      <c r="D699" t="s">
        <v>1317</v>
      </c>
      <c r="I699" t="s">
        <v>753</v>
      </c>
      <c r="K699" t="s">
        <v>313</v>
      </c>
      <c r="L699" s="67">
        <v>0.25</v>
      </c>
      <c r="N699" s="67">
        <v>0.05</v>
      </c>
      <c r="O699" s="68">
        <v>44834</v>
      </c>
      <c r="P699" s="68">
        <v>44834</v>
      </c>
      <c r="Q699" s="57">
        <v>448993418.06434911</v>
      </c>
      <c r="R699" t="s">
        <v>748</v>
      </c>
    </row>
    <row r="700" spans="1:18">
      <c r="A700">
        <v>1721</v>
      </c>
      <c r="B700" t="s">
        <v>2556</v>
      </c>
      <c r="C700" t="s">
        <v>3</v>
      </c>
      <c r="D700" t="s">
        <v>2555</v>
      </c>
      <c r="I700" t="s">
        <v>753</v>
      </c>
      <c r="K700" t="s">
        <v>313</v>
      </c>
      <c r="L700" s="67">
        <v>0.2</v>
      </c>
      <c r="N700" s="67">
        <v>0</v>
      </c>
      <c r="O700" s="68">
        <v>44838</v>
      </c>
      <c r="P700" s="68">
        <v>44838</v>
      </c>
      <c r="Q700" s="57">
        <v>3140238948.5948563</v>
      </c>
      <c r="R700" t="s">
        <v>748</v>
      </c>
    </row>
    <row r="701" spans="1:18">
      <c r="A701">
        <v>1722</v>
      </c>
      <c r="B701" t="s">
        <v>2557</v>
      </c>
      <c r="C701" t="s">
        <v>0</v>
      </c>
      <c r="D701" t="s">
        <v>2161</v>
      </c>
      <c r="I701" t="s">
        <v>24</v>
      </c>
      <c r="K701" t="s">
        <v>313</v>
      </c>
      <c r="L701" s="67">
        <v>0.25</v>
      </c>
      <c r="N701" s="67">
        <v>0.05</v>
      </c>
      <c r="O701" s="68">
        <v>44838</v>
      </c>
      <c r="P701" s="68">
        <v>44838</v>
      </c>
      <c r="Q701" s="57">
        <v>303672889.65112597</v>
      </c>
      <c r="R701" t="s">
        <v>748</v>
      </c>
    </row>
    <row r="702" spans="1:18">
      <c r="A702">
        <v>1723</v>
      </c>
      <c r="B702" t="s">
        <v>2558</v>
      </c>
      <c r="C702" t="s">
        <v>0</v>
      </c>
      <c r="D702" t="s">
        <v>2161</v>
      </c>
      <c r="I702" t="s">
        <v>24</v>
      </c>
      <c r="K702" t="s">
        <v>313</v>
      </c>
      <c r="L702" s="67">
        <v>0.25</v>
      </c>
      <c r="N702" s="67">
        <v>0.05</v>
      </c>
      <c r="O702" s="68">
        <v>44838</v>
      </c>
      <c r="P702" s="68">
        <v>44838</v>
      </c>
      <c r="Q702" s="57">
        <v>303672889.65112597</v>
      </c>
      <c r="R702" t="s">
        <v>748</v>
      </c>
    </row>
    <row r="703" spans="1:18">
      <c r="A703">
        <v>1724</v>
      </c>
      <c r="B703" t="s">
        <v>2560</v>
      </c>
      <c r="C703" t="s">
        <v>7</v>
      </c>
      <c r="D703" t="s">
        <v>2559</v>
      </c>
      <c r="I703" t="s">
        <v>135</v>
      </c>
      <c r="K703" t="s">
        <v>313</v>
      </c>
      <c r="L703" s="67">
        <v>0.25</v>
      </c>
      <c r="N703" s="67">
        <v>0</v>
      </c>
      <c r="O703" s="68">
        <v>44838</v>
      </c>
      <c r="P703" s="68">
        <v>44838</v>
      </c>
      <c r="Q703" s="57">
        <v>123844323.70943035</v>
      </c>
      <c r="R703" t="s">
        <v>748</v>
      </c>
    </row>
    <row r="704" spans="1:18">
      <c r="A704">
        <v>1725</v>
      </c>
      <c r="B704" t="s">
        <v>2562</v>
      </c>
      <c r="C704" t="s">
        <v>7</v>
      </c>
      <c r="D704" t="s">
        <v>2561</v>
      </c>
      <c r="I704" t="s">
        <v>135</v>
      </c>
      <c r="K704" t="s">
        <v>313</v>
      </c>
      <c r="L704" s="67">
        <v>0.25</v>
      </c>
      <c r="N704" s="67">
        <v>0</v>
      </c>
      <c r="O704" s="68">
        <v>44838</v>
      </c>
      <c r="P704" s="68">
        <v>44838</v>
      </c>
      <c r="Q704" s="57">
        <v>285176321.43391466</v>
      </c>
      <c r="R704" t="s">
        <v>748</v>
      </c>
    </row>
    <row r="705" spans="1:18">
      <c r="A705">
        <v>1726</v>
      </c>
      <c r="B705" t="s">
        <v>2563</v>
      </c>
      <c r="C705" t="s">
        <v>7</v>
      </c>
      <c r="D705" t="s">
        <v>2561</v>
      </c>
      <c r="I705" t="s">
        <v>135</v>
      </c>
      <c r="K705" t="s">
        <v>313</v>
      </c>
      <c r="L705" s="67">
        <v>0.25</v>
      </c>
      <c r="N705" s="67">
        <v>0</v>
      </c>
      <c r="O705" s="68">
        <v>44838</v>
      </c>
      <c r="P705" s="68">
        <v>44838</v>
      </c>
      <c r="Q705" s="57">
        <v>560174984.72985709</v>
      </c>
      <c r="R705" t="s">
        <v>748</v>
      </c>
    </row>
    <row r="706" spans="1:18">
      <c r="A706">
        <v>1727</v>
      </c>
      <c r="B706" t="s">
        <v>2565</v>
      </c>
      <c r="C706" t="s">
        <v>7</v>
      </c>
      <c r="D706" t="s">
        <v>2564</v>
      </c>
      <c r="I706" t="s">
        <v>135</v>
      </c>
      <c r="K706" t="s">
        <v>313</v>
      </c>
      <c r="L706" s="67">
        <v>0.25</v>
      </c>
      <c r="N706" s="67">
        <v>0</v>
      </c>
      <c r="O706" s="68">
        <v>44838</v>
      </c>
      <c r="P706" s="68">
        <v>44838</v>
      </c>
      <c r="Q706" s="57">
        <v>560174984.72985709</v>
      </c>
      <c r="R706" t="s">
        <v>748</v>
      </c>
    </row>
    <row r="707" spans="1:18">
      <c r="A707">
        <v>1728</v>
      </c>
      <c r="B707" t="s">
        <v>2566</v>
      </c>
      <c r="C707" t="s">
        <v>0</v>
      </c>
      <c r="D707" t="s">
        <v>1640</v>
      </c>
      <c r="E707">
        <v>6024</v>
      </c>
      <c r="I707" t="s">
        <v>24</v>
      </c>
      <c r="K707" t="s">
        <v>313</v>
      </c>
      <c r="L707" s="67">
        <v>0.25</v>
      </c>
      <c r="N707" s="67">
        <v>0.05</v>
      </c>
      <c r="O707" s="68">
        <v>44840</v>
      </c>
      <c r="P707" s="68">
        <v>44840</v>
      </c>
      <c r="Q707" s="57">
        <v>299206748.2069211</v>
      </c>
      <c r="R707" t="s">
        <v>748</v>
      </c>
    </row>
    <row r="708" spans="1:18">
      <c r="A708">
        <v>1729</v>
      </c>
      <c r="B708" t="s">
        <v>2567</v>
      </c>
      <c r="C708" t="s">
        <v>0</v>
      </c>
      <c r="D708" t="s">
        <v>1640</v>
      </c>
      <c r="E708">
        <v>769</v>
      </c>
      <c r="I708" t="s">
        <v>24</v>
      </c>
      <c r="K708" t="s">
        <v>313</v>
      </c>
      <c r="L708" s="67">
        <v>0.25</v>
      </c>
      <c r="N708" s="67">
        <v>0.05</v>
      </c>
      <c r="O708" s="68">
        <v>44840</v>
      </c>
      <c r="P708" s="68">
        <v>44840</v>
      </c>
      <c r="Q708" s="57">
        <v>150357919.55535093</v>
      </c>
      <c r="R708" t="s">
        <v>748</v>
      </c>
    </row>
    <row r="709" spans="1:18">
      <c r="A709">
        <v>1730</v>
      </c>
      <c r="B709" t="s">
        <v>2569</v>
      </c>
      <c r="C709" t="s">
        <v>3</v>
      </c>
      <c r="D709" t="s">
        <v>2568</v>
      </c>
      <c r="I709" t="s">
        <v>2189</v>
      </c>
      <c r="K709" t="s">
        <v>313</v>
      </c>
      <c r="L709" s="67">
        <v>0.25</v>
      </c>
      <c r="N709" s="67">
        <v>0.05</v>
      </c>
      <c r="O709" s="68">
        <v>44842</v>
      </c>
      <c r="P709" s="68">
        <v>44842</v>
      </c>
      <c r="Q709" s="57">
        <v>211950659.99999997</v>
      </c>
      <c r="R709" t="s">
        <v>748</v>
      </c>
    </row>
    <row r="710" spans="1:18">
      <c r="A710">
        <v>1731</v>
      </c>
      <c r="B710" t="s">
        <v>2571</v>
      </c>
      <c r="C710" t="s">
        <v>0</v>
      </c>
      <c r="D710" t="s">
        <v>2570</v>
      </c>
      <c r="E710" t="s">
        <v>2305</v>
      </c>
      <c r="I710" t="s">
        <v>1046</v>
      </c>
      <c r="K710" t="s">
        <v>313</v>
      </c>
      <c r="L710" s="67">
        <v>0.22</v>
      </c>
      <c r="N710" s="67">
        <v>0</v>
      </c>
      <c r="O710" s="68">
        <v>44846</v>
      </c>
      <c r="P710" s="68">
        <v>44846</v>
      </c>
      <c r="Q710" s="57">
        <v>32186369.96333158</v>
      </c>
      <c r="R710" t="s">
        <v>748</v>
      </c>
    </row>
    <row r="711" spans="1:18">
      <c r="A711">
        <v>1732</v>
      </c>
      <c r="B711" t="s">
        <v>2574</v>
      </c>
      <c r="C711" t="s">
        <v>0</v>
      </c>
      <c r="D711" t="s">
        <v>2572</v>
      </c>
      <c r="E711" t="s">
        <v>2573</v>
      </c>
      <c r="I711" t="s">
        <v>1055</v>
      </c>
      <c r="K711" t="s">
        <v>313</v>
      </c>
      <c r="L711" s="67">
        <v>0.25</v>
      </c>
      <c r="N711" s="67">
        <v>0</v>
      </c>
      <c r="O711" s="68">
        <v>44846</v>
      </c>
      <c r="P711" s="68">
        <v>44846</v>
      </c>
      <c r="Q711" s="57">
        <v>13019502.623430476</v>
      </c>
      <c r="R711" t="s">
        <v>748</v>
      </c>
    </row>
    <row r="712" spans="1:18">
      <c r="A712">
        <v>1733</v>
      </c>
      <c r="B712" t="s">
        <v>2577</v>
      </c>
      <c r="C712" t="s">
        <v>0</v>
      </c>
      <c r="D712" t="s">
        <v>2575</v>
      </c>
      <c r="E712" t="s">
        <v>2576</v>
      </c>
      <c r="I712" t="s">
        <v>24</v>
      </c>
      <c r="K712" t="s">
        <v>313</v>
      </c>
      <c r="L712" s="67">
        <v>0.05</v>
      </c>
      <c r="N712" s="67">
        <v>0</v>
      </c>
      <c r="O712" s="68">
        <v>44846</v>
      </c>
      <c r="P712" s="68">
        <v>44846</v>
      </c>
      <c r="Q712" s="57">
        <v>9548638.9132345878</v>
      </c>
      <c r="R712" t="s">
        <v>748</v>
      </c>
    </row>
    <row r="713" spans="1:18">
      <c r="A713">
        <v>1734</v>
      </c>
      <c r="B713" t="s">
        <v>2579</v>
      </c>
      <c r="C713" t="s">
        <v>0</v>
      </c>
      <c r="D713" t="s">
        <v>2578</v>
      </c>
      <c r="I713" t="s">
        <v>2083</v>
      </c>
      <c r="K713" t="s">
        <v>313</v>
      </c>
      <c r="L713" s="67">
        <v>0.25</v>
      </c>
      <c r="N713" s="67">
        <v>0</v>
      </c>
      <c r="O713" s="68">
        <v>44846</v>
      </c>
      <c r="P713" s="68">
        <v>44846</v>
      </c>
      <c r="Q713" s="57">
        <v>127144814.10870565</v>
      </c>
      <c r="R713" t="s">
        <v>748</v>
      </c>
    </row>
    <row r="714" spans="1:18">
      <c r="A714">
        <v>1735</v>
      </c>
      <c r="B714" t="s">
        <v>2581</v>
      </c>
      <c r="C714" t="s">
        <v>3</v>
      </c>
      <c r="D714" t="s">
        <v>2580</v>
      </c>
      <c r="I714" t="s">
        <v>1136</v>
      </c>
      <c r="K714" t="s">
        <v>313</v>
      </c>
      <c r="L714" s="67">
        <v>0.25</v>
      </c>
      <c r="N714" s="67">
        <v>0.05</v>
      </c>
      <c r="O714" s="68">
        <v>44846</v>
      </c>
      <c r="P714" s="68">
        <v>44846</v>
      </c>
      <c r="Q714" s="57">
        <v>144426271.03860569</v>
      </c>
      <c r="R714" t="s">
        <v>748</v>
      </c>
    </row>
    <row r="715" spans="1:18">
      <c r="A715">
        <v>1736</v>
      </c>
      <c r="B715" t="s">
        <v>2583</v>
      </c>
      <c r="C715" t="s">
        <v>3</v>
      </c>
      <c r="D715" t="s">
        <v>2582</v>
      </c>
      <c r="I715" t="s">
        <v>753</v>
      </c>
      <c r="K715" t="s">
        <v>313</v>
      </c>
      <c r="L715" s="67">
        <v>0.25</v>
      </c>
      <c r="N715" s="67">
        <v>0.05</v>
      </c>
      <c r="O715" s="68">
        <v>44847</v>
      </c>
      <c r="P715" s="68">
        <v>44847</v>
      </c>
      <c r="Q715" s="57">
        <v>188189999.99999997</v>
      </c>
      <c r="R715" t="s">
        <v>748</v>
      </c>
    </row>
    <row r="716" spans="1:18">
      <c r="A716">
        <v>1737</v>
      </c>
      <c r="B716" t="s">
        <v>2585</v>
      </c>
      <c r="C716" t="s">
        <v>7</v>
      </c>
      <c r="D716" t="s">
        <v>2584</v>
      </c>
      <c r="I716" t="s">
        <v>24</v>
      </c>
      <c r="K716" t="s">
        <v>313</v>
      </c>
      <c r="L716" s="67">
        <v>0.25</v>
      </c>
      <c r="N716" s="67">
        <v>0.05</v>
      </c>
      <c r="O716" s="68">
        <v>44847</v>
      </c>
      <c r="P716" s="68">
        <v>44847</v>
      </c>
      <c r="Q716" s="57">
        <v>195035000.00000003</v>
      </c>
      <c r="R716" t="s">
        <v>748</v>
      </c>
    </row>
    <row r="717" spans="1:18">
      <c r="A717">
        <v>1738</v>
      </c>
      <c r="B717" t="s">
        <v>2587</v>
      </c>
      <c r="C717" t="s">
        <v>0</v>
      </c>
      <c r="D717" t="s">
        <v>2586</v>
      </c>
      <c r="I717" t="s">
        <v>1434</v>
      </c>
      <c r="K717" t="s">
        <v>313</v>
      </c>
      <c r="L717" s="67">
        <v>0.25</v>
      </c>
      <c r="N717" s="67">
        <v>0</v>
      </c>
      <c r="O717" s="68">
        <v>44848</v>
      </c>
      <c r="P717" s="68">
        <v>44848</v>
      </c>
      <c r="Q717" s="57">
        <v>133624919.35873616</v>
      </c>
      <c r="R717" t="s">
        <v>748</v>
      </c>
    </row>
    <row r="718" spans="1:18">
      <c r="A718">
        <v>1739</v>
      </c>
      <c r="B718" t="s">
        <v>2589</v>
      </c>
      <c r="C718" t="s">
        <v>7</v>
      </c>
      <c r="D718" t="s">
        <v>2588</v>
      </c>
      <c r="I718" t="s">
        <v>2307</v>
      </c>
      <c r="K718" t="s">
        <v>313</v>
      </c>
      <c r="L718" s="67">
        <v>0.25</v>
      </c>
      <c r="N718" s="67">
        <v>0.05</v>
      </c>
      <c r="O718" s="68">
        <v>44852</v>
      </c>
      <c r="P718" s="68">
        <v>44852</v>
      </c>
      <c r="Q718" s="57">
        <v>317808044.96774453</v>
      </c>
      <c r="R718" t="s">
        <v>748</v>
      </c>
    </row>
    <row r="719" spans="1:18">
      <c r="A719">
        <v>1740</v>
      </c>
      <c r="B719" t="s">
        <v>2593</v>
      </c>
      <c r="C719" t="s">
        <v>7</v>
      </c>
      <c r="D719" t="s">
        <v>2591</v>
      </c>
      <c r="E719" t="s">
        <v>1570</v>
      </c>
      <c r="I719" t="s">
        <v>2592</v>
      </c>
      <c r="K719" t="s">
        <v>313</v>
      </c>
      <c r="L719" s="67">
        <v>0.25</v>
      </c>
      <c r="N719" s="67">
        <v>0</v>
      </c>
      <c r="O719" s="68">
        <v>44855</v>
      </c>
      <c r="P719" s="68">
        <v>44855</v>
      </c>
      <c r="Q719" s="57">
        <v>121168065.76595806</v>
      </c>
      <c r="R719" t="s">
        <v>748</v>
      </c>
    </row>
    <row r="720" spans="1:18">
      <c r="A720">
        <v>1741</v>
      </c>
      <c r="B720" t="s">
        <v>2594</v>
      </c>
      <c r="C720" t="s">
        <v>7</v>
      </c>
      <c r="D720" t="s">
        <v>2591</v>
      </c>
      <c r="E720" t="s">
        <v>1570</v>
      </c>
      <c r="I720" t="s">
        <v>2592</v>
      </c>
      <c r="K720" t="s">
        <v>313</v>
      </c>
      <c r="L720" s="67">
        <v>0.25</v>
      </c>
      <c r="N720" s="67">
        <v>0</v>
      </c>
      <c r="O720" s="68">
        <v>44855</v>
      </c>
      <c r="P720" s="68">
        <v>44855</v>
      </c>
      <c r="Q720" s="57">
        <v>47506323.364944726</v>
      </c>
      <c r="R720" t="s">
        <v>748</v>
      </c>
    </row>
    <row r="721" spans="1:18">
      <c r="A721">
        <v>1742</v>
      </c>
      <c r="B721" t="s">
        <v>2596</v>
      </c>
      <c r="C721" t="s">
        <v>3</v>
      </c>
      <c r="D721" t="s">
        <v>2540</v>
      </c>
      <c r="E721" t="s">
        <v>2595</v>
      </c>
      <c r="I721" t="s">
        <v>135</v>
      </c>
      <c r="K721" t="s">
        <v>313</v>
      </c>
      <c r="L721" s="67">
        <v>0.25</v>
      </c>
      <c r="N721" s="67">
        <v>0.02</v>
      </c>
      <c r="O721" s="68">
        <v>44856</v>
      </c>
      <c r="P721" s="68">
        <v>44856</v>
      </c>
      <c r="Q721" s="57">
        <v>501647716.27841741</v>
      </c>
      <c r="R721" t="s">
        <v>748</v>
      </c>
    </row>
    <row r="722" spans="1:18">
      <c r="A722">
        <v>1743</v>
      </c>
      <c r="B722" t="s">
        <v>2597</v>
      </c>
      <c r="C722" t="s">
        <v>3</v>
      </c>
      <c r="D722" t="s">
        <v>2540</v>
      </c>
      <c r="E722" t="s">
        <v>2595</v>
      </c>
      <c r="I722" t="s">
        <v>135</v>
      </c>
      <c r="K722" t="s">
        <v>313</v>
      </c>
      <c r="L722" s="67">
        <v>0.25</v>
      </c>
      <c r="N722" s="67">
        <v>0.02</v>
      </c>
      <c r="O722" s="68">
        <v>44856</v>
      </c>
      <c r="P722" s="68">
        <v>44856</v>
      </c>
      <c r="Q722" s="57">
        <v>493036821.34465045</v>
      </c>
      <c r="R722" t="s">
        <v>748</v>
      </c>
    </row>
    <row r="723" spans="1:18">
      <c r="A723">
        <v>1744</v>
      </c>
      <c r="B723" t="s">
        <v>2599</v>
      </c>
      <c r="C723" t="s">
        <v>0</v>
      </c>
      <c r="D723" t="s">
        <v>1532</v>
      </c>
      <c r="E723" t="s">
        <v>2598</v>
      </c>
      <c r="I723" t="s">
        <v>1055</v>
      </c>
      <c r="K723" t="s">
        <v>313</v>
      </c>
      <c r="L723" s="67">
        <v>0.23095530120179442</v>
      </c>
      <c r="N723" s="67">
        <v>0.05</v>
      </c>
      <c r="O723" s="68">
        <v>44858</v>
      </c>
      <c r="P723" s="68">
        <v>44858</v>
      </c>
      <c r="Q723" s="57">
        <v>22462415.000001572</v>
      </c>
      <c r="R723" t="s">
        <v>748</v>
      </c>
    </row>
    <row r="724" spans="1:18">
      <c r="A724">
        <v>1745</v>
      </c>
      <c r="B724" t="s">
        <v>2603</v>
      </c>
      <c r="C724" t="s">
        <v>7</v>
      </c>
      <c r="D724" t="s">
        <v>2600</v>
      </c>
      <c r="E724" t="s">
        <v>2601</v>
      </c>
      <c r="I724" t="s">
        <v>2602</v>
      </c>
      <c r="K724" t="s">
        <v>313</v>
      </c>
      <c r="L724" s="67">
        <v>0.25</v>
      </c>
      <c r="N724" s="67">
        <v>0.03</v>
      </c>
      <c r="O724" s="68">
        <v>44858</v>
      </c>
      <c r="P724" s="68">
        <v>44858</v>
      </c>
      <c r="Q724" s="57">
        <v>551461260.72615194</v>
      </c>
      <c r="R724" t="s">
        <v>748</v>
      </c>
    </row>
    <row r="725" spans="1:18">
      <c r="A725">
        <v>1746</v>
      </c>
      <c r="B725" t="s">
        <v>2604</v>
      </c>
      <c r="C725" t="s">
        <v>7</v>
      </c>
      <c r="D725" t="s">
        <v>1545</v>
      </c>
      <c r="E725">
        <v>1000068</v>
      </c>
      <c r="I725" t="s">
        <v>1136</v>
      </c>
      <c r="K725" t="s">
        <v>313</v>
      </c>
      <c r="L725" s="67">
        <v>0.25</v>
      </c>
      <c r="N725" s="67">
        <v>0.05</v>
      </c>
      <c r="O725" s="68">
        <v>44860</v>
      </c>
      <c r="P725" s="68">
        <v>44860</v>
      </c>
      <c r="Q725" s="57">
        <v>165144863.4236618</v>
      </c>
      <c r="R725" t="s">
        <v>748</v>
      </c>
    </row>
    <row r="726" spans="1:18">
      <c r="A726">
        <v>1747</v>
      </c>
      <c r="B726" t="s">
        <v>2605</v>
      </c>
      <c r="C726" t="s">
        <v>7</v>
      </c>
      <c r="D726" t="s">
        <v>1545</v>
      </c>
      <c r="E726">
        <v>1000068</v>
      </c>
      <c r="I726" t="s">
        <v>1136</v>
      </c>
      <c r="K726" t="s">
        <v>313</v>
      </c>
      <c r="L726" s="67">
        <v>0.25</v>
      </c>
      <c r="N726" s="67">
        <v>0.05</v>
      </c>
      <c r="O726" s="68">
        <v>44860</v>
      </c>
      <c r="P726" s="68">
        <v>44860</v>
      </c>
      <c r="Q726" s="57">
        <v>161494016.6574257</v>
      </c>
      <c r="R726" t="s">
        <v>748</v>
      </c>
    </row>
    <row r="727" spans="1:18">
      <c r="A727">
        <v>1748</v>
      </c>
      <c r="B727" t="s">
        <v>2607</v>
      </c>
      <c r="C727" t="s">
        <v>7</v>
      </c>
      <c r="D727" t="s">
        <v>2606</v>
      </c>
      <c r="I727" t="s">
        <v>135</v>
      </c>
      <c r="K727" t="s">
        <v>313</v>
      </c>
      <c r="L727" s="67">
        <v>0.25</v>
      </c>
      <c r="N727" s="67">
        <v>0</v>
      </c>
      <c r="O727" s="68">
        <v>44860</v>
      </c>
      <c r="P727" s="68">
        <v>44860</v>
      </c>
      <c r="Q727" s="57">
        <v>131905157.04276368</v>
      </c>
      <c r="R727" t="s">
        <v>748</v>
      </c>
    </row>
    <row r="728" spans="1:18">
      <c r="A728">
        <v>1749</v>
      </c>
      <c r="B728" t="s">
        <v>2609</v>
      </c>
      <c r="C728" t="s">
        <v>7</v>
      </c>
      <c r="D728" t="s">
        <v>2608</v>
      </c>
      <c r="E728" t="s">
        <v>2403</v>
      </c>
      <c r="I728" t="s">
        <v>1434</v>
      </c>
      <c r="K728" t="s">
        <v>313</v>
      </c>
      <c r="L728" s="67">
        <v>0.25</v>
      </c>
      <c r="N728" s="67">
        <v>0.05</v>
      </c>
      <c r="O728" s="68">
        <v>44862</v>
      </c>
      <c r="P728" s="68">
        <v>44862</v>
      </c>
      <c r="Q728" s="57">
        <v>88369040.88620545</v>
      </c>
      <c r="R728" t="s">
        <v>748</v>
      </c>
    </row>
    <row r="729" spans="1:18">
      <c r="A729">
        <v>1750</v>
      </c>
      <c r="B729" t="s">
        <v>2610</v>
      </c>
      <c r="C729" t="s">
        <v>7</v>
      </c>
      <c r="D729" t="s">
        <v>2608</v>
      </c>
      <c r="E729" t="s">
        <v>2403</v>
      </c>
      <c r="I729" t="s">
        <v>1434</v>
      </c>
      <c r="K729" t="s">
        <v>313</v>
      </c>
      <c r="L729" s="67">
        <v>0.25</v>
      </c>
      <c r="N729" s="67">
        <v>0.05</v>
      </c>
      <c r="O729" s="68">
        <v>44862</v>
      </c>
      <c r="P729" s="68">
        <v>44862</v>
      </c>
      <c r="Q729" s="57">
        <v>21531481.570608672</v>
      </c>
      <c r="R729" t="s">
        <v>748</v>
      </c>
    </row>
    <row r="730" spans="1:18">
      <c r="A730">
        <v>1751</v>
      </c>
      <c r="B730" t="s">
        <v>2611</v>
      </c>
      <c r="C730" t="s">
        <v>7</v>
      </c>
      <c r="D730" t="s">
        <v>2249</v>
      </c>
      <c r="E730" t="s">
        <v>2403</v>
      </c>
      <c r="I730" t="s">
        <v>1434</v>
      </c>
      <c r="K730" t="s">
        <v>313</v>
      </c>
      <c r="L730" s="67">
        <v>0.25</v>
      </c>
      <c r="N730" s="67">
        <v>0.05</v>
      </c>
      <c r="O730" s="68">
        <v>44862</v>
      </c>
      <c r="P730" s="68">
        <v>44862</v>
      </c>
      <c r="Q730" s="57">
        <v>21531481.570608672</v>
      </c>
      <c r="R730" t="s">
        <v>748</v>
      </c>
    </row>
    <row r="731" spans="1:18">
      <c r="A731">
        <v>1752</v>
      </c>
      <c r="B731" t="s">
        <v>2613</v>
      </c>
      <c r="C731" t="s">
        <v>0</v>
      </c>
      <c r="D731" t="s">
        <v>1631</v>
      </c>
      <c r="E731" t="s">
        <v>2612</v>
      </c>
      <c r="I731" t="s">
        <v>1134</v>
      </c>
      <c r="K731" t="s">
        <v>313</v>
      </c>
      <c r="L731" s="67">
        <v>0.25</v>
      </c>
      <c r="N731" s="67">
        <v>0</v>
      </c>
      <c r="O731" s="68">
        <v>44864</v>
      </c>
      <c r="P731" s="68">
        <v>44864</v>
      </c>
      <c r="Q731" s="57">
        <v>23125173.896292754</v>
      </c>
      <c r="R731" t="s">
        <v>748</v>
      </c>
    </row>
    <row r="732" spans="1:18">
      <c r="A732">
        <v>1753</v>
      </c>
      <c r="B732" t="s">
        <v>2619</v>
      </c>
      <c r="C732" t="s">
        <v>3</v>
      </c>
      <c r="D732" t="s">
        <v>1937</v>
      </c>
      <c r="I732" t="s">
        <v>24</v>
      </c>
      <c r="K732" t="s">
        <v>313</v>
      </c>
      <c r="L732" s="67">
        <v>0.25</v>
      </c>
      <c r="N732" s="67">
        <v>0</v>
      </c>
      <c r="O732" s="68">
        <v>44872</v>
      </c>
      <c r="P732" s="68">
        <v>44872</v>
      </c>
      <c r="Q732" s="57">
        <v>102519782.66360471</v>
      </c>
      <c r="R732" t="s">
        <v>748</v>
      </c>
    </row>
    <row r="733" spans="1:18">
      <c r="A733">
        <v>1754</v>
      </c>
      <c r="B733" t="s">
        <v>2620</v>
      </c>
      <c r="C733" t="s">
        <v>3</v>
      </c>
      <c r="D733" t="s">
        <v>1937</v>
      </c>
      <c r="I733" t="s">
        <v>24</v>
      </c>
      <c r="K733" t="s">
        <v>313</v>
      </c>
      <c r="L733" s="67">
        <v>0.25</v>
      </c>
      <c r="N733" s="67">
        <v>0</v>
      </c>
      <c r="O733" s="68">
        <v>44872</v>
      </c>
      <c r="P733" s="68">
        <v>44872</v>
      </c>
      <c r="Q733" s="57">
        <v>102519782.66360471</v>
      </c>
      <c r="R733" t="s">
        <v>748</v>
      </c>
    </row>
    <row r="734" spans="1:18">
      <c r="A734">
        <v>1755</v>
      </c>
      <c r="B734" t="s">
        <v>2621</v>
      </c>
      <c r="C734" t="s">
        <v>3</v>
      </c>
      <c r="D734" t="s">
        <v>1937</v>
      </c>
      <c r="I734" t="s">
        <v>24</v>
      </c>
      <c r="K734" t="s">
        <v>313</v>
      </c>
      <c r="L734" s="67">
        <v>0.25</v>
      </c>
      <c r="N734" s="67">
        <v>0</v>
      </c>
      <c r="O734" s="68">
        <v>44872</v>
      </c>
      <c r="P734" s="68">
        <v>44872</v>
      </c>
      <c r="Q734" s="57">
        <v>105793644.49024075</v>
      </c>
      <c r="R734" t="s">
        <v>748</v>
      </c>
    </row>
    <row r="735" spans="1:18">
      <c r="A735">
        <v>1756</v>
      </c>
      <c r="B735" t="s">
        <v>2622</v>
      </c>
      <c r="C735" t="s">
        <v>3</v>
      </c>
      <c r="D735" t="s">
        <v>1937</v>
      </c>
      <c r="I735" t="s">
        <v>24</v>
      </c>
      <c r="K735" t="s">
        <v>313</v>
      </c>
      <c r="L735" s="67">
        <v>0.25</v>
      </c>
      <c r="N735" s="67">
        <v>0</v>
      </c>
      <c r="O735" s="68">
        <v>44872</v>
      </c>
      <c r="P735" s="68">
        <v>44872</v>
      </c>
      <c r="Q735" s="57">
        <v>105793644.49024075</v>
      </c>
      <c r="R735" t="s">
        <v>748</v>
      </c>
    </row>
    <row r="736" spans="1:18">
      <c r="A736">
        <v>1757</v>
      </c>
      <c r="B736" t="s">
        <v>2625</v>
      </c>
      <c r="C736" t="s">
        <v>3</v>
      </c>
      <c r="D736" t="s">
        <v>2623</v>
      </c>
      <c r="E736" t="s">
        <v>2624</v>
      </c>
      <c r="I736" t="s">
        <v>24</v>
      </c>
      <c r="K736" t="s">
        <v>313</v>
      </c>
      <c r="L736" s="67">
        <v>0.24</v>
      </c>
      <c r="N736" s="67">
        <v>0.03</v>
      </c>
      <c r="O736" s="68">
        <v>44872</v>
      </c>
      <c r="P736" s="68">
        <v>44872</v>
      </c>
      <c r="Q736" s="57">
        <v>511060268.54243219</v>
      </c>
      <c r="R736" t="s">
        <v>748</v>
      </c>
    </row>
    <row r="737" spans="1:18">
      <c r="A737">
        <v>1758</v>
      </c>
      <c r="B737" t="s">
        <v>2627</v>
      </c>
      <c r="C737" t="s">
        <v>3</v>
      </c>
      <c r="D737" t="s">
        <v>2626</v>
      </c>
      <c r="I737" t="s">
        <v>135</v>
      </c>
      <c r="K737" t="s">
        <v>313</v>
      </c>
      <c r="L737" s="67">
        <v>0.25</v>
      </c>
      <c r="N737" s="67">
        <v>0.05</v>
      </c>
      <c r="O737" s="68">
        <v>44872</v>
      </c>
      <c r="P737" s="68">
        <v>44872</v>
      </c>
      <c r="Q737" s="57">
        <v>286867416.32314169</v>
      </c>
      <c r="R737" t="s">
        <v>748</v>
      </c>
    </row>
    <row r="738" spans="1:18">
      <c r="A738">
        <v>1759</v>
      </c>
      <c r="B738" t="s">
        <v>2628</v>
      </c>
      <c r="C738" t="s">
        <v>3</v>
      </c>
      <c r="D738" t="s">
        <v>2626</v>
      </c>
      <c r="I738" t="s">
        <v>135</v>
      </c>
      <c r="K738" t="s">
        <v>313</v>
      </c>
      <c r="L738" s="67">
        <v>0.25</v>
      </c>
      <c r="N738" s="67">
        <v>0.05</v>
      </c>
      <c r="O738" s="68">
        <v>44872</v>
      </c>
      <c r="P738" s="68">
        <v>44872</v>
      </c>
      <c r="Q738" s="57">
        <v>271813975.55207437</v>
      </c>
      <c r="R738" t="s">
        <v>748</v>
      </c>
    </row>
    <row r="739" spans="1:18">
      <c r="A739">
        <v>1760</v>
      </c>
      <c r="B739" t="s">
        <v>2630</v>
      </c>
      <c r="C739" t="s">
        <v>0</v>
      </c>
      <c r="D739" t="s">
        <v>2629</v>
      </c>
      <c r="I739" t="s">
        <v>24</v>
      </c>
      <c r="K739" t="s">
        <v>313</v>
      </c>
      <c r="L739" s="67">
        <v>0.25</v>
      </c>
      <c r="N739" s="67">
        <v>0.05</v>
      </c>
      <c r="O739" s="68">
        <v>44872</v>
      </c>
      <c r="P739" s="68">
        <v>44872</v>
      </c>
      <c r="Q739" s="57">
        <v>527853523.52956569</v>
      </c>
      <c r="R739" t="s">
        <v>748</v>
      </c>
    </row>
    <row r="740" spans="1:18">
      <c r="A740">
        <v>1761</v>
      </c>
      <c r="B740" t="s">
        <v>2631</v>
      </c>
      <c r="C740" t="s">
        <v>0</v>
      </c>
      <c r="D740" t="s">
        <v>2278</v>
      </c>
      <c r="I740" t="s">
        <v>24</v>
      </c>
      <c r="K740" t="s">
        <v>313</v>
      </c>
      <c r="L740" s="67">
        <v>0.25</v>
      </c>
      <c r="N740" s="67">
        <v>0.05</v>
      </c>
      <c r="O740" s="68">
        <v>44874</v>
      </c>
      <c r="P740" s="68">
        <v>44874</v>
      </c>
      <c r="Q740" s="57">
        <v>23620585.807258442</v>
      </c>
      <c r="R740" t="s">
        <v>748</v>
      </c>
    </row>
    <row r="741" spans="1:18">
      <c r="A741">
        <v>1762</v>
      </c>
      <c r="B741" t="s">
        <v>2632</v>
      </c>
      <c r="C741" t="s">
        <v>3</v>
      </c>
      <c r="D741" t="s">
        <v>2555</v>
      </c>
      <c r="I741" t="s">
        <v>753</v>
      </c>
      <c r="K741" t="s">
        <v>313</v>
      </c>
      <c r="L741" s="67">
        <v>0.2</v>
      </c>
      <c r="N741" s="67">
        <v>0</v>
      </c>
      <c r="O741" s="68">
        <v>44874</v>
      </c>
      <c r="P741" s="68">
        <v>44874</v>
      </c>
      <c r="Q741" s="57">
        <v>3127588948.5948563</v>
      </c>
      <c r="R741" t="s">
        <v>748</v>
      </c>
    </row>
    <row r="742" spans="1:18">
      <c r="A742">
        <v>1763</v>
      </c>
      <c r="B742" t="s">
        <v>2634</v>
      </c>
      <c r="C742" t="s">
        <v>0</v>
      </c>
      <c r="D742" t="s">
        <v>2633</v>
      </c>
      <c r="I742" t="s">
        <v>24</v>
      </c>
      <c r="K742" t="s">
        <v>313</v>
      </c>
      <c r="L742" s="67">
        <v>0.25</v>
      </c>
      <c r="N742" s="67">
        <v>0</v>
      </c>
      <c r="O742" s="68">
        <v>44874</v>
      </c>
      <c r="P742" s="68">
        <v>44874</v>
      </c>
      <c r="Q742" s="57">
        <v>19444688.809113353</v>
      </c>
      <c r="R742" t="s">
        <v>748</v>
      </c>
    </row>
    <row r="743" spans="1:18">
      <c r="A743">
        <v>1764</v>
      </c>
      <c r="B743" t="s">
        <v>2636</v>
      </c>
      <c r="C743" t="s">
        <v>0</v>
      </c>
      <c r="D743" t="s">
        <v>2635</v>
      </c>
      <c r="I743" t="s">
        <v>24</v>
      </c>
      <c r="K743" t="s">
        <v>313</v>
      </c>
      <c r="L743" s="67">
        <v>0.25</v>
      </c>
      <c r="N743" s="67">
        <v>0</v>
      </c>
      <c r="O743" s="68">
        <v>44874</v>
      </c>
      <c r="P743" s="68">
        <v>44874</v>
      </c>
      <c r="Q743" s="57">
        <v>14224045.57527942</v>
      </c>
      <c r="R743" t="s">
        <v>748</v>
      </c>
    </row>
    <row r="744" spans="1:18">
      <c r="A744">
        <v>1765</v>
      </c>
      <c r="B744" t="s">
        <v>2639</v>
      </c>
      <c r="C744" t="s">
        <v>0</v>
      </c>
      <c r="D744" t="s">
        <v>2637</v>
      </c>
      <c r="E744" t="s">
        <v>2638</v>
      </c>
      <c r="I744" t="s">
        <v>1434</v>
      </c>
      <c r="K744" t="s">
        <v>313</v>
      </c>
      <c r="L744" s="67">
        <v>0.25</v>
      </c>
      <c r="N744" s="67">
        <v>0.05</v>
      </c>
      <c r="O744" s="68">
        <v>44879</v>
      </c>
      <c r="P744" s="68">
        <v>44879</v>
      </c>
      <c r="Q744" s="57">
        <v>60607498.542627752</v>
      </c>
      <c r="R744" t="s">
        <v>748</v>
      </c>
    </row>
    <row r="745" spans="1:18">
      <c r="A745">
        <v>1766</v>
      </c>
      <c r="B745" t="s">
        <v>2642</v>
      </c>
      <c r="C745" t="s">
        <v>0</v>
      </c>
      <c r="D745" t="s">
        <v>2640</v>
      </c>
      <c r="E745" t="s">
        <v>2641</v>
      </c>
      <c r="I745" t="s">
        <v>1434</v>
      </c>
      <c r="K745" t="s">
        <v>313</v>
      </c>
      <c r="L745" s="67">
        <v>0.25</v>
      </c>
      <c r="N745" s="67">
        <v>0.05</v>
      </c>
      <c r="O745" s="68">
        <v>44879</v>
      </c>
      <c r="P745" s="68">
        <v>44879</v>
      </c>
      <c r="Q745" s="57">
        <v>52548686.622684225</v>
      </c>
      <c r="R745" t="s">
        <v>748</v>
      </c>
    </row>
    <row r="746" spans="1:18">
      <c r="A746">
        <v>1767</v>
      </c>
      <c r="B746" t="s">
        <v>2644</v>
      </c>
      <c r="C746" t="s">
        <v>0</v>
      </c>
      <c r="D746" t="s">
        <v>2640</v>
      </c>
      <c r="E746" t="s">
        <v>2643</v>
      </c>
      <c r="I746" t="s">
        <v>1434</v>
      </c>
      <c r="K746" t="s">
        <v>313</v>
      </c>
      <c r="L746" s="67">
        <v>0.25</v>
      </c>
      <c r="N746" s="67">
        <v>0.05</v>
      </c>
      <c r="O746" s="68">
        <v>44879</v>
      </c>
      <c r="P746" s="68">
        <v>44879</v>
      </c>
      <c r="Q746" s="57">
        <v>48878414.622684225</v>
      </c>
      <c r="R746" t="s">
        <v>748</v>
      </c>
    </row>
    <row r="747" spans="1:18">
      <c r="A747">
        <v>1768</v>
      </c>
      <c r="B747" t="s">
        <v>2645</v>
      </c>
      <c r="C747" t="s">
        <v>0</v>
      </c>
      <c r="D747" t="s">
        <v>2013</v>
      </c>
      <c r="I747" t="s">
        <v>1651</v>
      </c>
      <c r="K747" t="s">
        <v>313</v>
      </c>
      <c r="L747" s="67">
        <v>0.25</v>
      </c>
      <c r="N747" s="67">
        <v>0</v>
      </c>
      <c r="O747" s="68">
        <v>44880</v>
      </c>
      <c r="P747" s="68">
        <v>44880</v>
      </c>
      <c r="Q747" s="57">
        <v>29387658.415834602</v>
      </c>
      <c r="R747" t="s">
        <v>748</v>
      </c>
    </row>
    <row r="748" spans="1:18">
      <c r="A748">
        <v>1769</v>
      </c>
      <c r="B748" t="s">
        <v>2647</v>
      </c>
      <c r="C748" t="s">
        <v>0</v>
      </c>
      <c r="D748" t="s">
        <v>2646</v>
      </c>
      <c r="E748" t="s">
        <v>1622</v>
      </c>
      <c r="I748" t="s">
        <v>1571</v>
      </c>
      <c r="K748" t="s">
        <v>313</v>
      </c>
      <c r="L748" s="67">
        <v>0.25</v>
      </c>
      <c r="N748" s="67">
        <v>0</v>
      </c>
      <c r="O748" s="68">
        <v>44880</v>
      </c>
      <c r="P748" s="68">
        <v>44880</v>
      </c>
      <c r="Q748" s="57">
        <v>19289797.534167055</v>
      </c>
      <c r="R748" t="s">
        <v>748</v>
      </c>
    </row>
    <row r="749" spans="1:18">
      <c r="A749">
        <v>1770</v>
      </c>
      <c r="B749" t="s">
        <v>2648</v>
      </c>
      <c r="C749" t="s">
        <v>0</v>
      </c>
      <c r="D749" t="s">
        <v>2646</v>
      </c>
      <c r="E749" t="s">
        <v>1622</v>
      </c>
      <c r="I749" t="s">
        <v>1571</v>
      </c>
      <c r="K749" t="s">
        <v>313</v>
      </c>
      <c r="L749" s="67">
        <v>0.25</v>
      </c>
      <c r="N749" s="67">
        <v>6.2346197610349319E-2</v>
      </c>
      <c r="O749" s="68">
        <v>44881</v>
      </c>
      <c r="P749" s="68">
        <v>44881</v>
      </c>
      <c r="Q749" s="57">
        <v>427000000.00000006</v>
      </c>
      <c r="R749" t="s">
        <v>748</v>
      </c>
    </row>
    <row r="750" spans="1:18">
      <c r="A750">
        <v>1771</v>
      </c>
      <c r="B750" t="s">
        <v>2650</v>
      </c>
      <c r="C750" t="s">
        <v>0</v>
      </c>
      <c r="D750" t="s">
        <v>2649</v>
      </c>
      <c r="E750" t="s">
        <v>1303</v>
      </c>
      <c r="I750" t="s">
        <v>2353</v>
      </c>
      <c r="K750" t="s">
        <v>313</v>
      </c>
      <c r="L750" s="67">
        <v>0.25</v>
      </c>
      <c r="N750" s="67">
        <v>0</v>
      </c>
      <c r="O750" s="68">
        <v>44883</v>
      </c>
      <c r="P750" s="68">
        <v>44883</v>
      </c>
      <c r="Q750" s="57">
        <v>24605453.157507669</v>
      </c>
      <c r="R750" t="s">
        <v>748</v>
      </c>
    </row>
    <row r="751" spans="1:18">
      <c r="A751">
        <v>1772</v>
      </c>
      <c r="B751" t="s">
        <v>2653</v>
      </c>
      <c r="C751" t="s">
        <v>0</v>
      </c>
      <c r="D751" t="s">
        <v>2651</v>
      </c>
      <c r="E751" t="s">
        <v>2652</v>
      </c>
      <c r="I751" t="s">
        <v>1272</v>
      </c>
      <c r="K751" t="s">
        <v>313</v>
      </c>
      <c r="L751" s="67">
        <v>0.25</v>
      </c>
      <c r="N751" s="67">
        <v>0.05</v>
      </c>
      <c r="O751" s="68">
        <v>44883</v>
      </c>
      <c r="P751" s="68">
        <v>44883</v>
      </c>
      <c r="Q751" s="57">
        <v>838570356.48811066</v>
      </c>
      <c r="R751" t="s">
        <v>748</v>
      </c>
    </row>
    <row r="752" spans="1:18">
      <c r="A752">
        <v>1773</v>
      </c>
      <c r="B752" t="s">
        <v>2655</v>
      </c>
      <c r="C752" t="s">
        <v>0</v>
      </c>
      <c r="D752" t="s">
        <v>2654</v>
      </c>
      <c r="E752">
        <v>1076024</v>
      </c>
      <c r="I752" t="s">
        <v>24</v>
      </c>
      <c r="K752" t="s">
        <v>313</v>
      </c>
      <c r="L752" s="67">
        <v>0.25</v>
      </c>
      <c r="N752" s="67">
        <v>0.05</v>
      </c>
      <c r="O752" s="68">
        <v>44883</v>
      </c>
      <c r="P752" s="68">
        <v>44883</v>
      </c>
      <c r="Q752" s="57">
        <v>241995613.50892505</v>
      </c>
      <c r="R752" t="s">
        <v>748</v>
      </c>
    </row>
    <row r="753" spans="1:18">
      <c r="A753">
        <v>1774</v>
      </c>
      <c r="B753" t="s">
        <v>2657</v>
      </c>
      <c r="C753" t="s">
        <v>0</v>
      </c>
      <c r="D753" t="s">
        <v>2656</v>
      </c>
      <c r="I753" t="s">
        <v>881</v>
      </c>
      <c r="K753" t="s">
        <v>313</v>
      </c>
      <c r="L753" s="67">
        <v>0.25</v>
      </c>
      <c r="N753" s="67">
        <v>0.05</v>
      </c>
      <c r="O753" s="68">
        <v>44883</v>
      </c>
      <c r="P753" s="68">
        <v>44883</v>
      </c>
      <c r="Q753" s="57">
        <v>143283675.40136844</v>
      </c>
      <c r="R753" t="s">
        <v>748</v>
      </c>
    </row>
    <row r="754" spans="1:18">
      <c r="A754">
        <v>1775</v>
      </c>
      <c r="B754" t="s">
        <v>2658</v>
      </c>
      <c r="C754" t="s">
        <v>0</v>
      </c>
      <c r="D754" t="s">
        <v>2656</v>
      </c>
      <c r="I754" t="s">
        <v>881</v>
      </c>
      <c r="K754" t="s">
        <v>313</v>
      </c>
      <c r="L754" s="67">
        <v>0.25</v>
      </c>
      <c r="N754" s="67">
        <v>0.05</v>
      </c>
      <c r="O754" s="68">
        <v>44883</v>
      </c>
      <c r="P754" s="68">
        <v>44883</v>
      </c>
      <c r="Q754" s="57">
        <v>63001680.065704972</v>
      </c>
      <c r="R754" t="s">
        <v>748</v>
      </c>
    </row>
    <row r="755" spans="1:18">
      <c r="A755">
        <v>1776</v>
      </c>
      <c r="B755" t="s">
        <v>2660</v>
      </c>
      <c r="C755" t="s">
        <v>0</v>
      </c>
      <c r="D755" t="s">
        <v>2659</v>
      </c>
      <c r="I755" t="s">
        <v>24</v>
      </c>
      <c r="K755" t="s">
        <v>313</v>
      </c>
      <c r="L755" s="67">
        <v>0.25</v>
      </c>
      <c r="N755" s="67">
        <v>0.05</v>
      </c>
      <c r="O755" s="68">
        <v>44883</v>
      </c>
      <c r="P755" s="68">
        <v>44883</v>
      </c>
      <c r="Q755" s="57">
        <v>63001680.065704972</v>
      </c>
      <c r="R755" t="s">
        <v>748</v>
      </c>
    </row>
    <row r="756" spans="1:18">
      <c r="A756">
        <v>1777</v>
      </c>
      <c r="B756" t="s">
        <v>2662</v>
      </c>
      <c r="C756" t="s">
        <v>0</v>
      </c>
      <c r="D756" t="s">
        <v>2661</v>
      </c>
      <c r="I756" t="s">
        <v>24</v>
      </c>
      <c r="K756" t="s">
        <v>313</v>
      </c>
      <c r="L756" s="67">
        <v>0.25</v>
      </c>
      <c r="N756" s="67">
        <v>0.05</v>
      </c>
      <c r="O756" s="68">
        <v>44883</v>
      </c>
      <c r="P756" s="68">
        <v>44883</v>
      </c>
      <c r="Q756" s="57">
        <v>53206943.099268399</v>
      </c>
      <c r="R756" t="s">
        <v>748</v>
      </c>
    </row>
    <row r="757" spans="1:18">
      <c r="A757">
        <v>1778</v>
      </c>
      <c r="B757" t="s">
        <v>2664</v>
      </c>
      <c r="C757" t="s">
        <v>0</v>
      </c>
      <c r="D757" t="s">
        <v>2663</v>
      </c>
      <c r="I757" t="s">
        <v>1434</v>
      </c>
      <c r="K757" t="s">
        <v>313</v>
      </c>
      <c r="L757" s="67">
        <v>0.25</v>
      </c>
      <c r="N757" s="67">
        <v>0.05</v>
      </c>
      <c r="O757" s="68">
        <v>44883</v>
      </c>
      <c r="P757" s="68">
        <v>44883</v>
      </c>
      <c r="Q757" s="57">
        <v>377687682.04130369</v>
      </c>
      <c r="R757" t="s">
        <v>748</v>
      </c>
    </row>
    <row r="758" spans="1:18">
      <c r="A758">
        <v>1779</v>
      </c>
      <c r="B758" t="s">
        <v>2667</v>
      </c>
      <c r="C758" t="s">
        <v>10</v>
      </c>
      <c r="D758" t="s">
        <v>2665</v>
      </c>
      <c r="E758" t="s">
        <v>2666</v>
      </c>
      <c r="I758" t="s">
        <v>2666</v>
      </c>
      <c r="K758" t="s">
        <v>313</v>
      </c>
      <c r="L758" s="67">
        <v>0.25</v>
      </c>
      <c r="N758" s="67">
        <v>0.03</v>
      </c>
      <c r="O758" s="68">
        <v>44884</v>
      </c>
      <c r="P758" s="68">
        <v>44884</v>
      </c>
      <c r="Q758" s="57">
        <v>60344200.919483781</v>
      </c>
      <c r="R758" t="s">
        <v>748</v>
      </c>
    </row>
    <row r="759" spans="1:18">
      <c r="A759">
        <v>1780</v>
      </c>
      <c r="B759" t="s">
        <v>2668</v>
      </c>
      <c r="C759" t="s">
        <v>10</v>
      </c>
      <c r="D759" t="s">
        <v>2665</v>
      </c>
      <c r="E759" t="s">
        <v>2666</v>
      </c>
      <c r="I759" t="s">
        <v>2666</v>
      </c>
      <c r="K759" t="s">
        <v>313</v>
      </c>
      <c r="L759" s="67">
        <v>0.25</v>
      </c>
      <c r="N759" s="67">
        <v>0.03</v>
      </c>
      <c r="O759" s="68">
        <v>44884</v>
      </c>
      <c r="P759" s="68">
        <v>44884</v>
      </c>
      <c r="Q759" s="57">
        <v>13839790.951817375</v>
      </c>
      <c r="R759" t="s">
        <v>748</v>
      </c>
    </row>
    <row r="760" spans="1:18">
      <c r="A760">
        <v>1781</v>
      </c>
      <c r="B760" t="s">
        <v>2670</v>
      </c>
      <c r="C760" t="s">
        <v>0</v>
      </c>
      <c r="D760" t="s">
        <v>2669</v>
      </c>
      <c r="I760" t="s">
        <v>24</v>
      </c>
      <c r="K760" t="s">
        <v>313</v>
      </c>
      <c r="L760" s="67">
        <v>0.25</v>
      </c>
      <c r="N760" s="67">
        <v>0.03</v>
      </c>
      <c r="O760" s="68">
        <v>44884</v>
      </c>
      <c r="P760" s="68">
        <v>44884</v>
      </c>
      <c r="Q760" s="57">
        <v>542639483.46866477</v>
      </c>
      <c r="R760" t="s">
        <v>748</v>
      </c>
    </row>
    <row r="761" spans="1:18">
      <c r="A761">
        <v>1782</v>
      </c>
      <c r="B761" t="s">
        <v>2672</v>
      </c>
      <c r="C761" t="s">
        <v>0</v>
      </c>
      <c r="D761" t="s">
        <v>2671</v>
      </c>
      <c r="E761" t="s">
        <v>1303</v>
      </c>
      <c r="I761" t="s">
        <v>1134</v>
      </c>
      <c r="K761" t="s">
        <v>313</v>
      </c>
      <c r="L761" s="67">
        <v>0.25</v>
      </c>
      <c r="N761" s="67">
        <v>0</v>
      </c>
      <c r="O761" s="68">
        <v>44886</v>
      </c>
      <c r="P761" s="68">
        <v>44886</v>
      </c>
      <c r="Q761" s="57">
        <v>44584878.492749393</v>
      </c>
      <c r="R761" t="s">
        <v>748</v>
      </c>
    </row>
    <row r="762" spans="1:18">
      <c r="A762">
        <v>1783</v>
      </c>
      <c r="B762" t="s">
        <v>2675</v>
      </c>
      <c r="C762" t="s">
        <v>0</v>
      </c>
      <c r="D762" t="s">
        <v>2673</v>
      </c>
      <c r="E762" t="s">
        <v>2674</v>
      </c>
      <c r="I762" t="s">
        <v>1505</v>
      </c>
      <c r="K762" t="s">
        <v>313</v>
      </c>
      <c r="L762" s="67">
        <v>0.25</v>
      </c>
      <c r="N762" s="67">
        <v>0</v>
      </c>
      <c r="O762" s="68">
        <v>44886</v>
      </c>
      <c r="P762" s="68">
        <v>44886</v>
      </c>
      <c r="Q762" s="57">
        <v>10426133.807716114</v>
      </c>
      <c r="R762" t="s">
        <v>748</v>
      </c>
    </row>
    <row r="763" spans="1:18">
      <c r="A763">
        <v>1784</v>
      </c>
      <c r="B763" t="s">
        <v>2677</v>
      </c>
      <c r="C763" t="s">
        <v>0</v>
      </c>
      <c r="D763" t="s">
        <v>2673</v>
      </c>
      <c r="E763" t="s">
        <v>2676</v>
      </c>
      <c r="I763" t="s">
        <v>1505</v>
      </c>
      <c r="K763" t="s">
        <v>313</v>
      </c>
      <c r="L763" s="67">
        <v>0.25</v>
      </c>
      <c r="N763" s="67">
        <v>0</v>
      </c>
      <c r="O763" s="68">
        <v>44886</v>
      </c>
      <c r="P763" s="68">
        <v>44886</v>
      </c>
      <c r="Q763" s="57">
        <v>14138095.010331521</v>
      </c>
      <c r="R763" t="s">
        <v>748</v>
      </c>
    </row>
    <row r="764" spans="1:18">
      <c r="A764">
        <v>1785</v>
      </c>
      <c r="B764" t="s">
        <v>2680</v>
      </c>
      <c r="C764" t="s">
        <v>0</v>
      </c>
      <c r="D764" t="s">
        <v>2678</v>
      </c>
      <c r="E764" t="s">
        <v>2679</v>
      </c>
      <c r="I764" t="s">
        <v>1434</v>
      </c>
      <c r="K764" t="s">
        <v>313</v>
      </c>
      <c r="L764" s="67">
        <v>0.25</v>
      </c>
      <c r="N764" s="67">
        <v>0</v>
      </c>
      <c r="O764" s="68">
        <v>44886</v>
      </c>
      <c r="P764" s="68">
        <v>44886</v>
      </c>
      <c r="Q764" s="57">
        <v>136193539.03474683</v>
      </c>
      <c r="R764" t="s">
        <v>748</v>
      </c>
    </row>
    <row r="765" spans="1:18">
      <c r="A765">
        <v>1786</v>
      </c>
      <c r="B765" t="s">
        <v>2681</v>
      </c>
      <c r="C765" t="s">
        <v>7</v>
      </c>
      <c r="D765" t="s">
        <v>2512</v>
      </c>
      <c r="I765" t="s">
        <v>24</v>
      </c>
      <c r="K765" t="s">
        <v>313</v>
      </c>
      <c r="L765" s="67">
        <v>0.25</v>
      </c>
      <c r="N765" s="67">
        <v>0</v>
      </c>
      <c r="O765" s="68">
        <v>44886</v>
      </c>
      <c r="P765" s="68">
        <v>44886</v>
      </c>
      <c r="Q765" s="57">
        <v>76326344.705709308</v>
      </c>
      <c r="R765" t="s">
        <v>748</v>
      </c>
    </row>
    <row r="766" spans="1:18">
      <c r="A766">
        <v>1787</v>
      </c>
      <c r="B766" t="s">
        <v>2682</v>
      </c>
      <c r="C766" t="s">
        <v>7</v>
      </c>
      <c r="D766" t="s">
        <v>2512</v>
      </c>
      <c r="I766" t="s">
        <v>24</v>
      </c>
      <c r="K766" t="s">
        <v>313</v>
      </c>
      <c r="L766" s="67">
        <v>0.25</v>
      </c>
      <c r="N766" s="67">
        <v>0</v>
      </c>
      <c r="O766" s="68">
        <v>44886</v>
      </c>
      <c r="P766" s="68">
        <v>44886</v>
      </c>
      <c r="Q766" s="57">
        <v>77603466.036909327</v>
      </c>
      <c r="R766" t="s">
        <v>748</v>
      </c>
    </row>
    <row r="767" spans="1:18">
      <c r="A767">
        <v>1788</v>
      </c>
      <c r="B767" t="s">
        <v>2683</v>
      </c>
      <c r="C767" t="s">
        <v>0</v>
      </c>
      <c r="D767" t="s">
        <v>2635</v>
      </c>
      <c r="I767" t="s">
        <v>2503</v>
      </c>
      <c r="K767" t="s">
        <v>313</v>
      </c>
      <c r="L767" s="67">
        <v>0.2417497536747156</v>
      </c>
      <c r="N767" s="67">
        <v>0</v>
      </c>
      <c r="O767" s="68">
        <v>44887</v>
      </c>
      <c r="P767" s="68">
        <v>44887</v>
      </c>
      <c r="Q767" s="57">
        <v>14224046.000734435</v>
      </c>
      <c r="R767" t="s">
        <v>748</v>
      </c>
    </row>
    <row r="768" spans="1:18">
      <c r="A768">
        <v>1789</v>
      </c>
      <c r="B768" t="s">
        <v>2685</v>
      </c>
      <c r="C768" t="s">
        <v>0</v>
      </c>
      <c r="D768" t="s">
        <v>2305</v>
      </c>
      <c r="E768" t="s">
        <v>2684</v>
      </c>
      <c r="I768" t="s">
        <v>2684</v>
      </c>
      <c r="K768" t="s">
        <v>313</v>
      </c>
      <c r="L768" s="67">
        <v>0.25</v>
      </c>
      <c r="N768" s="67">
        <v>0</v>
      </c>
      <c r="O768" s="68">
        <v>44888</v>
      </c>
      <c r="P768" s="68">
        <v>44888</v>
      </c>
      <c r="Q768" s="57">
        <v>16435964.067287637</v>
      </c>
      <c r="R768" t="s">
        <v>748</v>
      </c>
    </row>
    <row r="769" spans="1:18">
      <c r="A769">
        <v>1790</v>
      </c>
      <c r="B769" t="s">
        <v>2686</v>
      </c>
      <c r="C769" t="s">
        <v>7</v>
      </c>
      <c r="D769" t="s">
        <v>2345</v>
      </c>
      <c r="E769" t="s">
        <v>1136</v>
      </c>
      <c r="I769" t="s">
        <v>1136</v>
      </c>
      <c r="K769" t="s">
        <v>313</v>
      </c>
      <c r="L769" s="67">
        <v>0.25</v>
      </c>
      <c r="N769" s="67">
        <v>0.05</v>
      </c>
      <c r="O769" s="68">
        <v>44888</v>
      </c>
      <c r="P769" s="68">
        <v>44888</v>
      </c>
      <c r="Q769" s="57">
        <v>456001741.99578756</v>
      </c>
      <c r="R769" t="s">
        <v>748</v>
      </c>
    </row>
    <row r="770" spans="1:18">
      <c r="A770">
        <v>1791</v>
      </c>
      <c r="B770" t="s">
        <v>2687</v>
      </c>
      <c r="C770" t="s">
        <v>7</v>
      </c>
      <c r="D770" t="s">
        <v>2345</v>
      </c>
      <c r="E770" t="s">
        <v>1136</v>
      </c>
      <c r="I770" t="s">
        <v>1136</v>
      </c>
      <c r="K770" t="s">
        <v>313</v>
      </c>
      <c r="L770" s="67">
        <v>0.25</v>
      </c>
      <c r="N770" s="67">
        <v>0.05</v>
      </c>
      <c r="O770" s="68">
        <v>44888</v>
      </c>
      <c r="P770" s="68">
        <v>44888</v>
      </c>
      <c r="Q770" s="57">
        <v>427367657.99999994</v>
      </c>
      <c r="R770" t="s">
        <v>748</v>
      </c>
    </row>
    <row r="771" spans="1:18">
      <c r="A771">
        <v>1792</v>
      </c>
      <c r="B771" t="s">
        <v>2689</v>
      </c>
      <c r="C771" t="s">
        <v>0</v>
      </c>
      <c r="D771" t="s">
        <v>2673</v>
      </c>
      <c r="E771" t="s">
        <v>2688</v>
      </c>
      <c r="I771" t="s">
        <v>1505</v>
      </c>
      <c r="K771" t="s">
        <v>313</v>
      </c>
      <c r="L771" s="67">
        <v>0.25</v>
      </c>
      <c r="N771" s="67">
        <v>0</v>
      </c>
      <c r="O771" s="68">
        <v>44889</v>
      </c>
      <c r="P771" s="68">
        <v>44889</v>
      </c>
      <c r="Q771" s="57">
        <v>19891309.600085262</v>
      </c>
      <c r="R771" t="s">
        <v>748</v>
      </c>
    </row>
    <row r="772" spans="1:18">
      <c r="A772">
        <v>1793</v>
      </c>
      <c r="B772" t="s">
        <v>2690</v>
      </c>
      <c r="C772" t="s">
        <v>0</v>
      </c>
      <c r="D772" t="s">
        <v>2673</v>
      </c>
      <c r="E772" t="s">
        <v>2688</v>
      </c>
      <c r="I772" t="s">
        <v>1505</v>
      </c>
      <c r="K772" t="s">
        <v>313</v>
      </c>
      <c r="L772" s="67">
        <v>0.25</v>
      </c>
      <c r="N772" s="67">
        <v>0</v>
      </c>
      <c r="O772" s="68">
        <v>44889</v>
      </c>
      <c r="P772" s="68">
        <v>44889</v>
      </c>
      <c r="Q772" s="57">
        <v>19891309.600085262</v>
      </c>
      <c r="R772" t="s">
        <v>748</v>
      </c>
    </row>
    <row r="773" spans="1:18">
      <c r="A773">
        <v>1794</v>
      </c>
      <c r="B773" t="s">
        <v>2692</v>
      </c>
      <c r="C773" t="s">
        <v>0</v>
      </c>
      <c r="D773" t="s">
        <v>2673</v>
      </c>
      <c r="E773" t="s">
        <v>2691</v>
      </c>
      <c r="I773" t="s">
        <v>1505</v>
      </c>
      <c r="K773" t="s">
        <v>313</v>
      </c>
      <c r="L773" s="67">
        <v>0.25</v>
      </c>
      <c r="N773" s="67">
        <v>0</v>
      </c>
      <c r="O773" s="68">
        <v>44889</v>
      </c>
      <c r="P773" s="68">
        <v>44889</v>
      </c>
      <c r="Q773" s="57">
        <v>23737934.41012634</v>
      </c>
      <c r="R773" t="s">
        <v>748</v>
      </c>
    </row>
    <row r="774" spans="1:18">
      <c r="A774">
        <v>1795</v>
      </c>
      <c r="B774" t="s">
        <v>2693</v>
      </c>
      <c r="C774" t="s">
        <v>0</v>
      </c>
      <c r="D774" t="s">
        <v>2673</v>
      </c>
      <c r="E774" t="s">
        <v>2691</v>
      </c>
      <c r="I774" t="s">
        <v>1505</v>
      </c>
      <c r="K774" t="s">
        <v>313</v>
      </c>
      <c r="L774" s="67">
        <v>0.25</v>
      </c>
      <c r="N774" s="67">
        <v>0</v>
      </c>
      <c r="O774" s="68">
        <v>44889</v>
      </c>
      <c r="P774" s="68">
        <v>44889</v>
      </c>
      <c r="Q774" s="57">
        <v>24120612.821373221</v>
      </c>
      <c r="R774" t="s">
        <v>748</v>
      </c>
    </row>
    <row r="775" spans="1:18">
      <c r="A775">
        <v>1796</v>
      </c>
      <c r="B775" t="s">
        <v>2694</v>
      </c>
      <c r="C775" t="s">
        <v>0</v>
      </c>
      <c r="D775" t="s">
        <v>2673</v>
      </c>
      <c r="E775" t="s">
        <v>2688</v>
      </c>
      <c r="I775" t="s">
        <v>1505</v>
      </c>
      <c r="K775" t="s">
        <v>313</v>
      </c>
      <c r="L775" s="67">
        <v>0.25</v>
      </c>
      <c r="N775" s="67">
        <v>0</v>
      </c>
      <c r="O775" s="68">
        <v>44889</v>
      </c>
      <c r="P775" s="68">
        <v>44889</v>
      </c>
      <c r="Q775" s="57">
        <v>20175529.864091508</v>
      </c>
      <c r="R775" t="s">
        <v>748</v>
      </c>
    </row>
    <row r="776" spans="1:18">
      <c r="A776">
        <v>1797</v>
      </c>
      <c r="B776" t="s">
        <v>2697</v>
      </c>
      <c r="C776" t="s">
        <v>0</v>
      </c>
      <c r="D776" t="s">
        <v>2695</v>
      </c>
      <c r="E776" t="s">
        <v>2696</v>
      </c>
      <c r="I776" t="s">
        <v>1434</v>
      </c>
      <c r="K776" t="s">
        <v>313</v>
      </c>
      <c r="L776" s="67">
        <v>0.252</v>
      </c>
      <c r="N776" s="67">
        <v>0</v>
      </c>
      <c r="O776" s="68">
        <v>44889</v>
      </c>
      <c r="P776" s="68">
        <v>44889</v>
      </c>
      <c r="Q776" s="57">
        <v>45094909.149681874</v>
      </c>
      <c r="R776" t="s">
        <v>748</v>
      </c>
    </row>
    <row r="777" spans="1:18">
      <c r="A777">
        <v>1798</v>
      </c>
      <c r="B777" t="s">
        <v>2699</v>
      </c>
      <c r="C777" t="s">
        <v>0</v>
      </c>
      <c r="D777" t="s">
        <v>2698</v>
      </c>
      <c r="E777" t="s">
        <v>2696</v>
      </c>
      <c r="I777" t="s">
        <v>1434</v>
      </c>
      <c r="K777" t="s">
        <v>313</v>
      </c>
      <c r="L777" s="67">
        <v>0.21613413136927503</v>
      </c>
      <c r="N777" s="67">
        <v>0</v>
      </c>
      <c r="O777" s="68">
        <v>44889</v>
      </c>
      <c r="P777" s="68">
        <v>44889</v>
      </c>
      <c r="Q777" s="57">
        <v>56040026.871421002</v>
      </c>
      <c r="R777" t="s">
        <v>748</v>
      </c>
    </row>
    <row r="778" spans="1:18">
      <c r="A778">
        <v>1799</v>
      </c>
      <c r="B778" t="s">
        <v>2704</v>
      </c>
      <c r="C778" t="s">
        <v>3</v>
      </c>
      <c r="D778" t="s">
        <v>2678</v>
      </c>
      <c r="E778" t="s">
        <v>1303</v>
      </c>
      <c r="I778" t="s">
        <v>2703</v>
      </c>
      <c r="K778" t="s">
        <v>313</v>
      </c>
      <c r="L778" s="67">
        <v>0.13062738620582129</v>
      </c>
      <c r="N778" s="67">
        <v>0</v>
      </c>
      <c r="O778" s="68">
        <v>44890</v>
      </c>
      <c r="P778" s="68">
        <v>44890</v>
      </c>
      <c r="Q778" s="57">
        <v>75259035.000000015</v>
      </c>
      <c r="R778" t="s">
        <v>748</v>
      </c>
    </row>
    <row r="779" spans="1:18">
      <c r="A779">
        <v>1800</v>
      </c>
      <c r="B779" t="s">
        <v>2707</v>
      </c>
      <c r="C779" t="s">
        <v>7</v>
      </c>
      <c r="D779" t="s">
        <v>2705</v>
      </c>
      <c r="E779" t="s">
        <v>2706</v>
      </c>
      <c r="I779" t="s">
        <v>24</v>
      </c>
      <c r="K779" t="s">
        <v>313</v>
      </c>
      <c r="L779" s="67">
        <v>0.25</v>
      </c>
      <c r="N779" s="67">
        <v>0</v>
      </c>
      <c r="O779" s="68">
        <v>44890</v>
      </c>
      <c r="P779" s="68">
        <v>44890</v>
      </c>
      <c r="Q779" s="57">
        <v>77597013.650556907</v>
      </c>
      <c r="R779" t="s">
        <v>748</v>
      </c>
    </row>
    <row r="780" spans="1:18">
      <c r="A780">
        <v>1801</v>
      </c>
      <c r="B780" t="s">
        <v>2709</v>
      </c>
      <c r="C780" t="s">
        <v>0</v>
      </c>
      <c r="D780" t="s">
        <v>2708</v>
      </c>
      <c r="I780" t="s">
        <v>1651</v>
      </c>
      <c r="K780" t="s">
        <v>313</v>
      </c>
      <c r="L780" s="67">
        <v>0.24127533354547953</v>
      </c>
      <c r="N780" s="67">
        <v>0</v>
      </c>
      <c r="O780" s="68">
        <v>44890</v>
      </c>
      <c r="P780" s="68">
        <v>44890</v>
      </c>
      <c r="Q780" s="57">
        <v>46482870.000000007</v>
      </c>
      <c r="R780" t="s">
        <v>748</v>
      </c>
    </row>
    <row r="781" spans="1:18">
      <c r="A781">
        <v>1802</v>
      </c>
      <c r="B781" t="s">
        <v>2710</v>
      </c>
      <c r="C781" t="s">
        <v>0</v>
      </c>
      <c r="D781" t="s">
        <v>2708</v>
      </c>
      <c r="E781" t="s">
        <v>2059</v>
      </c>
      <c r="I781" t="s">
        <v>1651</v>
      </c>
      <c r="K781" t="s">
        <v>313</v>
      </c>
      <c r="L781" s="67">
        <v>0.24127533354547953</v>
      </c>
      <c r="N781" s="67">
        <v>0.02</v>
      </c>
      <c r="O781" s="68">
        <v>44890</v>
      </c>
      <c r="P781" s="68">
        <v>44890</v>
      </c>
      <c r="Q781" s="57">
        <v>47342723.306236483</v>
      </c>
      <c r="R781" t="s">
        <v>748</v>
      </c>
    </row>
    <row r="782" spans="1:18">
      <c r="A782">
        <v>1803</v>
      </c>
      <c r="B782" t="s">
        <v>2712</v>
      </c>
      <c r="C782" t="s">
        <v>0</v>
      </c>
      <c r="D782" t="s">
        <v>2711</v>
      </c>
      <c r="E782" t="s">
        <v>1835</v>
      </c>
      <c r="I782" t="s">
        <v>1434</v>
      </c>
      <c r="K782" t="s">
        <v>313</v>
      </c>
      <c r="L782" s="67">
        <v>0.25</v>
      </c>
      <c r="N782" s="67">
        <v>0</v>
      </c>
      <c r="O782" s="68">
        <v>44892</v>
      </c>
      <c r="P782" s="68">
        <v>44892</v>
      </c>
      <c r="Q782" s="57">
        <v>519235382.22188753</v>
      </c>
      <c r="R782" t="s">
        <v>748</v>
      </c>
    </row>
    <row r="783" spans="1:18">
      <c r="A783">
        <v>1804</v>
      </c>
      <c r="B783" t="s">
        <v>2714</v>
      </c>
      <c r="C783" t="s">
        <v>0</v>
      </c>
      <c r="D783" t="s">
        <v>2711</v>
      </c>
      <c r="E783" t="s">
        <v>2713</v>
      </c>
      <c r="I783" t="s">
        <v>1434</v>
      </c>
      <c r="K783" t="s">
        <v>313</v>
      </c>
      <c r="L783" s="67">
        <v>0.25</v>
      </c>
      <c r="N783" s="67">
        <v>0</v>
      </c>
      <c r="O783" s="68">
        <v>44892</v>
      </c>
      <c r="P783" s="68">
        <v>44892</v>
      </c>
      <c r="Q783" s="57">
        <v>183495872.56128085</v>
      </c>
      <c r="R783" t="s">
        <v>748</v>
      </c>
    </row>
    <row r="784" spans="1:18">
      <c r="A784">
        <v>1805</v>
      </c>
      <c r="B784" t="s">
        <v>2716</v>
      </c>
      <c r="C784" t="s">
        <v>0</v>
      </c>
      <c r="D784" t="s">
        <v>873</v>
      </c>
      <c r="E784" t="s">
        <v>1303</v>
      </c>
      <c r="I784" t="s">
        <v>1134</v>
      </c>
      <c r="K784" t="s">
        <v>313</v>
      </c>
      <c r="L784" s="67">
        <v>0.25</v>
      </c>
      <c r="N784" s="67">
        <v>0</v>
      </c>
      <c r="O784" s="68">
        <v>44893</v>
      </c>
      <c r="P784" s="68">
        <v>44893</v>
      </c>
      <c r="Q784" s="57">
        <v>54147399.597437724</v>
      </c>
      <c r="R784" t="s">
        <v>748</v>
      </c>
    </row>
    <row r="785" spans="1:18">
      <c r="A785">
        <v>1806</v>
      </c>
      <c r="B785" t="s">
        <v>2719</v>
      </c>
      <c r="C785" t="s">
        <v>0</v>
      </c>
      <c r="D785" t="s">
        <v>2717</v>
      </c>
      <c r="E785" t="s">
        <v>2718</v>
      </c>
      <c r="I785" t="s">
        <v>1434</v>
      </c>
      <c r="K785" t="s">
        <v>313</v>
      </c>
      <c r="L785" s="67">
        <v>0.25</v>
      </c>
      <c r="N785" s="67">
        <v>0.04</v>
      </c>
      <c r="O785" s="68">
        <v>44894</v>
      </c>
      <c r="P785" s="68">
        <v>44894</v>
      </c>
      <c r="Q785" s="57">
        <v>70633389.870535523</v>
      </c>
      <c r="R785" t="s">
        <v>748</v>
      </c>
    </row>
    <row r="786" spans="1:18">
      <c r="A786">
        <v>1807</v>
      </c>
      <c r="B786" t="s">
        <v>2720</v>
      </c>
      <c r="C786" t="s">
        <v>0</v>
      </c>
      <c r="D786" t="s">
        <v>2717</v>
      </c>
      <c r="E786" t="s">
        <v>2718</v>
      </c>
      <c r="I786" t="s">
        <v>1434</v>
      </c>
      <c r="K786" t="s">
        <v>313</v>
      </c>
      <c r="L786" s="67">
        <v>0.25</v>
      </c>
      <c r="N786" s="67">
        <v>0.04</v>
      </c>
      <c r="O786" s="68">
        <v>44894</v>
      </c>
      <c r="P786" s="68">
        <v>44894</v>
      </c>
      <c r="Q786" s="57">
        <v>70633389.870535523</v>
      </c>
      <c r="R786" t="s">
        <v>748</v>
      </c>
    </row>
    <row r="787" spans="1:18">
      <c r="A787">
        <v>1808</v>
      </c>
      <c r="B787" t="s">
        <v>2722</v>
      </c>
      <c r="C787" t="s">
        <v>0</v>
      </c>
      <c r="D787" t="s">
        <v>2717</v>
      </c>
      <c r="E787" t="s">
        <v>2721</v>
      </c>
      <c r="I787" t="s">
        <v>1434</v>
      </c>
      <c r="K787" t="s">
        <v>313</v>
      </c>
      <c r="L787" s="67">
        <v>0.25</v>
      </c>
      <c r="N787" s="67">
        <v>0.04</v>
      </c>
      <c r="O787" s="68">
        <v>44894</v>
      </c>
      <c r="P787" s="68">
        <v>44894</v>
      </c>
      <c r="Q787" s="57">
        <v>37617437.501878068</v>
      </c>
      <c r="R787" t="s">
        <v>748</v>
      </c>
    </row>
    <row r="788" spans="1:18">
      <c r="A788">
        <v>1809</v>
      </c>
      <c r="B788" t="s">
        <v>2724</v>
      </c>
      <c r="C788" t="s">
        <v>10</v>
      </c>
      <c r="D788" t="s">
        <v>2723</v>
      </c>
      <c r="I788" t="s">
        <v>1434</v>
      </c>
      <c r="K788" t="s">
        <v>313</v>
      </c>
      <c r="L788" s="67">
        <v>0.25</v>
      </c>
      <c r="N788" s="67">
        <v>0.05</v>
      </c>
      <c r="O788" s="68">
        <v>44895</v>
      </c>
      <c r="P788" s="68">
        <v>44895</v>
      </c>
      <c r="Q788" s="57">
        <v>300428589.43363547</v>
      </c>
      <c r="R788" t="s">
        <v>748</v>
      </c>
    </row>
    <row r="789" spans="1:18">
      <c r="A789">
        <v>1810</v>
      </c>
      <c r="B789" t="s">
        <v>2726</v>
      </c>
      <c r="C789" t="s">
        <v>0</v>
      </c>
      <c r="D789" t="s">
        <v>2717</v>
      </c>
      <c r="E789" t="s">
        <v>2725</v>
      </c>
      <c r="I789" t="s">
        <v>1434</v>
      </c>
      <c r="K789" t="s">
        <v>313</v>
      </c>
      <c r="L789" s="67">
        <v>0.25</v>
      </c>
      <c r="N789" s="67">
        <v>0.04</v>
      </c>
      <c r="O789" s="68">
        <v>44896</v>
      </c>
      <c r="P789" s="68">
        <v>44896</v>
      </c>
      <c r="Q789" s="57">
        <v>49467737.436409712</v>
      </c>
      <c r="R789" t="s">
        <v>748</v>
      </c>
    </row>
    <row r="790" spans="1:18">
      <c r="A790">
        <v>1811</v>
      </c>
      <c r="B790" t="s">
        <v>2729</v>
      </c>
      <c r="C790" t="s">
        <v>0</v>
      </c>
      <c r="D790" t="s">
        <v>2572</v>
      </c>
      <c r="E790" t="s">
        <v>750</v>
      </c>
      <c r="I790" t="s">
        <v>1055</v>
      </c>
      <c r="K790" t="s">
        <v>313</v>
      </c>
      <c r="L790" s="67">
        <v>0.25</v>
      </c>
      <c r="N790" s="67">
        <v>0</v>
      </c>
      <c r="O790" s="68">
        <v>44900</v>
      </c>
      <c r="P790" s="68">
        <v>44900</v>
      </c>
      <c r="Q790" s="57">
        <v>12173241.541196531</v>
      </c>
      <c r="R790" t="s">
        <v>748</v>
      </c>
    </row>
    <row r="791" spans="1:18">
      <c r="A791">
        <v>1812</v>
      </c>
      <c r="B791" t="s">
        <v>2732</v>
      </c>
      <c r="C791" t="s">
        <v>7</v>
      </c>
      <c r="D791" t="s">
        <v>2731</v>
      </c>
      <c r="E791" t="s">
        <v>2362</v>
      </c>
      <c r="I791" t="s">
        <v>2362</v>
      </c>
      <c r="K791" t="s">
        <v>313</v>
      </c>
      <c r="L791" s="67">
        <v>0.25</v>
      </c>
      <c r="N791" s="67">
        <v>0.05</v>
      </c>
      <c r="O791" s="68">
        <v>44909</v>
      </c>
      <c r="P791" s="68">
        <v>44909</v>
      </c>
      <c r="Q791" s="57">
        <v>194773391.59936479</v>
      </c>
      <c r="R791" t="s">
        <v>748</v>
      </c>
    </row>
    <row r="792" spans="1:18">
      <c r="A792">
        <v>1813</v>
      </c>
      <c r="B792" t="s">
        <v>2733</v>
      </c>
      <c r="C792" t="s">
        <v>10</v>
      </c>
      <c r="D792" t="s">
        <v>2005</v>
      </c>
      <c r="E792">
        <v>44896</v>
      </c>
      <c r="I792" t="s">
        <v>1434</v>
      </c>
      <c r="K792" t="s">
        <v>313</v>
      </c>
      <c r="L792" s="67">
        <v>0.25</v>
      </c>
      <c r="N792" s="67">
        <v>0.05</v>
      </c>
      <c r="O792" s="68">
        <v>44909</v>
      </c>
      <c r="P792" s="68">
        <v>44909</v>
      </c>
      <c r="Q792" s="57">
        <v>372335969.94537944</v>
      </c>
      <c r="R792" t="s">
        <v>748</v>
      </c>
    </row>
    <row r="793" spans="1:18">
      <c r="A793">
        <v>1814</v>
      </c>
      <c r="B793" t="s">
        <v>2736</v>
      </c>
      <c r="C793" t="s">
        <v>0</v>
      </c>
      <c r="D793" t="s">
        <v>2735</v>
      </c>
      <c r="E793" t="s">
        <v>1570</v>
      </c>
      <c r="I793" t="s">
        <v>24</v>
      </c>
      <c r="K793" t="s">
        <v>313</v>
      </c>
      <c r="L793" s="67">
        <v>0.25</v>
      </c>
      <c r="N793" s="67">
        <v>0</v>
      </c>
      <c r="O793" s="68">
        <v>44914</v>
      </c>
      <c r="P793" s="68">
        <v>44914</v>
      </c>
      <c r="Q793" s="57">
        <v>13650147.453598749</v>
      </c>
      <c r="R793" t="s">
        <v>748</v>
      </c>
    </row>
    <row r="794" spans="1:18">
      <c r="A794">
        <v>1815</v>
      </c>
      <c r="B794" t="s">
        <v>2739</v>
      </c>
      <c r="C794" t="s">
        <v>0</v>
      </c>
      <c r="D794" t="s">
        <v>2737</v>
      </c>
      <c r="E794" t="s">
        <v>2738</v>
      </c>
      <c r="I794" t="s">
        <v>715</v>
      </c>
      <c r="K794" t="s">
        <v>313</v>
      </c>
      <c r="L794" s="67">
        <v>0.25</v>
      </c>
      <c r="N794" s="67">
        <v>0</v>
      </c>
      <c r="O794" s="68">
        <v>44914</v>
      </c>
      <c r="P794" s="68">
        <v>44914</v>
      </c>
      <c r="Q794" s="57">
        <v>17914014.285201874</v>
      </c>
      <c r="R794" t="s">
        <v>748</v>
      </c>
    </row>
    <row r="795" spans="1:18">
      <c r="A795">
        <v>1816</v>
      </c>
      <c r="B795" t="s">
        <v>2741</v>
      </c>
      <c r="C795" t="s">
        <v>7</v>
      </c>
      <c r="D795" t="s">
        <v>2740</v>
      </c>
      <c r="E795" t="s">
        <v>1089</v>
      </c>
      <c r="I795" t="s">
        <v>24</v>
      </c>
      <c r="K795" t="s">
        <v>313</v>
      </c>
      <c r="L795" s="67">
        <v>0.25</v>
      </c>
      <c r="N795" s="67">
        <v>0</v>
      </c>
      <c r="O795" s="68">
        <v>44921</v>
      </c>
      <c r="P795" s="68">
        <v>44921</v>
      </c>
      <c r="Q795" s="57">
        <v>30630802.415834602</v>
      </c>
      <c r="R795" t="s">
        <v>748</v>
      </c>
    </row>
    <row r="796" spans="1:18">
      <c r="A796">
        <v>1817</v>
      </c>
      <c r="B796" t="s">
        <v>2742</v>
      </c>
      <c r="C796" t="s">
        <v>7</v>
      </c>
      <c r="D796" t="s">
        <v>2740</v>
      </c>
      <c r="E796" t="s">
        <v>1089</v>
      </c>
      <c r="I796" t="s">
        <v>24</v>
      </c>
      <c r="K796" t="s">
        <v>313</v>
      </c>
      <c r="L796" s="67">
        <v>0.25</v>
      </c>
      <c r="N796" s="67">
        <v>0</v>
      </c>
      <c r="O796" s="68">
        <v>44921</v>
      </c>
      <c r="P796" s="68">
        <v>44921</v>
      </c>
      <c r="Q796" s="57">
        <v>30630802.415834602</v>
      </c>
      <c r="R796" t="s">
        <v>748</v>
      </c>
    </row>
    <row r="797" spans="1:18">
      <c r="A797">
        <v>1818</v>
      </c>
      <c r="B797" t="s">
        <v>2743</v>
      </c>
      <c r="C797" t="s">
        <v>7</v>
      </c>
      <c r="D797" t="s">
        <v>2740</v>
      </c>
      <c r="E797" t="s">
        <v>1089</v>
      </c>
      <c r="I797" t="s">
        <v>24</v>
      </c>
      <c r="K797" t="s">
        <v>313</v>
      </c>
      <c r="L797" s="67">
        <v>0.25</v>
      </c>
      <c r="N797" s="67">
        <v>0</v>
      </c>
      <c r="O797" s="68">
        <v>44921</v>
      </c>
      <c r="P797" s="68">
        <v>44921</v>
      </c>
      <c r="Q797" s="57">
        <v>30630802.415834602</v>
      </c>
      <c r="R797" t="s">
        <v>748</v>
      </c>
    </row>
    <row r="798" spans="1:18">
      <c r="A798">
        <v>1819</v>
      </c>
      <c r="B798" t="s">
        <v>2745</v>
      </c>
      <c r="C798" t="s">
        <v>7</v>
      </c>
      <c r="D798" t="s">
        <v>2740</v>
      </c>
      <c r="E798" t="s">
        <v>2744</v>
      </c>
      <c r="I798" t="s">
        <v>24</v>
      </c>
      <c r="K798" t="s">
        <v>313</v>
      </c>
      <c r="L798" s="67">
        <v>0.25</v>
      </c>
      <c r="N798" s="67">
        <v>0</v>
      </c>
      <c r="O798" s="68">
        <v>44921</v>
      </c>
      <c r="P798" s="68">
        <v>44921</v>
      </c>
      <c r="Q798" s="57">
        <v>71256598.261366591</v>
      </c>
      <c r="R798" t="s">
        <v>748</v>
      </c>
    </row>
    <row r="799" spans="1:18">
      <c r="A799">
        <v>1820</v>
      </c>
      <c r="B799" t="s">
        <v>2747</v>
      </c>
      <c r="C799" t="s">
        <v>0</v>
      </c>
      <c r="D799" t="s">
        <v>2746</v>
      </c>
      <c r="E799" t="s">
        <v>2000</v>
      </c>
      <c r="I799" t="s">
        <v>1434</v>
      </c>
      <c r="K799" t="s">
        <v>313</v>
      </c>
      <c r="L799" s="67">
        <v>0.24223808227222721</v>
      </c>
      <c r="N799" s="67">
        <v>0</v>
      </c>
      <c r="O799" s="68">
        <v>44922</v>
      </c>
      <c r="P799" s="68">
        <v>44922</v>
      </c>
      <c r="Q799" s="57">
        <v>15250000.000535766</v>
      </c>
      <c r="R799" t="s">
        <v>748</v>
      </c>
    </row>
    <row r="800" spans="1:18">
      <c r="A800">
        <v>1821</v>
      </c>
      <c r="B800" t="s">
        <v>2749</v>
      </c>
      <c r="C800" t="s">
        <v>0</v>
      </c>
      <c r="D800" t="s">
        <v>2748</v>
      </c>
      <c r="I800" t="s">
        <v>1434</v>
      </c>
      <c r="K800" t="s">
        <v>313</v>
      </c>
      <c r="L800" s="67">
        <v>0.25</v>
      </c>
      <c r="N800" s="67">
        <v>0.05</v>
      </c>
      <c r="O800" s="68">
        <v>44942</v>
      </c>
      <c r="P800" s="68">
        <v>44942</v>
      </c>
      <c r="Q800" s="57">
        <v>43606046.57802812</v>
      </c>
      <c r="R800" t="s">
        <v>748</v>
      </c>
    </row>
    <row r="801" spans="1:18">
      <c r="A801">
        <v>1822</v>
      </c>
      <c r="B801" t="s">
        <v>2750</v>
      </c>
      <c r="C801" t="s">
        <v>0</v>
      </c>
      <c r="D801" t="s">
        <v>2748</v>
      </c>
      <c r="I801" t="s">
        <v>1434</v>
      </c>
      <c r="K801" t="s">
        <v>313</v>
      </c>
      <c r="L801" s="67">
        <v>0.25</v>
      </c>
      <c r="N801" s="67">
        <v>0.05</v>
      </c>
      <c r="O801" s="68">
        <v>44942</v>
      </c>
      <c r="P801" s="68">
        <v>44942</v>
      </c>
      <c r="Q801" s="57">
        <v>43606046.57802812</v>
      </c>
      <c r="R801" t="s">
        <v>748</v>
      </c>
    </row>
    <row r="802" spans="1:18">
      <c r="A802">
        <v>1823</v>
      </c>
      <c r="B802" t="s">
        <v>2751</v>
      </c>
      <c r="C802" t="s">
        <v>0</v>
      </c>
      <c r="D802" t="s">
        <v>2748</v>
      </c>
      <c r="I802" t="s">
        <v>1434</v>
      </c>
      <c r="K802" t="s">
        <v>313</v>
      </c>
      <c r="L802" s="67">
        <v>0.25</v>
      </c>
      <c r="N802" s="67">
        <v>0.05</v>
      </c>
      <c r="O802" s="68">
        <v>44942</v>
      </c>
      <c r="P802" s="68">
        <v>44942</v>
      </c>
      <c r="Q802" s="57">
        <v>43606046.57802812</v>
      </c>
      <c r="R802" t="s">
        <v>748</v>
      </c>
    </row>
    <row r="803" spans="1:18">
      <c r="A803">
        <v>1824</v>
      </c>
      <c r="B803" t="s">
        <v>2753</v>
      </c>
      <c r="C803" t="s">
        <v>0</v>
      </c>
      <c r="D803" t="s">
        <v>2752</v>
      </c>
      <c r="I803" t="s">
        <v>1434</v>
      </c>
      <c r="K803" t="s">
        <v>313</v>
      </c>
      <c r="L803" s="67">
        <v>0.25</v>
      </c>
      <c r="N803" s="67">
        <v>0.05</v>
      </c>
      <c r="O803" s="68">
        <v>44942</v>
      </c>
      <c r="P803" s="68">
        <v>44942</v>
      </c>
      <c r="Q803" s="57">
        <v>70333617.192686126</v>
      </c>
      <c r="R803" t="s">
        <v>748</v>
      </c>
    </row>
    <row r="804" spans="1:18">
      <c r="A804">
        <v>1825</v>
      </c>
      <c r="B804" t="s">
        <v>2756</v>
      </c>
      <c r="C804" t="s">
        <v>0</v>
      </c>
      <c r="D804" t="s">
        <v>2754</v>
      </c>
      <c r="E804" t="s">
        <v>2755</v>
      </c>
      <c r="I804" t="s">
        <v>753</v>
      </c>
      <c r="K804" t="s">
        <v>313</v>
      </c>
      <c r="L804" s="67">
        <v>0.25</v>
      </c>
      <c r="N804" s="67">
        <v>0.05</v>
      </c>
      <c r="O804" s="68">
        <v>44942</v>
      </c>
      <c r="P804" s="68">
        <v>44942</v>
      </c>
      <c r="Q804" s="57">
        <v>19364174.423448324</v>
      </c>
      <c r="R804" t="s">
        <v>748</v>
      </c>
    </row>
    <row r="805" spans="1:18">
      <c r="A805">
        <v>1826</v>
      </c>
      <c r="B805" t="s">
        <v>2759</v>
      </c>
      <c r="C805" t="s">
        <v>7</v>
      </c>
      <c r="D805" t="s">
        <v>2757</v>
      </c>
      <c r="E805" t="s">
        <v>2758</v>
      </c>
      <c r="I805" t="s">
        <v>24</v>
      </c>
      <c r="K805" t="s">
        <v>313</v>
      </c>
      <c r="L805" s="67">
        <v>0.25</v>
      </c>
      <c r="N805" s="67">
        <v>0.05</v>
      </c>
      <c r="O805" s="68">
        <v>44942</v>
      </c>
      <c r="P805" s="68">
        <v>44942</v>
      </c>
      <c r="Q805" s="57">
        <v>114060952.24711297</v>
      </c>
      <c r="R805" t="s">
        <v>748</v>
      </c>
    </row>
    <row r="806" spans="1:18">
      <c r="A806">
        <v>1827</v>
      </c>
      <c r="B806" t="s">
        <v>2761</v>
      </c>
      <c r="C806" t="s">
        <v>0</v>
      </c>
      <c r="D806" t="s">
        <v>2760</v>
      </c>
      <c r="I806" t="s">
        <v>24</v>
      </c>
      <c r="K806" t="s">
        <v>313</v>
      </c>
      <c r="L806" s="67">
        <v>0.3</v>
      </c>
      <c r="N806" s="67">
        <v>0</v>
      </c>
      <c r="O806" s="68">
        <v>44942</v>
      </c>
      <c r="P806" s="68">
        <v>44942</v>
      </c>
      <c r="Q806" s="57">
        <v>358510083.83469212</v>
      </c>
      <c r="R806" t="s">
        <v>748</v>
      </c>
    </row>
    <row r="807" spans="1:18">
      <c r="A807">
        <v>1828</v>
      </c>
      <c r="B807" t="s">
        <v>2762</v>
      </c>
      <c r="C807" t="s">
        <v>0</v>
      </c>
      <c r="D807" t="s">
        <v>2760</v>
      </c>
      <c r="I807" t="s">
        <v>24</v>
      </c>
      <c r="K807" t="s">
        <v>313</v>
      </c>
      <c r="L807" s="67">
        <v>0.3</v>
      </c>
      <c r="N807" s="67">
        <v>0</v>
      </c>
      <c r="O807" s="68">
        <v>44942</v>
      </c>
      <c r="P807" s="68">
        <v>44942</v>
      </c>
      <c r="Q807" s="57">
        <v>358510083.83469212</v>
      </c>
      <c r="R807" t="s">
        <v>748</v>
      </c>
    </row>
    <row r="808" spans="1:18">
      <c r="A808">
        <v>1829</v>
      </c>
      <c r="B808" t="s">
        <v>2764</v>
      </c>
      <c r="C808" t="s">
        <v>10</v>
      </c>
      <c r="D808" t="s">
        <v>2723</v>
      </c>
      <c r="E808" t="s">
        <v>2763</v>
      </c>
      <c r="I808" t="s">
        <v>24</v>
      </c>
      <c r="K808" t="s">
        <v>313</v>
      </c>
      <c r="L808" s="67">
        <v>0.25</v>
      </c>
      <c r="N808" s="67">
        <v>0.05</v>
      </c>
      <c r="O808" s="68">
        <v>44942</v>
      </c>
      <c r="P808" s="68">
        <v>44942</v>
      </c>
      <c r="Q808" s="57">
        <v>330190412.20438921</v>
      </c>
      <c r="R808" t="s">
        <v>748</v>
      </c>
    </row>
    <row r="809" spans="1:18">
      <c r="A809">
        <v>1830</v>
      </c>
      <c r="B809" t="s">
        <v>2766</v>
      </c>
      <c r="C809" t="s">
        <v>10</v>
      </c>
      <c r="D809" t="s">
        <v>2723</v>
      </c>
      <c r="E809" t="s">
        <v>2765</v>
      </c>
      <c r="I809" t="s">
        <v>24</v>
      </c>
      <c r="K809" t="s">
        <v>313</v>
      </c>
      <c r="L809" s="67">
        <v>0.25</v>
      </c>
      <c r="N809" s="67">
        <v>0.05</v>
      </c>
      <c r="O809" s="68">
        <v>44942</v>
      </c>
      <c r="P809" s="68">
        <v>44942</v>
      </c>
      <c r="Q809" s="57">
        <v>362190412.00000012</v>
      </c>
      <c r="R809" t="s">
        <v>748</v>
      </c>
    </row>
    <row r="810" spans="1:18">
      <c r="A810">
        <v>1831</v>
      </c>
      <c r="B810" t="s">
        <v>2768</v>
      </c>
      <c r="C810" t="s">
        <v>10</v>
      </c>
      <c r="D810" t="s">
        <v>2723</v>
      </c>
      <c r="E810" t="s">
        <v>2767</v>
      </c>
      <c r="I810" t="s">
        <v>24</v>
      </c>
      <c r="K810" t="s">
        <v>313</v>
      </c>
      <c r="L810" s="67">
        <v>0.25</v>
      </c>
      <c r="N810" s="67">
        <v>0.05</v>
      </c>
      <c r="O810" s="68">
        <v>44942</v>
      </c>
      <c r="P810" s="68">
        <v>44942</v>
      </c>
      <c r="Q810" s="57">
        <v>375742539.00000012</v>
      </c>
      <c r="R810" t="s">
        <v>748</v>
      </c>
    </row>
    <row r="811" spans="1:18">
      <c r="A811">
        <v>1832</v>
      </c>
      <c r="B811" t="s">
        <v>2769</v>
      </c>
      <c r="C811" t="s">
        <v>10</v>
      </c>
      <c r="D811" t="s">
        <v>2723</v>
      </c>
      <c r="E811" t="s">
        <v>1574</v>
      </c>
      <c r="I811" t="s">
        <v>24</v>
      </c>
      <c r="K811" t="s">
        <v>313</v>
      </c>
      <c r="L811" s="67">
        <v>0.25</v>
      </c>
      <c r="N811" s="67">
        <v>0.05</v>
      </c>
      <c r="O811" s="68">
        <v>44943</v>
      </c>
      <c r="P811" s="68">
        <v>44943</v>
      </c>
      <c r="Q811" s="57">
        <v>311573688.20438921</v>
      </c>
      <c r="R811" t="s">
        <v>748</v>
      </c>
    </row>
    <row r="812" spans="1:18">
      <c r="A812">
        <v>1833</v>
      </c>
      <c r="B812" t="s">
        <v>2771</v>
      </c>
      <c r="C812" t="s">
        <v>7</v>
      </c>
      <c r="D812" t="s">
        <v>2770</v>
      </c>
      <c r="I812" t="s">
        <v>24</v>
      </c>
      <c r="K812" t="s">
        <v>313</v>
      </c>
      <c r="L812" s="67">
        <v>0.3</v>
      </c>
      <c r="N812" s="67">
        <v>0</v>
      </c>
      <c r="O812" s="68">
        <v>44945</v>
      </c>
      <c r="P812" s="68">
        <v>44945</v>
      </c>
      <c r="Q812" s="57">
        <v>356941659.59815204</v>
      </c>
      <c r="R812" t="s">
        <v>748</v>
      </c>
    </row>
    <row r="813" spans="1:18">
      <c r="A813">
        <v>1834</v>
      </c>
      <c r="B813" t="s">
        <v>2774</v>
      </c>
      <c r="C813" t="s">
        <v>3</v>
      </c>
      <c r="D813" t="s">
        <v>2772</v>
      </c>
      <c r="E813" t="s">
        <v>2773</v>
      </c>
      <c r="I813" t="s">
        <v>2189</v>
      </c>
      <c r="K813" t="s">
        <v>313</v>
      </c>
      <c r="L813" s="67">
        <v>0.25</v>
      </c>
      <c r="N813" s="67">
        <v>0</v>
      </c>
      <c r="O813" s="68">
        <v>44945</v>
      </c>
      <c r="P813" s="68">
        <v>44945</v>
      </c>
      <c r="Q813" s="57">
        <v>29326978.014402475</v>
      </c>
      <c r="R813" t="s">
        <v>748</v>
      </c>
    </row>
    <row r="814" spans="1:18">
      <c r="A814">
        <v>1835</v>
      </c>
      <c r="B814" t="s">
        <v>2776</v>
      </c>
      <c r="C814" t="s">
        <v>3</v>
      </c>
      <c r="D814" t="s">
        <v>2772</v>
      </c>
      <c r="E814" t="s">
        <v>2775</v>
      </c>
      <c r="I814" t="s">
        <v>2189</v>
      </c>
      <c r="K814" t="s">
        <v>313</v>
      </c>
      <c r="L814" s="67">
        <v>0.25</v>
      </c>
      <c r="N814" s="67">
        <v>0</v>
      </c>
      <c r="O814" s="68">
        <v>44945</v>
      </c>
      <c r="P814" s="68">
        <v>44945</v>
      </c>
      <c r="Q814" s="57">
        <v>29326978.014402475</v>
      </c>
      <c r="R814" t="s">
        <v>748</v>
      </c>
    </row>
    <row r="815" spans="1:18">
      <c r="A815">
        <v>1836</v>
      </c>
      <c r="B815" t="s">
        <v>2778</v>
      </c>
      <c r="C815" t="s">
        <v>0</v>
      </c>
      <c r="D815" t="s">
        <v>2777</v>
      </c>
      <c r="I815" t="s">
        <v>24</v>
      </c>
      <c r="K815" t="s">
        <v>313</v>
      </c>
      <c r="L815" s="67">
        <v>0.3</v>
      </c>
      <c r="N815" s="67">
        <v>0</v>
      </c>
      <c r="O815" s="68">
        <v>44945</v>
      </c>
      <c r="P815" s="68">
        <v>44945</v>
      </c>
      <c r="Q815" s="57">
        <v>220699692.19520941</v>
      </c>
      <c r="R815" t="s">
        <v>748</v>
      </c>
    </row>
    <row r="816" spans="1:18">
      <c r="A816">
        <v>1837</v>
      </c>
      <c r="B816" t="s">
        <v>2780</v>
      </c>
      <c r="C816" t="s">
        <v>3</v>
      </c>
      <c r="D816" t="s">
        <v>2779</v>
      </c>
      <c r="I816" t="s">
        <v>753</v>
      </c>
      <c r="K816" t="s">
        <v>313</v>
      </c>
      <c r="L816" s="67">
        <v>0.3</v>
      </c>
      <c r="N816" s="67">
        <v>0</v>
      </c>
      <c r="O816" s="68">
        <v>44945</v>
      </c>
      <c r="P816" s="68">
        <v>44945</v>
      </c>
      <c r="Q816" s="57">
        <v>721647535.03193069</v>
      </c>
      <c r="R816" t="s">
        <v>748</v>
      </c>
    </row>
    <row r="817" spans="1:18">
      <c r="A817">
        <v>1838</v>
      </c>
      <c r="B817" t="s">
        <v>2781</v>
      </c>
      <c r="C817" t="s">
        <v>3</v>
      </c>
      <c r="D817" t="s">
        <v>2779</v>
      </c>
      <c r="I817" t="s">
        <v>753</v>
      </c>
      <c r="K817" t="s">
        <v>313</v>
      </c>
      <c r="L817" s="67">
        <v>0.3</v>
      </c>
      <c r="N817" s="67">
        <v>0</v>
      </c>
      <c r="O817" s="68">
        <v>44945</v>
      </c>
      <c r="P817" s="68">
        <v>44945</v>
      </c>
      <c r="Q817" s="57">
        <v>721647535.03193069</v>
      </c>
      <c r="R817" t="s">
        <v>748</v>
      </c>
    </row>
    <row r="818" spans="1:18">
      <c r="A818">
        <v>1839</v>
      </c>
      <c r="B818" t="s">
        <v>2783</v>
      </c>
      <c r="C818" t="s">
        <v>3</v>
      </c>
      <c r="D818" t="s">
        <v>2779</v>
      </c>
      <c r="E818" t="s">
        <v>2782</v>
      </c>
      <c r="I818" t="s">
        <v>753</v>
      </c>
      <c r="K818" t="s">
        <v>313</v>
      </c>
      <c r="L818" s="67">
        <v>0.27</v>
      </c>
      <c r="N818" s="67">
        <v>0</v>
      </c>
      <c r="O818" s="68">
        <v>44946</v>
      </c>
      <c r="P818" s="68">
        <v>44946</v>
      </c>
      <c r="Q818" s="57">
        <v>264433920.44848636</v>
      </c>
      <c r="R818" t="s">
        <v>748</v>
      </c>
    </row>
    <row r="819" spans="1:18">
      <c r="A819">
        <v>1840</v>
      </c>
      <c r="B819" t="s">
        <v>2786</v>
      </c>
      <c r="C819" t="s">
        <v>0</v>
      </c>
      <c r="D819" t="s">
        <v>2784</v>
      </c>
      <c r="E819" t="s">
        <v>2785</v>
      </c>
      <c r="I819" t="s">
        <v>1434</v>
      </c>
      <c r="K819" t="s">
        <v>313</v>
      </c>
      <c r="L819" s="67">
        <v>0.25</v>
      </c>
      <c r="N819" s="67">
        <v>0</v>
      </c>
      <c r="O819" s="68">
        <v>44946</v>
      </c>
      <c r="P819" s="68">
        <v>44946</v>
      </c>
      <c r="Q819" s="57">
        <v>53703730.844282687</v>
      </c>
      <c r="R819" t="s">
        <v>748</v>
      </c>
    </row>
    <row r="820" spans="1:18">
      <c r="A820">
        <v>1841</v>
      </c>
      <c r="B820" t="s">
        <v>2788</v>
      </c>
      <c r="C820" t="s">
        <v>0</v>
      </c>
      <c r="D820" t="s">
        <v>2784</v>
      </c>
      <c r="E820" t="s">
        <v>2787</v>
      </c>
      <c r="I820" t="s">
        <v>1434</v>
      </c>
      <c r="K820" t="s">
        <v>313</v>
      </c>
      <c r="L820" s="67">
        <v>0.25</v>
      </c>
      <c r="N820" s="67">
        <v>0</v>
      </c>
      <c r="O820" s="68">
        <v>44946</v>
      </c>
      <c r="P820" s="68">
        <v>44946</v>
      </c>
      <c r="Q820" s="57">
        <v>12986142.411070541</v>
      </c>
      <c r="R820" t="s">
        <v>748</v>
      </c>
    </row>
    <row r="821" spans="1:18">
      <c r="A821">
        <v>1842</v>
      </c>
      <c r="B821" t="s">
        <v>2790</v>
      </c>
      <c r="C821" t="s">
        <v>7</v>
      </c>
      <c r="D821" t="s">
        <v>2789</v>
      </c>
      <c r="E821" t="s">
        <v>715</v>
      </c>
      <c r="I821" t="s">
        <v>715</v>
      </c>
      <c r="K821" t="s">
        <v>313</v>
      </c>
      <c r="L821" s="67">
        <v>0.25</v>
      </c>
      <c r="N821" s="67">
        <v>0.05</v>
      </c>
      <c r="O821" s="68">
        <v>44946</v>
      </c>
      <c r="P821" s="68">
        <v>44946</v>
      </c>
      <c r="Q821" s="57">
        <v>71271882.640030459</v>
      </c>
      <c r="R821" t="s">
        <v>748</v>
      </c>
    </row>
    <row r="822" spans="1:18">
      <c r="A822">
        <v>1843</v>
      </c>
      <c r="B822" t="s">
        <v>2793</v>
      </c>
      <c r="C822" t="s">
        <v>0</v>
      </c>
      <c r="D822" t="s">
        <v>2791</v>
      </c>
      <c r="E822" t="s">
        <v>2792</v>
      </c>
      <c r="I822" t="s">
        <v>2077</v>
      </c>
      <c r="K822" t="s">
        <v>313</v>
      </c>
      <c r="L822" s="67">
        <v>0.25</v>
      </c>
      <c r="N822" s="67">
        <v>0.05</v>
      </c>
      <c r="O822" s="68">
        <v>44946</v>
      </c>
      <c r="P822" s="68">
        <v>44946</v>
      </c>
      <c r="Q822" s="57">
        <v>179765378.12521443</v>
      </c>
      <c r="R822" t="s">
        <v>748</v>
      </c>
    </row>
    <row r="823" spans="1:18">
      <c r="A823">
        <v>1844</v>
      </c>
      <c r="B823" t="s">
        <v>2795</v>
      </c>
      <c r="C823" t="s">
        <v>0</v>
      </c>
      <c r="D823" t="s">
        <v>2794</v>
      </c>
      <c r="I823" t="s">
        <v>24</v>
      </c>
      <c r="K823" t="s">
        <v>313</v>
      </c>
      <c r="L823" s="67">
        <v>0.3</v>
      </c>
      <c r="N823" s="67">
        <v>0</v>
      </c>
      <c r="O823" s="68">
        <v>44947</v>
      </c>
      <c r="P823" s="68">
        <v>44947</v>
      </c>
      <c r="Q823" s="57">
        <v>538931781.30343544</v>
      </c>
      <c r="R823" t="s">
        <v>748</v>
      </c>
    </row>
    <row r="824" spans="1:18">
      <c r="A824">
        <v>1845</v>
      </c>
      <c r="B824" t="s">
        <v>2797</v>
      </c>
      <c r="C824" t="s">
        <v>7</v>
      </c>
      <c r="D824" t="s">
        <v>2796</v>
      </c>
      <c r="I824" t="s">
        <v>2189</v>
      </c>
      <c r="K824" t="s">
        <v>313</v>
      </c>
      <c r="L824" s="67">
        <v>0.25</v>
      </c>
      <c r="N824" s="67">
        <v>0</v>
      </c>
      <c r="O824" s="68">
        <v>44947</v>
      </c>
      <c r="P824" s="68">
        <v>44947</v>
      </c>
      <c r="Q824" s="57">
        <v>118467965.77021579</v>
      </c>
      <c r="R824" t="s">
        <v>748</v>
      </c>
    </row>
    <row r="825" spans="1:18">
      <c r="A825">
        <v>1846</v>
      </c>
      <c r="B825" t="s">
        <v>2799</v>
      </c>
      <c r="C825" t="s">
        <v>0</v>
      </c>
      <c r="D825" t="s">
        <v>2791</v>
      </c>
      <c r="E825" t="s">
        <v>2798</v>
      </c>
      <c r="I825" t="s">
        <v>1046</v>
      </c>
      <c r="K825" t="s">
        <v>313</v>
      </c>
      <c r="L825" s="67">
        <v>0.25</v>
      </c>
      <c r="N825" s="67">
        <v>0.05</v>
      </c>
      <c r="O825" s="68">
        <v>44947</v>
      </c>
      <c r="P825" s="68">
        <v>44947</v>
      </c>
      <c r="Q825" s="57">
        <v>85222609.503712431</v>
      </c>
      <c r="R825" t="s">
        <v>748</v>
      </c>
    </row>
    <row r="826" spans="1:18">
      <c r="A826">
        <v>1847</v>
      </c>
      <c r="B826" t="s">
        <v>2802</v>
      </c>
      <c r="C826" t="s">
        <v>0</v>
      </c>
      <c r="D826" t="s">
        <v>2800</v>
      </c>
      <c r="E826" t="s">
        <v>2801</v>
      </c>
      <c r="I826" t="s">
        <v>24</v>
      </c>
      <c r="K826" t="s">
        <v>313</v>
      </c>
      <c r="L826" s="67">
        <v>0.3</v>
      </c>
      <c r="N826" s="67">
        <v>0</v>
      </c>
      <c r="O826" s="68">
        <v>44951</v>
      </c>
      <c r="P826" s="68">
        <v>44951</v>
      </c>
      <c r="Q826" s="57">
        <v>419305233.4361698</v>
      </c>
      <c r="R826" t="s">
        <v>748</v>
      </c>
    </row>
    <row r="827" spans="1:18">
      <c r="A827">
        <v>1848</v>
      </c>
      <c r="B827" t="s">
        <v>2804</v>
      </c>
      <c r="C827" t="s">
        <v>0</v>
      </c>
      <c r="D827" t="s">
        <v>2646</v>
      </c>
      <c r="E827" t="s">
        <v>2803</v>
      </c>
      <c r="I827" t="s">
        <v>2143</v>
      </c>
      <c r="K827" t="s">
        <v>313</v>
      </c>
      <c r="L827" s="67">
        <v>0.26</v>
      </c>
      <c r="N827" s="67">
        <v>0</v>
      </c>
      <c r="O827" s="68">
        <v>44952</v>
      </c>
      <c r="P827" s="68">
        <v>44952</v>
      </c>
      <c r="Q827" s="57">
        <v>30916631.771353863</v>
      </c>
      <c r="R827" t="s">
        <v>748</v>
      </c>
    </row>
    <row r="828" spans="1:18">
      <c r="A828">
        <v>1849</v>
      </c>
      <c r="B828" t="s">
        <v>2805</v>
      </c>
      <c r="C828" t="s">
        <v>0</v>
      </c>
      <c r="D828" t="s">
        <v>2646</v>
      </c>
      <c r="E828" t="s">
        <v>2803</v>
      </c>
      <c r="I828" t="s">
        <v>2143</v>
      </c>
      <c r="K828" t="s">
        <v>313</v>
      </c>
      <c r="L828" s="67">
        <v>0.25</v>
      </c>
      <c r="N828" s="67">
        <v>0</v>
      </c>
      <c r="O828" s="68">
        <v>44952</v>
      </c>
      <c r="P828" s="68">
        <v>44952</v>
      </c>
      <c r="Q828" s="57">
        <v>31306658.014402475</v>
      </c>
      <c r="R828" t="s">
        <v>748</v>
      </c>
    </row>
    <row r="829" spans="1:18">
      <c r="A829">
        <v>1850</v>
      </c>
      <c r="B829" t="s">
        <v>2808</v>
      </c>
      <c r="C829" t="s">
        <v>0</v>
      </c>
      <c r="D829" t="s">
        <v>2806</v>
      </c>
      <c r="E829" t="s">
        <v>2807</v>
      </c>
      <c r="I829" t="s">
        <v>24</v>
      </c>
      <c r="K829" t="s">
        <v>313</v>
      </c>
      <c r="L829" s="67">
        <v>0.25</v>
      </c>
      <c r="N829" s="67">
        <v>0</v>
      </c>
      <c r="O829" s="68">
        <v>44952</v>
      </c>
      <c r="P829" s="68">
        <v>44952</v>
      </c>
      <c r="Q829" s="57">
        <v>137856957.33079278</v>
      </c>
      <c r="R829" t="s">
        <v>748</v>
      </c>
    </row>
    <row r="830" spans="1:18">
      <c r="A830">
        <v>1851</v>
      </c>
      <c r="B830" t="s">
        <v>2810</v>
      </c>
      <c r="C830" t="s">
        <v>0</v>
      </c>
      <c r="D830" t="s">
        <v>2809</v>
      </c>
      <c r="I830" t="s">
        <v>24</v>
      </c>
      <c r="K830" t="s">
        <v>313</v>
      </c>
      <c r="L830" s="67">
        <v>0.27</v>
      </c>
      <c r="N830" s="67">
        <v>0</v>
      </c>
      <c r="O830" s="68">
        <v>44952</v>
      </c>
      <c r="P830" s="68">
        <v>44952</v>
      </c>
      <c r="Q830" s="57">
        <v>166189437.73029342</v>
      </c>
      <c r="R830" t="s">
        <v>748</v>
      </c>
    </row>
    <row r="831" spans="1:18">
      <c r="A831">
        <v>1852</v>
      </c>
      <c r="B831" t="s">
        <v>2813</v>
      </c>
      <c r="C831" t="s">
        <v>0</v>
      </c>
      <c r="D831" t="s">
        <v>2811</v>
      </c>
      <c r="E831" t="s">
        <v>2812</v>
      </c>
      <c r="I831" t="s">
        <v>135</v>
      </c>
      <c r="K831" t="s">
        <v>313</v>
      </c>
      <c r="L831" s="67">
        <v>0.25</v>
      </c>
      <c r="N831" s="67">
        <v>0.05</v>
      </c>
      <c r="O831" s="68">
        <v>44956</v>
      </c>
      <c r="P831" s="68">
        <v>44956</v>
      </c>
      <c r="Q831" s="57">
        <v>38873289.595332012</v>
      </c>
      <c r="R831" t="s">
        <v>748</v>
      </c>
    </row>
    <row r="832" spans="1:18">
      <c r="A832">
        <v>1853</v>
      </c>
      <c r="B832" t="s">
        <v>2816</v>
      </c>
      <c r="C832" t="s">
        <v>0</v>
      </c>
      <c r="D832" t="s">
        <v>2814</v>
      </c>
      <c r="E832" t="s">
        <v>2815</v>
      </c>
      <c r="I832" t="s">
        <v>2362</v>
      </c>
      <c r="K832" t="s">
        <v>313</v>
      </c>
      <c r="L832" s="67">
        <v>0.25</v>
      </c>
      <c r="N832" s="67">
        <v>0.05</v>
      </c>
      <c r="O832" s="68">
        <v>44956</v>
      </c>
      <c r="P832" s="68">
        <v>44956</v>
      </c>
      <c r="Q832" s="57">
        <v>39959878.41654285</v>
      </c>
      <c r="R832" t="s">
        <v>748</v>
      </c>
    </row>
    <row r="833" spans="1:18">
      <c r="A833">
        <v>1854</v>
      </c>
      <c r="B833" t="s">
        <v>2817</v>
      </c>
      <c r="C833" t="s">
        <v>0</v>
      </c>
      <c r="D833" t="s">
        <v>2814</v>
      </c>
      <c r="E833" t="s">
        <v>2815</v>
      </c>
      <c r="I833" t="s">
        <v>2362</v>
      </c>
      <c r="K833" t="s">
        <v>313</v>
      </c>
      <c r="L833" s="67">
        <v>0.25</v>
      </c>
      <c r="N833" s="67">
        <v>0.05</v>
      </c>
      <c r="O833" s="68">
        <v>44956</v>
      </c>
      <c r="P833" s="68">
        <v>44956</v>
      </c>
      <c r="Q833" s="57">
        <v>33551845.936608419</v>
      </c>
      <c r="R833" t="s">
        <v>748</v>
      </c>
    </row>
    <row r="834" spans="1:18">
      <c r="A834">
        <v>1855</v>
      </c>
      <c r="B834" t="s">
        <v>2819</v>
      </c>
      <c r="C834" t="s">
        <v>0</v>
      </c>
      <c r="D834" t="s">
        <v>2352</v>
      </c>
      <c r="E834" t="s">
        <v>2818</v>
      </c>
      <c r="I834" t="s">
        <v>2106</v>
      </c>
      <c r="K834" t="s">
        <v>313</v>
      </c>
      <c r="L834" s="67">
        <v>0.25</v>
      </c>
      <c r="N834" s="67">
        <v>0</v>
      </c>
      <c r="O834" s="68">
        <v>44957</v>
      </c>
      <c r="P834" s="68">
        <v>44957</v>
      </c>
      <c r="Q834" s="57">
        <v>14000571.514237145</v>
      </c>
      <c r="R834" t="s">
        <v>748</v>
      </c>
    </row>
    <row r="835" spans="1:18">
      <c r="A835">
        <v>1856</v>
      </c>
      <c r="B835" t="s">
        <v>2820</v>
      </c>
      <c r="C835" t="s">
        <v>0</v>
      </c>
      <c r="D835" t="s">
        <v>2352</v>
      </c>
      <c r="E835" t="s">
        <v>2818</v>
      </c>
      <c r="I835" t="s">
        <v>2106</v>
      </c>
      <c r="K835" t="s">
        <v>313</v>
      </c>
      <c r="L835" s="67">
        <v>0.25</v>
      </c>
      <c r="N835" s="67">
        <v>0</v>
      </c>
      <c r="O835" s="68">
        <v>44957</v>
      </c>
      <c r="P835" s="68">
        <v>44957</v>
      </c>
      <c r="Q835" s="57">
        <v>14000571.514237145</v>
      </c>
      <c r="R835" t="s">
        <v>748</v>
      </c>
    </row>
    <row r="836" spans="1:18">
      <c r="A836">
        <v>1857</v>
      </c>
      <c r="B836" t="s">
        <v>2822</v>
      </c>
      <c r="C836" t="s">
        <v>0</v>
      </c>
      <c r="D836" t="s">
        <v>896</v>
      </c>
      <c r="E836" t="s">
        <v>2821</v>
      </c>
      <c r="I836" t="s">
        <v>715</v>
      </c>
      <c r="K836" t="s">
        <v>313</v>
      </c>
      <c r="L836" s="67">
        <v>0.25</v>
      </c>
      <c r="N836" s="67">
        <v>0.03</v>
      </c>
      <c r="O836" s="68">
        <v>44958</v>
      </c>
      <c r="P836" s="68">
        <v>44958</v>
      </c>
      <c r="Q836" s="57">
        <v>11882414.489803039</v>
      </c>
      <c r="R836" t="s">
        <v>748</v>
      </c>
    </row>
    <row r="837" spans="1:18">
      <c r="A837">
        <v>1858</v>
      </c>
      <c r="B837" t="s">
        <v>2824</v>
      </c>
      <c r="C837" t="s">
        <v>0</v>
      </c>
      <c r="D837" t="s">
        <v>2823</v>
      </c>
      <c r="I837" t="s">
        <v>24</v>
      </c>
      <c r="K837" t="s">
        <v>313</v>
      </c>
      <c r="L837" s="67">
        <v>0.25</v>
      </c>
      <c r="N837" s="67">
        <v>0.05</v>
      </c>
      <c r="O837" s="68">
        <v>44960</v>
      </c>
      <c r="P837" s="68">
        <v>44960</v>
      </c>
      <c r="Q837" s="57">
        <v>344469922.00066417</v>
      </c>
      <c r="R837" t="s">
        <v>748</v>
      </c>
    </row>
    <row r="838" spans="1:18">
      <c r="A838">
        <v>1859</v>
      </c>
      <c r="B838" t="s">
        <v>2826</v>
      </c>
      <c r="C838" t="s">
        <v>3</v>
      </c>
      <c r="D838" t="s">
        <v>2825</v>
      </c>
      <c r="I838" t="s">
        <v>24</v>
      </c>
      <c r="K838" t="s">
        <v>313</v>
      </c>
      <c r="L838" s="67">
        <v>0.25</v>
      </c>
      <c r="N838" s="67">
        <v>0.05</v>
      </c>
      <c r="O838" s="68">
        <v>44960</v>
      </c>
      <c r="P838" s="68">
        <v>44960</v>
      </c>
      <c r="Q838" s="57">
        <v>153756715.56040192</v>
      </c>
      <c r="R838" t="s">
        <v>748</v>
      </c>
    </row>
    <row r="839" spans="1:18">
      <c r="A839">
        <v>1860</v>
      </c>
      <c r="B839" t="s">
        <v>2828</v>
      </c>
      <c r="C839" t="s">
        <v>0</v>
      </c>
      <c r="D839" t="s">
        <v>2827</v>
      </c>
      <c r="I839" t="s">
        <v>24</v>
      </c>
      <c r="K839" t="s">
        <v>313</v>
      </c>
      <c r="L839" s="67">
        <v>0.3</v>
      </c>
      <c r="N839" s="67">
        <v>0.05</v>
      </c>
      <c r="O839" s="68">
        <v>44963</v>
      </c>
      <c r="P839" s="68">
        <v>44963</v>
      </c>
      <c r="Q839" s="57">
        <v>413474010.65361762</v>
      </c>
      <c r="R839" t="s">
        <v>748</v>
      </c>
    </row>
    <row r="840" spans="1:18">
      <c r="A840">
        <v>1861</v>
      </c>
      <c r="B840" t="s">
        <v>2831</v>
      </c>
      <c r="C840" t="s">
        <v>0</v>
      </c>
      <c r="D840" t="s">
        <v>2829</v>
      </c>
      <c r="E840" t="s">
        <v>2830</v>
      </c>
      <c r="I840" t="s">
        <v>1434</v>
      </c>
      <c r="K840" t="s">
        <v>313</v>
      </c>
      <c r="L840" s="67">
        <v>0.25</v>
      </c>
      <c r="N840" s="67">
        <v>0.02</v>
      </c>
      <c r="O840" s="68">
        <v>44963</v>
      </c>
      <c r="P840" s="68">
        <v>44963</v>
      </c>
      <c r="Q840" s="57">
        <v>13836618.691914633</v>
      </c>
      <c r="R840" t="s">
        <v>748</v>
      </c>
    </row>
    <row r="841" spans="1:18">
      <c r="A841">
        <v>1862</v>
      </c>
      <c r="B841" t="s">
        <v>2833</v>
      </c>
      <c r="C841" t="s">
        <v>0</v>
      </c>
      <c r="D841" t="s">
        <v>2829</v>
      </c>
      <c r="E841" t="s">
        <v>2832</v>
      </c>
      <c r="I841" t="s">
        <v>1046</v>
      </c>
      <c r="K841" t="s">
        <v>313</v>
      </c>
      <c r="L841" s="67">
        <v>0.25</v>
      </c>
      <c r="N841" s="67">
        <v>0.02</v>
      </c>
      <c r="O841" s="68">
        <v>44963</v>
      </c>
      <c r="P841" s="68">
        <v>44963</v>
      </c>
      <c r="Q841" s="57">
        <v>21745907.302694995</v>
      </c>
      <c r="R841" t="s">
        <v>748</v>
      </c>
    </row>
    <row r="842" spans="1:18">
      <c r="A842">
        <v>1863</v>
      </c>
      <c r="B842" t="s">
        <v>2835</v>
      </c>
      <c r="C842" t="s">
        <v>3</v>
      </c>
      <c r="D842" t="s">
        <v>2352</v>
      </c>
      <c r="E842" t="s">
        <v>2834</v>
      </c>
      <c r="I842" t="s">
        <v>2353</v>
      </c>
      <c r="K842" t="s">
        <v>313</v>
      </c>
      <c r="L842" s="67">
        <v>0.25</v>
      </c>
      <c r="N842" s="67">
        <v>0</v>
      </c>
      <c r="O842" s="68">
        <v>44964</v>
      </c>
      <c r="P842" s="68">
        <v>44964</v>
      </c>
      <c r="Q842" s="57">
        <v>63824395.464094818</v>
      </c>
      <c r="R842" t="s">
        <v>748</v>
      </c>
    </row>
    <row r="843" spans="1:18">
      <c r="A843">
        <v>1864</v>
      </c>
      <c r="B843" t="s">
        <v>2836</v>
      </c>
      <c r="C843" t="s">
        <v>3</v>
      </c>
      <c r="D843" t="s">
        <v>2352</v>
      </c>
      <c r="E843" t="s">
        <v>2834</v>
      </c>
      <c r="I843" t="s">
        <v>2353</v>
      </c>
      <c r="K843" t="s">
        <v>313</v>
      </c>
      <c r="L843" s="67">
        <v>0.25</v>
      </c>
      <c r="N843" s="67">
        <v>0</v>
      </c>
      <c r="O843" s="68">
        <v>44964</v>
      </c>
      <c r="P843" s="68">
        <v>44964</v>
      </c>
      <c r="Q843" s="57">
        <v>63824395.464094818</v>
      </c>
      <c r="R843" t="s">
        <v>748</v>
      </c>
    </row>
    <row r="844" spans="1:18">
      <c r="A844">
        <v>1865</v>
      </c>
      <c r="B844" t="s">
        <v>2838</v>
      </c>
      <c r="C844" t="s">
        <v>3</v>
      </c>
      <c r="D844" t="s">
        <v>2352</v>
      </c>
      <c r="E844" t="s">
        <v>2837</v>
      </c>
      <c r="I844" t="s">
        <v>2353</v>
      </c>
      <c r="K844" t="s">
        <v>313</v>
      </c>
      <c r="L844" s="67">
        <v>0.25</v>
      </c>
      <c r="N844" s="67">
        <v>0</v>
      </c>
      <c r="O844" s="68">
        <v>44964</v>
      </c>
      <c r="P844" s="68">
        <v>44964</v>
      </c>
      <c r="Q844" s="57">
        <v>45021868.653393053</v>
      </c>
      <c r="R844" t="s">
        <v>748</v>
      </c>
    </row>
    <row r="845" spans="1:18">
      <c r="A845">
        <v>1866</v>
      </c>
      <c r="B845" t="s">
        <v>2851</v>
      </c>
      <c r="C845" t="s">
        <v>0</v>
      </c>
      <c r="D845" t="s">
        <v>2850</v>
      </c>
      <c r="E845" t="s">
        <v>154</v>
      </c>
      <c r="I845" t="s">
        <v>135</v>
      </c>
      <c r="K845" t="s">
        <v>313</v>
      </c>
      <c r="L845" s="67">
        <v>0.25</v>
      </c>
      <c r="N845" s="67">
        <v>0.05</v>
      </c>
      <c r="O845" s="68">
        <v>44969</v>
      </c>
      <c r="P845" s="68">
        <v>44969</v>
      </c>
      <c r="Q845" s="57">
        <v>34712021.386477329</v>
      </c>
      <c r="R845" t="s">
        <v>748</v>
      </c>
    </row>
    <row r="846" spans="1:18">
      <c r="A846">
        <v>1867</v>
      </c>
      <c r="B846" t="s">
        <v>2852</v>
      </c>
      <c r="C846" t="s">
        <v>3</v>
      </c>
      <c r="D846" t="s">
        <v>2540</v>
      </c>
      <c r="I846" t="s">
        <v>135</v>
      </c>
      <c r="K846" t="s">
        <v>313</v>
      </c>
      <c r="L846" s="67">
        <v>0.28000000000000003</v>
      </c>
      <c r="N846" s="67">
        <v>0.02</v>
      </c>
      <c r="O846" s="68">
        <v>44969</v>
      </c>
      <c r="P846" s="68">
        <v>44969</v>
      </c>
      <c r="Q846" s="57">
        <v>555278381.95162618</v>
      </c>
      <c r="R846" t="s">
        <v>748</v>
      </c>
    </row>
    <row r="847" spans="1:18">
      <c r="A847">
        <v>1868</v>
      </c>
      <c r="B847" t="s">
        <v>2853</v>
      </c>
      <c r="C847" t="s">
        <v>3</v>
      </c>
      <c r="D847" t="s">
        <v>2540</v>
      </c>
      <c r="I847" t="s">
        <v>135</v>
      </c>
      <c r="K847" t="s">
        <v>313</v>
      </c>
      <c r="L847" s="67">
        <v>0.28000000000000003</v>
      </c>
      <c r="N847" s="67">
        <v>0.02</v>
      </c>
      <c r="O847" s="68">
        <v>44969</v>
      </c>
      <c r="P847" s="68">
        <v>44969</v>
      </c>
      <c r="Q847" s="57">
        <v>362859110.11869889</v>
      </c>
      <c r="R847" t="s">
        <v>748</v>
      </c>
    </row>
    <row r="848" spans="1:18">
      <c r="A848">
        <v>1869</v>
      </c>
      <c r="B848" t="s">
        <v>2855</v>
      </c>
      <c r="C848" t="s">
        <v>7</v>
      </c>
      <c r="D848" t="s">
        <v>2854</v>
      </c>
      <c r="I848" t="s">
        <v>2205</v>
      </c>
      <c r="K848" t="s">
        <v>313</v>
      </c>
      <c r="L848" s="67">
        <v>0.25</v>
      </c>
      <c r="N848" s="67">
        <v>0</v>
      </c>
      <c r="O848" s="68">
        <v>44969</v>
      </c>
      <c r="P848" s="68">
        <v>44969</v>
      </c>
      <c r="Q848" s="57">
        <v>475260489.11705917</v>
      </c>
      <c r="R848" t="s">
        <v>748</v>
      </c>
    </row>
    <row r="849" spans="1:18">
      <c r="A849">
        <v>1870</v>
      </c>
      <c r="B849" t="s">
        <v>2858</v>
      </c>
      <c r="C849" t="s">
        <v>7</v>
      </c>
      <c r="D849" t="s">
        <v>2856</v>
      </c>
      <c r="E849" t="s">
        <v>2857</v>
      </c>
      <c r="I849" t="s">
        <v>938</v>
      </c>
      <c r="K849" t="s">
        <v>313</v>
      </c>
      <c r="L849" s="67">
        <v>0.25</v>
      </c>
      <c r="N849" s="67">
        <v>0.05</v>
      </c>
      <c r="O849" s="68">
        <v>44969</v>
      </c>
      <c r="P849" s="68">
        <v>44969</v>
      </c>
      <c r="Q849" s="57">
        <v>50369734.185132816</v>
      </c>
      <c r="R849" t="s">
        <v>748</v>
      </c>
    </row>
    <row r="850" spans="1:18">
      <c r="A850">
        <v>1871</v>
      </c>
      <c r="B850" t="s">
        <v>2859</v>
      </c>
      <c r="C850" t="s">
        <v>0</v>
      </c>
      <c r="D850" t="s">
        <v>2629</v>
      </c>
      <c r="I850" t="s">
        <v>24</v>
      </c>
      <c r="K850" t="s">
        <v>313</v>
      </c>
      <c r="L850" s="67">
        <v>0.3</v>
      </c>
      <c r="N850" s="67">
        <v>0.05</v>
      </c>
      <c r="O850" s="68">
        <v>44970</v>
      </c>
      <c r="P850" s="68">
        <v>44970</v>
      </c>
      <c r="Q850" s="57">
        <v>570418059.97929418</v>
      </c>
      <c r="R850" t="s">
        <v>748</v>
      </c>
    </row>
    <row r="851" spans="1:18">
      <c r="A851">
        <v>1872</v>
      </c>
      <c r="B851" t="s">
        <v>2861</v>
      </c>
      <c r="C851" t="s">
        <v>0</v>
      </c>
      <c r="D851" t="s">
        <v>2860</v>
      </c>
      <c r="I851" t="s">
        <v>1434</v>
      </c>
      <c r="K851" t="s">
        <v>313</v>
      </c>
      <c r="L851" s="67">
        <v>0.25</v>
      </c>
      <c r="N851" s="67">
        <v>0</v>
      </c>
      <c r="O851" s="68">
        <v>44970</v>
      </c>
      <c r="P851" s="68">
        <v>44970</v>
      </c>
      <c r="Q851" s="57">
        <v>86052819.691101521</v>
      </c>
      <c r="R851" t="s">
        <v>748</v>
      </c>
    </row>
    <row r="852" spans="1:18">
      <c r="A852">
        <v>1873</v>
      </c>
      <c r="B852" t="s">
        <v>2864</v>
      </c>
      <c r="C852" t="s">
        <v>3</v>
      </c>
      <c r="D852" t="s">
        <v>2862</v>
      </c>
      <c r="I852" t="s">
        <v>2863</v>
      </c>
      <c r="K852" t="s">
        <v>313</v>
      </c>
      <c r="L852" s="67">
        <v>0.25</v>
      </c>
      <c r="N852" s="67">
        <v>0</v>
      </c>
      <c r="O852" s="68">
        <v>44970</v>
      </c>
      <c r="P852" s="68">
        <v>44970</v>
      </c>
      <c r="Q852" s="57">
        <v>88272073.431926236</v>
      </c>
      <c r="R852" t="s">
        <v>748</v>
      </c>
    </row>
    <row r="853" spans="1:18">
      <c r="A853">
        <v>1874</v>
      </c>
      <c r="B853" t="s">
        <v>2866</v>
      </c>
      <c r="C853" t="s">
        <v>3</v>
      </c>
      <c r="D853" t="s">
        <v>2865</v>
      </c>
      <c r="I853" t="s">
        <v>938</v>
      </c>
      <c r="K853" t="s">
        <v>313</v>
      </c>
      <c r="L853" s="67">
        <v>0.25</v>
      </c>
      <c r="N853" s="67">
        <v>0.05</v>
      </c>
      <c r="O853" s="68">
        <v>44970</v>
      </c>
      <c r="P853" s="68">
        <v>44970</v>
      </c>
      <c r="Q853" s="57">
        <v>135074262.73000482</v>
      </c>
      <c r="R853" t="s">
        <v>748</v>
      </c>
    </row>
    <row r="854" spans="1:18">
      <c r="A854">
        <v>1875</v>
      </c>
      <c r="B854" t="s">
        <v>2868</v>
      </c>
      <c r="C854" t="s">
        <v>7</v>
      </c>
      <c r="D854" t="s">
        <v>2512</v>
      </c>
      <c r="I854" t="s">
        <v>24</v>
      </c>
      <c r="K854" t="s">
        <v>313</v>
      </c>
      <c r="L854" s="67">
        <v>0.19162974539489863</v>
      </c>
      <c r="N854" s="67">
        <v>0</v>
      </c>
      <c r="O854" s="68">
        <v>44972</v>
      </c>
      <c r="P854" s="68">
        <v>44972</v>
      </c>
      <c r="Q854" s="57">
        <v>72000000.000000015</v>
      </c>
      <c r="R854" t="s">
        <v>748</v>
      </c>
    </row>
    <row r="855" spans="1:18">
      <c r="A855">
        <v>1876</v>
      </c>
      <c r="B855" t="s">
        <v>2869</v>
      </c>
      <c r="C855" t="s">
        <v>7</v>
      </c>
      <c r="D855" t="s">
        <v>2854</v>
      </c>
      <c r="I855" t="s">
        <v>2205</v>
      </c>
      <c r="K855" t="s">
        <v>313</v>
      </c>
      <c r="L855" s="67">
        <v>0.25</v>
      </c>
      <c r="N855" s="67">
        <v>0</v>
      </c>
      <c r="O855" s="68">
        <v>44973</v>
      </c>
      <c r="P855" s="68">
        <v>44973</v>
      </c>
      <c r="Q855" s="57">
        <v>473155775.46244574</v>
      </c>
      <c r="R855" t="s">
        <v>748</v>
      </c>
    </row>
    <row r="856" spans="1:18">
      <c r="A856">
        <v>1877</v>
      </c>
      <c r="B856" t="s">
        <v>2871</v>
      </c>
      <c r="C856" t="s">
        <v>7</v>
      </c>
      <c r="D856" t="s">
        <v>2870</v>
      </c>
      <c r="I856" t="s">
        <v>133</v>
      </c>
      <c r="K856" t="s">
        <v>313</v>
      </c>
      <c r="L856" s="67">
        <v>0.3</v>
      </c>
      <c r="N856" s="67">
        <v>0</v>
      </c>
      <c r="O856" s="68">
        <v>44975</v>
      </c>
      <c r="P856" s="68">
        <v>44975</v>
      </c>
      <c r="Q856" s="57">
        <v>169001830.55112377</v>
      </c>
      <c r="R856" t="s">
        <v>748</v>
      </c>
    </row>
    <row r="857" spans="1:18">
      <c r="A857">
        <v>1878</v>
      </c>
      <c r="B857" t="s">
        <v>2873</v>
      </c>
      <c r="C857" t="s">
        <v>7</v>
      </c>
      <c r="D857" t="s">
        <v>2872</v>
      </c>
      <c r="I857" t="s">
        <v>133</v>
      </c>
      <c r="K857" t="s">
        <v>313</v>
      </c>
      <c r="L857" s="67">
        <v>0.3</v>
      </c>
      <c r="N857" s="67">
        <v>0</v>
      </c>
      <c r="O857" s="68">
        <v>44975</v>
      </c>
      <c r="P857" s="68">
        <v>44975</v>
      </c>
      <c r="Q857" s="57">
        <v>331091246.29766196</v>
      </c>
      <c r="R857" t="s">
        <v>748</v>
      </c>
    </row>
    <row r="858" spans="1:18">
      <c r="A858">
        <v>1879</v>
      </c>
      <c r="B858" t="s">
        <v>2885</v>
      </c>
      <c r="C858" t="s">
        <v>7</v>
      </c>
      <c r="D858" t="s">
        <v>749</v>
      </c>
      <c r="E858" t="s">
        <v>2874</v>
      </c>
      <c r="I858" t="s">
        <v>1079</v>
      </c>
      <c r="K858" t="s">
        <v>313</v>
      </c>
      <c r="L858" s="67">
        <v>0.25</v>
      </c>
      <c r="N858" s="67">
        <v>0</v>
      </c>
      <c r="O858" s="68">
        <v>44977</v>
      </c>
      <c r="P858" s="68">
        <v>44977</v>
      </c>
      <c r="Q858" s="57">
        <v>50221792.882438891</v>
      </c>
      <c r="R858" t="s">
        <v>748</v>
      </c>
    </row>
    <row r="859" spans="1:18">
      <c r="A859">
        <v>1880</v>
      </c>
      <c r="B859" t="s">
        <v>2887</v>
      </c>
      <c r="C859" t="s">
        <v>7</v>
      </c>
      <c r="D859" t="s">
        <v>2886</v>
      </c>
      <c r="I859" t="s">
        <v>867</v>
      </c>
      <c r="K859" t="s">
        <v>313</v>
      </c>
      <c r="L859" s="67">
        <v>0.25</v>
      </c>
      <c r="N859" s="67">
        <v>0</v>
      </c>
      <c r="O859" s="68">
        <v>44977</v>
      </c>
      <c r="P859" s="68">
        <v>44977</v>
      </c>
      <c r="Q859" s="57">
        <v>98764771.764751971</v>
      </c>
      <c r="R859" t="s">
        <v>748</v>
      </c>
    </row>
    <row r="860" spans="1:18">
      <c r="A860">
        <v>1881</v>
      </c>
      <c r="B860" t="s">
        <v>2888</v>
      </c>
      <c r="C860" t="s">
        <v>10</v>
      </c>
      <c r="D860" t="s">
        <v>2723</v>
      </c>
      <c r="I860" t="s">
        <v>1434</v>
      </c>
      <c r="K860" t="s">
        <v>313</v>
      </c>
      <c r="L860" s="67">
        <v>0.25</v>
      </c>
      <c r="N860" s="67">
        <v>0.05</v>
      </c>
      <c r="O860" s="68">
        <v>44978</v>
      </c>
      <c r="P860" s="68">
        <v>44978</v>
      </c>
      <c r="Q860" s="57">
        <v>311573688</v>
      </c>
      <c r="R860" t="s">
        <v>748</v>
      </c>
    </row>
    <row r="861" spans="1:18">
      <c r="A861">
        <v>1882</v>
      </c>
      <c r="B861" t="s">
        <v>2889</v>
      </c>
      <c r="C861" t="s">
        <v>10</v>
      </c>
      <c r="D861" t="s">
        <v>2723</v>
      </c>
      <c r="I861" t="s">
        <v>1434</v>
      </c>
      <c r="K861" t="s">
        <v>313</v>
      </c>
      <c r="L861" s="67">
        <v>0.25</v>
      </c>
      <c r="N861" s="67">
        <v>0.05</v>
      </c>
      <c r="O861" s="68">
        <v>44978</v>
      </c>
      <c r="P861" s="68">
        <v>44978</v>
      </c>
      <c r="Q861" s="57">
        <v>311573688</v>
      </c>
      <c r="R861" t="s">
        <v>748</v>
      </c>
    </row>
    <row r="862" spans="1:18">
      <c r="A862">
        <v>1883</v>
      </c>
      <c r="B862" t="s">
        <v>2890</v>
      </c>
      <c r="C862" t="s">
        <v>0</v>
      </c>
      <c r="D862" t="s">
        <v>1479</v>
      </c>
      <c r="I862" t="s">
        <v>24</v>
      </c>
      <c r="K862" t="s">
        <v>313</v>
      </c>
      <c r="L862" s="67">
        <v>0.3</v>
      </c>
      <c r="N862" s="67">
        <v>0</v>
      </c>
      <c r="O862" s="68">
        <v>44981</v>
      </c>
      <c r="P862" s="68">
        <v>44981</v>
      </c>
      <c r="Q862" s="57">
        <v>296121499.31114149</v>
      </c>
      <c r="R862" t="s">
        <v>748</v>
      </c>
    </row>
    <row r="863" spans="1:18">
      <c r="A863">
        <v>1884</v>
      </c>
      <c r="B863" t="s">
        <v>2893</v>
      </c>
      <c r="C863" t="s">
        <v>0</v>
      </c>
      <c r="D863" t="s">
        <v>2891</v>
      </c>
      <c r="E863" t="s">
        <v>2892</v>
      </c>
      <c r="I863" t="s">
        <v>753</v>
      </c>
      <c r="K863" t="s">
        <v>313</v>
      </c>
      <c r="L863" s="67">
        <v>0.3</v>
      </c>
      <c r="N863" s="67">
        <v>0</v>
      </c>
      <c r="O863" s="68">
        <v>44985</v>
      </c>
      <c r="P863" s="68">
        <v>44985</v>
      </c>
      <c r="Q863" s="57">
        <v>276398218.29749864</v>
      </c>
      <c r="R863" t="s">
        <v>748</v>
      </c>
    </row>
    <row r="864" spans="1:18">
      <c r="A864">
        <v>1885</v>
      </c>
      <c r="B864" t="s">
        <v>2895</v>
      </c>
      <c r="C864" t="s">
        <v>0</v>
      </c>
      <c r="D864" t="s">
        <v>2891</v>
      </c>
      <c r="E864" t="s">
        <v>2894</v>
      </c>
      <c r="I864" t="s">
        <v>753</v>
      </c>
      <c r="K864" t="s">
        <v>313</v>
      </c>
      <c r="L864" s="67">
        <v>0.3</v>
      </c>
      <c r="N864" s="67">
        <v>0</v>
      </c>
      <c r="O864" s="68">
        <v>44985</v>
      </c>
      <c r="P864" s="68">
        <v>44985</v>
      </c>
      <c r="Q864" s="57">
        <v>404500494.17110008</v>
      </c>
      <c r="R864" t="s">
        <v>748</v>
      </c>
    </row>
    <row r="865" spans="1:18">
      <c r="A865">
        <v>1886</v>
      </c>
      <c r="B865" t="s">
        <v>2897</v>
      </c>
      <c r="C865" t="s">
        <v>0</v>
      </c>
      <c r="D865" t="s">
        <v>2164</v>
      </c>
      <c r="E865" t="s">
        <v>2896</v>
      </c>
      <c r="I865" t="s">
        <v>24</v>
      </c>
      <c r="K865" t="s">
        <v>313</v>
      </c>
      <c r="L865" s="67">
        <v>0.25</v>
      </c>
      <c r="N865" s="67">
        <v>0.05</v>
      </c>
      <c r="O865" s="68">
        <v>44989</v>
      </c>
      <c r="P865" s="68">
        <v>44989</v>
      </c>
      <c r="Q865" s="57">
        <v>96464024.116818458</v>
      </c>
      <c r="R865" t="s">
        <v>748</v>
      </c>
    </row>
    <row r="866" spans="1:18">
      <c r="A866">
        <v>1887</v>
      </c>
      <c r="B866" t="s">
        <v>2899</v>
      </c>
      <c r="C866" t="s">
        <v>0</v>
      </c>
      <c r="D866" t="s">
        <v>2164</v>
      </c>
      <c r="E866" t="s">
        <v>2898</v>
      </c>
      <c r="I866" t="s">
        <v>24</v>
      </c>
      <c r="K866" t="s">
        <v>313</v>
      </c>
      <c r="L866" s="67">
        <v>0.25</v>
      </c>
      <c r="N866" s="67">
        <v>0.05</v>
      </c>
      <c r="O866" s="68">
        <v>44989</v>
      </c>
      <c r="P866" s="68">
        <v>44989</v>
      </c>
      <c r="Q866" s="57">
        <v>213948920.87198076</v>
      </c>
      <c r="R866" t="s">
        <v>748</v>
      </c>
    </row>
    <row r="867" spans="1:18">
      <c r="A867">
        <v>1888</v>
      </c>
      <c r="B867" t="s">
        <v>2900</v>
      </c>
      <c r="C867" t="s">
        <v>0</v>
      </c>
      <c r="D867" t="s">
        <v>2164</v>
      </c>
      <c r="E867" t="s">
        <v>2896</v>
      </c>
      <c r="I867" t="s">
        <v>24</v>
      </c>
      <c r="K867" t="s">
        <v>313</v>
      </c>
      <c r="L867" s="67">
        <v>0.25</v>
      </c>
      <c r="N867" s="67">
        <v>0.05</v>
      </c>
      <c r="O867" s="68">
        <v>44989</v>
      </c>
      <c r="P867" s="68">
        <v>44989</v>
      </c>
      <c r="Q867" s="57">
        <v>113090348.64465149</v>
      </c>
      <c r="R867" t="s">
        <v>748</v>
      </c>
    </row>
    <row r="868" spans="1:18">
      <c r="A868">
        <v>1889</v>
      </c>
      <c r="B868" t="s">
        <v>2902</v>
      </c>
      <c r="C868" t="s">
        <v>0</v>
      </c>
      <c r="D868" t="s">
        <v>2164</v>
      </c>
      <c r="E868" t="s">
        <v>2901</v>
      </c>
      <c r="I868" t="s">
        <v>24</v>
      </c>
      <c r="K868" t="s">
        <v>313</v>
      </c>
      <c r="L868" s="67">
        <v>0.25</v>
      </c>
      <c r="N868" s="67">
        <v>0.05</v>
      </c>
      <c r="O868" s="68">
        <v>44989</v>
      </c>
      <c r="P868" s="68">
        <v>44989</v>
      </c>
      <c r="Q868" s="57">
        <v>63278243.120000683</v>
      </c>
      <c r="R868" t="s">
        <v>748</v>
      </c>
    </row>
    <row r="869" spans="1:18">
      <c r="A869">
        <v>1890</v>
      </c>
      <c r="B869" t="s">
        <v>2904</v>
      </c>
      <c r="C869" t="s">
        <v>0</v>
      </c>
      <c r="D869" t="s">
        <v>2164</v>
      </c>
      <c r="E869" t="s">
        <v>2903</v>
      </c>
      <c r="I869" t="s">
        <v>24</v>
      </c>
      <c r="K869" t="s">
        <v>313</v>
      </c>
      <c r="L869" s="67">
        <v>0.25</v>
      </c>
      <c r="N869" s="67">
        <v>0.05</v>
      </c>
      <c r="O869" s="68">
        <v>44989</v>
      </c>
      <c r="P869" s="68">
        <v>44989</v>
      </c>
      <c r="Q869" s="57">
        <v>59543287.892953187</v>
      </c>
      <c r="R869" t="s">
        <v>748</v>
      </c>
    </row>
    <row r="870" spans="1:18">
      <c r="A870">
        <v>1891</v>
      </c>
      <c r="B870" t="s">
        <v>2905</v>
      </c>
      <c r="C870" t="s">
        <v>0</v>
      </c>
      <c r="D870" t="s">
        <v>2164</v>
      </c>
      <c r="E870" t="s">
        <v>2898</v>
      </c>
      <c r="I870" t="s">
        <v>24</v>
      </c>
      <c r="K870" t="s">
        <v>313</v>
      </c>
      <c r="L870" s="67">
        <v>0.25</v>
      </c>
      <c r="N870" s="67">
        <v>0.05</v>
      </c>
      <c r="O870" s="68">
        <v>44989</v>
      </c>
      <c r="P870" s="68">
        <v>44989</v>
      </c>
      <c r="Q870" s="57">
        <v>42233952.847462438</v>
      </c>
      <c r="R870" t="s">
        <v>748</v>
      </c>
    </row>
    <row r="871" spans="1:18">
      <c r="A871">
        <v>1892</v>
      </c>
      <c r="B871" t="s">
        <v>2907</v>
      </c>
      <c r="C871" t="s">
        <v>0</v>
      </c>
      <c r="D871" t="s">
        <v>2164</v>
      </c>
      <c r="E871" t="s">
        <v>2906</v>
      </c>
      <c r="I871" t="s">
        <v>24</v>
      </c>
      <c r="K871" t="s">
        <v>313</v>
      </c>
      <c r="L871" s="67">
        <v>0.25</v>
      </c>
      <c r="N871" s="67">
        <v>0.05</v>
      </c>
      <c r="O871" s="68">
        <v>44989</v>
      </c>
      <c r="P871" s="68">
        <v>44989</v>
      </c>
      <c r="Q871" s="57">
        <v>26179477.731339347</v>
      </c>
      <c r="R871" t="s">
        <v>748</v>
      </c>
    </row>
    <row r="872" spans="1:18">
      <c r="A872">
        <v>1893</v>
      </c>
      <c r="B872" t="s">
        <v>2908</v>
      </c>
      <c r="C872" t="s">
        <v>0</v>
      </c>
      <c r="D872" t="s">
        <v>2827</v>
      </c>
      <c r="I872" t="s">
        <v>24</v>
      </c>
      <c r="K872" t="s">
        <v>313</v>
      </c>
      <c r="L872" s="67">
        <v>0.3</v>
      </c>
      <c r="N872" s="67">
        <v>0.05</v>
      </c>
      <c r="O872" s="68">
        <v>44990</v>
      </c>
      <c r="P872" s="68">
        <v>44990</v>
      </c>
      <c r="Q872" s="57">
        <v>333282218.32557929</v>
      </c>
      <c r="R872" t="s">
        <v>748</v>
      </c>
    </row>
    <row r="873" spans="1:18">
      <c r="A873">
        <v>1894</v>
      </c>
      <c r="B873" t="s">
        <v>2911</v>
      </c>
      <c r="C873" t="s">
        <v>0</v>
      </c>
      <c r="D873" t="s">
        <v>2909</v>
      </c>
      <c r="E873" t="s">
        <v>2910</v>
      </c>
      <c r="I873" t="s">
        <v>2353</v>
      </c>
      <c r="K873" t="s">
        <v>313</v>
      </c>
      <c r="L873" s="67">
        <v>0.25</v>
      </c>
      <c r="N873" s="67">
        <v>0</v>
      </c>
      <c r="O873" s="68">
        <v>44990</v>
      </c>
      <c r="P873" s="68">
        <v>44990</v>
      </c>
      <c r="Q873" s="57">
        <v>62345637.680864535</v>
      </c>
      <c r="R873" t="s">
        <v>748</v>
      </c>
    </row>
    <row r="874" spans="1:18">
      <c r="A874">
        <v>1895</v>
      </c>
      <c r="B874" t="s">
        <v>2913</v>
      </c>
      <c r="C874" t="s">
        <v>0</v>
      </c>
      <c r="D874" t="s">
        <v>2912</v>
      </c>
      <c r="I874" t="s">
        <v>1434</v>
      </c>
      <c r="K874" t="s">
        <v>313</v>
      </c>
      <c r="L874" s="67">
        <v>0.3</v>
      </c>
      <c r="N874" s="67">
        <v>0</v>
      </c>
      <c r="O874" s="68">
        <v>44990</v>
      </c>
      <c r="P874" s="68">
        <v>44990</v>
      </c>
      <c r="Q874" s="57">
        <v>331859909.21731544</v>
      </c>
      <c r="R874" t="s">
        <v>748</v>
      </c>
    </row>
    <row r="875" spans="1:18">
      <c r="A875">
        <v>1896</v>
      </c>
      <c r="B875" t="s">
        <v>2914</v>
      </c>
      <c r="C875" t="s">
        <v>0</v>
      </c>
      <c r="D875" t="s">
        <v>1479</v>
      </c>
      <c r="I875" t="s">
        <v>24</v>
      </c>
      <c r="K875" t="s">
        <v>313</v>
      </c>
      <c r="L875" s="67">
        <v>0.3</v>
      </c>
      <c r="N875" s="67">
        <v>0</v>
      </c>
      <c r="O875" s="68">
        <v>44990</v>
      </c>
      <c r="P875" s="68">
        <v>44990</v>
      </c>
      <c r="Q875" s="57">
        <v>269341160.99541533</v>
      </c>
      <c r="R875" t="s">
        <v>748</v>
      </c>
    </row>
    <row r="876" spans="1:18">
      <c r="A876">
        <v>1897</v>
      </c>
      <c r="B876" t="s">
        <v>2915</v>
      </c>
      <c r="C876" t="s">
        <v>3</v>
      </c>
      <c r="D876" t="s">
        <v>2540</v>
      </c>
      <c r="I876" t="s">
        <v>135</v>
      </c>
      <c r="K876" t="s">
        <v>313</v>
      </c>
      <c r="L876" s="67">
        <v>0.25</v>
      </c>
      <c r="N876" s="67">
        <v>0.02</v>
      </c>
      <c r="O876" s="68">
        <v>44992</v>
      </c>
      <c r="P876" s="68">
        <v>44992</v>
      </c>
      <c r="Q876" s="57">
        <v>454631267.15217406</v>
      </c>
      <c r="R876" t="s">
        <v>748</v>
      </c>
    </row>
    <row r="877" spans="1:18">
      <c r="A877">
        <v>1898</v>
      </c>
      <c r="B877" t="s">
        <v>2918</v>
      </c>
      <c r="C877" t="s">
        <v>0</v>
      </c>
      <c r="D877" t="s">
        <v>2916</v>
      </c>
      <c r="E877" t="s">
        <v>2917</v>
      </c>
      <c r="I877" t="s">
        <v>1434</v>
      </c>
      <c r="K877" t="s">
        <v>313</v>
      </c>
      <c r="L877" s="67">
        <v>0.25</v>
      </c>
      <c r="N877" s="67">
        <v>0</v>
      </c>
      <c r="O877" s="68">
        <v>44993</v>
      </c>
      <c r="P877" s="68">
        <v>44993</v>
      </c>
      <c r="Q877" s="57">
        <v>34034365.274524309</v>
      </c>
      <c r="R877" t="s">
        <v>748</v>
      </c>
    </row>
    <row r="878" spans="1:18">
      <c r="A878">
        <v>1899</v>
      </c>
      <c r="B878" t="s">
        <v>2921</v>
      </c>
      <c r="C878" t="s">
        <v>7</v>
      </c>
      <c r="D878" t="s">
        <v>2919</v>
      </c>
      <c r="E878" t="s">
        <v>2920</v>
      </c>
      <c r="I878" t="s">
        <v>859</v>
      </c>
      <c r="K878" t="s">
        <v>313</v>
      </c>
      <c r="L878" s="67">
        <v>0.24502672262212119</v>
      </c>
      <c r="N878" s="67">
        <v>0</v>
      </c>
      <c r="O878" s="68">
        <v>44996</v>
      </c>
      <c r="P878" s="68">
        <v>44996</v>
      </c>
      <c r="Q878" s="57">
        <v>231075236.00035259</v>
      </c>
      <c r="R878" t="s">
        <v>748</v>
      </c>
    </row>
    <row r="879" spans="1:18">
      <c r="A879">
        <v>1900</v>
      </c>
      <c r="B879" t="s">
        <v>2922</v>
      </c>
      <c r="C879" t="s">
        <v>7</v>
      </c>
      <c r="D879" t="s">
        <v>2919</v>
      </c>
      <c r="E879" t="s">
        <v>2920</v>
      </c>
      <c r="I879" t="s">
        <v>859</v>
      </c>
      <c r="K879" t="s">
        <v>313</v>
      </c>
      <c r="L879" s="67">
        <v>0.25</v>
      </c>
      <c r="N879" s="67">
        <v>0</v>
      </c>
      <c r="O879" s="68">
        <v>44996</v>
      </c>
      <c r="P879" s="68">
        <v>44996</v>
      </c>
      <c r="Q879" s="57">
        <v>243264251.86675343</v>
      </c>
      <c r="R879" t="s">
        <v>748</v>
      </c>
    </row>
    <row r="880" spans="1:18">
      <c r="A880">
        <v>1901</v>
      </c>
      <c r="B880" t="s">
        <v>2924</v>
      </c>
      <c r="C880" t="s">
        <v>10</v>
      </c>
      <c r="D880" t="s">
        <v>2923</v>
      </c>
      <c r="I880" t="s">
        <v>24</v>
      </c>
      <c r="K880" t="s">
        <v>313</v>
      </c>
      <c r="L880" s="67">
        <v>0.25</v>
      </c>
      <c r="N880" s="67">
        <v>0</v>
      </c>
      <c r="O880" s="68">
        <v>44998</v>
      </c>
      <c r="P880" s="68">
        <v>44998</v>
      </c>
      <c r="Q880" s="57">
        <v>11292597.942546921</v>
      </c>
      <c r="R880" t="s">
        <v>748</v>
      </c>
    </row>
    <row r="881" spans="1:18">
      <c r="A881">
        <v>1902</v>
      </c>
      <c r="B881" t="s">
        <v>2928</v>
      </c>
      <c r="C881" t="s">
        <v>7</v>
      </c>
      <c r="D881" t="s">
        <v>2926</v>
      </c>
      <c r="E881" t="s">
        <v>2927</v>
      </c>
      <c r="I881" t="s">
        <v>753</v>
      </c>
      <c r="K881" t="s">
        <v>313</v>
      </c>
      <c r="L881" s="67">
        <v>0.25</v>
      </c>
      <c r="N881" s="67">
        <v>0.05</v>
      </c>
      <c r="O881" s="68">
        <v>45000</v>
      </c>
      <c r="P881" s="68">
        <v>45000</v>
      </c>
      <c r="Q881" s="57">
        <v>373882028.78505838</v>
      </c>
      <c r="R881" t="s">
        <v>748</v>
      </c>
    </row>
    <row r="882" spans="1:18">
      <c r="A882">
        <v>1903</v>
      </c>
      <c r="B882" t="s">
        <v>2930</v>
      </c>
      <c r="C882" t="s">
        <v>7</v>
      </c>
      <c r="D882" t="s">
        <v>2926</v>
      </c>
      <c r="E882" t="s">
        <v>2929</v>
      </c>
      <c r="I882" t="s">
        <v>753</v>
      </c>
      <c r="K882" t="s">
        <v>313</v>
      </c>
      <c r="L882" s="67">
        <v>0.25</v>
      </c>
      <c r="N882" s="67">
        <v>0.05</v>
      </c>
      <c r="O882" s="68">
        <v>45000</v>
      </c>
      <c r="P882" s="68">
        <v>45000</v>
      </c>
      <c r="Q882" s="57">
        <v>647131830.86558318</v>
      </c>
      <c r="R882" t="s">
        <v>748</v>
      </c>
    </row>
    <row r="883" spans="1:18">
      <c r="A883">
        <v>1904</v>
      </c>
      <c r="B883" t="s">
        <v>2931</v>
      </c>
      <c r="C883" t="s">
        <v>7</v>
      </c>
      <c r="D883" t="s">
        <v>2926</v>
      </c>
      <c r="E883" t="s">
        <v>2929</v>
      </c>
      <c r="I883" t="s">
        <v>753</v>
      </c>
      <c r="K883" t="s">
        <v>313</v>
      </c>
      <c r="L883" s="67">
        <v>0.25</v>
      </c>
      <c r="N883" s="67">
        <v>0.05</v>
      </c>
      <c r="O883" s="68">
        <v>45000</v>
      </c>
      <c r="P883" s="68">
        <v>45000</v>
      </c>
      <c r="Q883" s="57">
        <v>401613414.54232997</v>
      </c>
      <c r="R883" t="s">
        <v>748</v>
      </c>
    </row>
    <row r="884" spans="1:18">
      <c r="A884">
        <v>1905</v>
      </c>
      <c r="B884" t="s">
        <v>2933</v>
      </c>
      <c r="C884" t="s">
        <v>7</v>
      </c>
      <c r="D884" t="s">
        <v>2533</v>
      </c>
      <c r="E884" t="s">
        <v>2932</v>
      </c>
      <c r="I884" t="s">
        <v>24</v>
      </c>
      <c r="K884" t="s">
        <v>313</v>
      </c>
      <c r="L884" s="67">
        <v>0.25</v>
      </c>
      <c r="N884" s="67">
        <v>0</v>
      </c>
      <c r="O884" s="68">
        <v>45001</v>
      </c>
      <c r="P884" s="68">
        <v>45001</v>
      </c>
      <c r="Q884" s="57">
        <v>406821348.29577935</v>
      </c>
      <c r="R884" t="s">
        <v>748</v>
      </c>
    </row>
    <row r="885" spans="1:18">
      <c r="A885">
        <v>1906</v>
      </c>
      <c r="B885" t="s">
        <v>2934</v>
      </c>
      <c r="C885" t="s">
        <v>0</v>
      </c>
      <c r="D885" t="s">
        <v>736</v>
      </c>
      <c r="I885" t="s">
        <v>1434</v>
      </c>
      <c r="K885" t="s">
        <v>313</v>
      </c>
      <c r="L885" s="67">
        <v>0.25</v>
      </c>
      <c r="N885" s="67">
        <v>0</v>
      </c>
      <c r="O885" s="68">
        <v>45008</v>
      </c>
      <c r="P885" s="68">
        <v>45008</v>
      </c>
      <c r="Q885" s="57">
        <v>41888304.840816185</v>
      </c>
      <c r="R885" t="s">
        <v>748</v>
      </c>
    </row>
    <row r="886" spans="1:18">
      <c r="A886">
        <v>1907</v>
      </c>
      <c r="B886" t="s">
        <v>2936</v>
      </c>
      <c r="C886" t="s">
        <v>0</v>
      </c>
      <c r="D886" t="s">
        <v>2935</v>
      </c>
      <c r="I886" t="s">
        <v>135</v>
      </c>
      <c r="K886" t="s">
        <v>313</v>
      </c>
      <c r="L886" s="67">
        <v>0.3</v>
      </c>
      <c r="N886" s="67">
        <v>0</v>
      </c>
      <c r="O886" s="68">
        <v>45013</v>
      </c>
      <c r="P886" s="68">
        <v>45013</v>
      </c>
      <c r="Q886" s="57">
        <v>307753720.60992974</v>
      </c>
      <c r="R886" t="s">
        <v>748</v>
      </c>
    </row>
    <row r="887" spans="1:18">
      <c r="A887">
        <v>1908</v>
      </c>
      <c r="B887" t="s">
        <v>2938</v>
      </c>
      <c r="C887" t="s">
        <v>0</v>
      </c>
      <c r="D887" t="s">
        <v>1053</v>
      </c>
      <c r="E887" t="s">
        <v>2937</v>
      </c>
      <c r="I887" t="s">
        <v>1053</v>
      </c>
      <c r="J887">
        <v>220</v>
      </c>
      <c r="K887" t="s">
        <v>554</v>
      </c>
      <c r="M887">
        <v>0</v>
      </c>
      <c r="O887" s="68">
        <v>45014</v>
      </c>
      <c r="P887" s="68">
        <v>45014</v>
      </c>
      <c r="R887" t="s">
        <v>748</v>
      </c>
    </row>
    <row r="888" spans="1:18">
      <c r="A888">
        <v>1909</v>
      </c>
      <c r="B888" t="s">
        <v>2939</v>
      </c>
      <c r="C888" t="s">
        <v>0</v>
      </c>
      <c r="D888" t="s">
        <v>1053</v>
      </c>
      <c r="E888" t="s">
        <v>2937</v>
      </c>
      <c r="I888" t="s">
        <v>1053</v>
      </c>
      <c r="J888">
        <v>220</v>
      </c>
      <c r="K888" t="s">
        <v>554</v>
      </c>
      <c r="M888">
        <v>0</v>
      </c>
      <c r="O888" s="68">
        <v>45014</v>
      </c>
      <c r="P888" s="68">
        <v>45014</v>
      </c>
      <c r="R888" t="s">
        <v>748</v>
      </c>
    </row>
    <row r="889" spans="1:18">
      <c r="A889">
        <v>1910</v>
      </c>
      <c r="B889" t="s">
        <v>2943</v>
      </c>
      <c r="C889" t="s">
        <v>3</v>
      </c>
      <c r="D889" t="s">
        <v>1875</v>
      </c>
      <c r="E889">
        <v>3384984</v>
      </c>
      <c r="I889" t="s">
        <v>753</v>
      </c>
      <c r="K889" t="s">
        <v>313</v>
      </c>
      <c r="L889" s="67">
        <v>0.3</v>
      </c>
      <c r="N889" s="67">
        <v>0.05</v>
      </c>
      <c r="O889" s="68">
        <v>45014</v>
      </c>
      <c r="P889" s="68">
        <v>45014</v>
      </c>
      <c r="Q889" s="57">
        <v>216955488.82422456</v>
      </c>
      <c r="R889" t="s">
        <v>748</v>
      </c>
    </row>
    <row r="890" spans="1:18">
      <c r="A890">
        <v>1911</v>
      </c>
      <c r="B890" t="s">
        <v>2944</v>
      </c>
      <c r="C890" t="s">
        <v>3</v>
      </c>
      <c r="D890" t="s">
        <v>1875</v>
      </c>
      <c r="E890">
        <v>12444537</v>
      </c>
      <c r="I890" t="s">
        <v>753</v>
      </c>
      <c r="K890" t="s">
        <v>313</v>
      </c>
      <c r="L890" s="67">
        <v>0.3</v>
      </c>
      <c r="N890" s="67">
        <v>0.05</v>
      </c>
      <c r="O890" s="68">
        <v>45014</v>
      </c>
      <c r="P890" s="68">
        <v>45014</v>
      </c>
      <c r="Q890" s="57">
        <v>194467221.03875563</v>
      </c>
      <c r="R890" t="s">
        <v>748</v>
      </c>
    </row>
    <row r="891" spans="1:18">
      <c r="A891">
        <v>1912</v>
      </c>
      <c r="B891" t="s">
        <v>2945</v>
      </c>
      <c r="C891" t="s">
        <v>3</v>
      </c>
      <c r="D891" t="s">
        <v>1875</v>
      </c>
      <c r="E891">
        <v>12444533</v>
      </c>
      <c r="I891" t="s">
        <v>753</v>
      </c>
      <c r="K891" t="s">
        <v>313</v>
      </c>
      <c r="L891" s="67">
        <v>0.3</v>
      </c>
      <c r="N891" s="67">
        <v>0.05</v>
      </c>
      <c r="O891" s="68">
        <v>45014</v>
      </c>
      <c r="P891" s="68">
        <v>45014</v>
      </c>
      <c r="Q891" s="57">
        <v>216955488.82422456</v>
      </c>
      <c r="R891" t="s">
        <v>748</v>
      </c>
    </row>
    <row r="892" spans="1:18">
      <c r="A892">
        <v>1913</v>
      </c>
      <c r="B892" t="s">
        <v>2946</v>
      </c>
      <c r="C892" t="s">
        <v>0</v>
      </c>
      <c r="D892" t="s">
        <v>2082</v>
      </c>
      <c r="E892" t="s">
        <v>2641</v>
      </c>
      <c r="I892" t="s">
        <v>2431</v>
      </c>
      <c r="K892" t="s">
        <v>313</v>
      </c>
      <c r="L892" s="67">
        <v>0.25</v>
      </c>
      <c r="N892" s="67">
        <v>0.05</v>
      </c>
      <c r="O892" s="68">
        <v>45014</v>
      </c>
      <c r="P892" s="68">
        <v>45014</v>
      </c>
      <c r="Q892" s="57">
        <v>133740077.4033812</v>
      </c>
      <c r="R892" t="s">
        <v>748</v>
      </c>
    </row>
    <row r="893" spans="1:18">
      <c r="A893">
        <v>1914</v>
      </c>
      <c r="B893" t="s">
        <v>2947</v>
      </c>
      <c r="C893" t="s">
        <v>0</v>
      </c>
      <c r="D893" t="s">
        <v>2422</v>
      </c>
      <c r="E893" t="s">
        <v>1189</v>
      </c>
      <c r="I893" t="s">
        <v>1434</v>
      </c>
      <c r="K893" t="s">
        <v>313</v>
      </c>
      <c r="L893" s="67">
        <v>0.25</v>
      </c>
      <c r="N893" s="67">
        <v>0.02</v>
      </c>
      <c r="O893" s="68">
        <v>45020</v>
      </c>
      <c r="P893" s="68">
        <v>45020</v>
      </c>
      <c r="Q893" s="57">
        <v>371863243.71471947</v>
      </c>
      <c r="R893" t="s">
        <v>748</v>
      </c>
    </row>
    <row r="894" spans="1:18">
      <c r="A894">
        <v>1915</v>
      </c>
      <c r="B894" t="s">
        <v>2949</v>
      </c>
      <c r="C894" t="s">
        <v>0</v>
      </c>
      <c r="D894" t="s">
        <v>2422</v>
      </c>
      <c r="E894" t="s">
        <v>2948</v>
      </c>
      <c r="I894" t="s">
        <v>1434</v>
      </c>
      <c r="K894" t="s">
        <v>313</v>
      </c>
      <c r="L894" s="67">
        <v>0.25</v>
      </c>
      <c r="N894" s="67">
        <v>0.02</v>
      </c>
      <c r="O894" s="68">
        <v>45020</v>
      </c>
      <c r="P894" s="68">
        <v>45020</v>
      </c>
      <c r="Q894" s="57">
        <v>97673181.488266349</v>
      </c>
      <c r="R894" t="s">
        <v>748</v>
      </c>
    </row>
    <row r="895" spans="1:18">
      <c r="A895">
        <v>1916</v>
      </c>
      <c r="B895" t="s">
        <v>2950</v>
      </c>
      <c r="C895" t="s">
        <v>10</v>
      </c>
      <c r="D895" t="s">
        <v>2395</v>
      </c>
      <c r="I895" t="s">
        <v>2362</v>
      </c>
      <c r="K895" t="s">
        <v>313</v>
      </c>
      <c r="L895" s="67">
        <v>0.25</v>
      </c>
      <c r="N895" s="67">
        <v>0.1</v>
      </c>
      <c r="O895" s="68">
        <v>45021</v>
      </c>
      <c r="P895" s="68">
        <v>45021</v>
      </c>
      <c r="Q895" s="57">
        <v>75145571.897885159</v>
      </c>
      <c r="R895" t="s">
        <v>748</v>
      </c>
    </row>
    <row r="896" spans="1:18">
      <c r="A896">
        <v>1917</v>
      </c>
      <c r="B896" t="s">
        <v>2952</v>
      </c>
      <c r="C896" t="s">
        <v>10</v>
      </c>
      <c r="D896" t="s">
        <v>2395</v>
      </c>
      <c r="E896" t="s">
        <v>2951</v>
      </c>
      <c r="I896" t="s">
        <v>2362</v>
      </c>
      <c r="K896" t="s">
        <v>313</v>
      </c>
      <c r="L896" s="67">
        <v>0.25</v>
      </c>
      <c r="N896" s="67">
        <v>0.1</v>
      </c>
      <c r="O896" s="68">
        <v>45027</v>
      </c>
      <c r="P896" s="68">
        <v>45027</v>
      </c>
      <c r="Q896" s="57">
        <v>62216939.652883783</v>
      </c>
      <c r="R896" t="s">
        <v>748</v>
      </c>
    </row>
    <row r="897" spans="1:18">
      <c r="A897">
        <v>1918</v>
      </c>
      <c r="B897" t="s">
        <v>2953</v>
      </c>
      <c r="C897" t="s">
        <v>10</v>
      </c>
      <c r="D897" t="s">
        <v>2395</v>
      </c>
      <c r="E897" t="s">
        <v>2951</v>
      </c>
      <c r="I897" t="s">
        <v>2362</v>
      </c>
      <c r="K897" t="s">
        <v>313</v>
      </c>
      <c r="L897" s="67">
        <v>0.25</v>
      </c>
      <c r="N897" s="67">
        <v>0.1</v>
      </c>
      <c r="O897" s="68">
        <v>45027</v>
      </c>
      <c r="P897" s="68">
        <v>45027</v>
      </c>
      <c r="Q897" s="57">
        <v>62216939.652883783</v>
      </c>
      <c r="R897" t="s">
        <v>748</v>
      </c>
    </row>
    <row r="898" spans="1:18">
      <c r="A898">
        <v>1919</v>
      </c>
      <c r="B898" t="s">
        <v>2955</v>
      </c>
      <c r="C898" t="s">
        <v>10</v>
      </c>
      <c r="D898" t="s">
        <v>2395</v>
      </c>
      <c r="E898" t="s">
        <v>2954</v>
      </c>
      <c r="I898" t="s">
        <v>2362</v>
      </c>
      <c r="K898" t="s">
        <v>313</v>
      </c>
      <c r="L898" s="67">
        <v>0.25</v>
      </c>
      <c r="N898" s="67">
        <v>0.1</v>
      </c>
      <c r="O898" s="68">
        <v>45027</v>
      </c>
      <c r="P898" s="68">
        <v>45027</v>
      </c>
      <c r="Q898" s="57">
        <v>62216939.652883783</v>
      </c>
      <c r="R898" t="s">
        <v>748</v>
      </c>
    </row>
    <row r="899" spans="1:18">
      <c r="A899">
        <v>1920</v>
      </c>
      <c r="B899" t="s">
        <v>2956</v>
      </c>
      <c r="C899" t="s">
        <v>10</v>
      </c>
      <c r="D899" t="s">
        <v>2395</v>
      </c>
      <c r="E899" t="s">
        <v>2954</v>
      </c>
      <c r="I899" t="s">
        <v>2362</v>
      </c>
      <c r="K899" t="s">
        <v>313</v>
      </c>
      <c r="L899" s="67">
        <v>0.25</v>
      </c>
      <c r="N899" s="67">
        <v>0.1</v>
      </c>
      <c r="O899" s="68">
        <v>45027</v>
      </c>
      <c r="P899" s="68">
        <v>45027</v>
      </c>
      <c r="Q899" s="57">
        <v>62216939.652883783</v>
      </c>
      <c r="R899" t="s">
        <v>748</v>
      </c>
    </row>
    <row r="900" spans="1:18">
      <c r="A900">
        <v>1921</v>
      </c>
      <c r="B900" t="s">
        <v>2958</v>
      </c>
      <c r="C900" t="s">
        <v>10</v>
      </c>
      <c r="D900" t="s">
        <v>2395</v>
      </c>
      <c r="E900" t="s">
        <v>2957</v>
      </c>
      <c r="I900" t="s">
        <v>2362</v>
      </c>
      <c r="K900" t="s">
        <v>313</v>
      </c>
      <c r="L900" s="67">
        <v>0.25</v>
      </c>
      <c r="N900" s="67">
        <v>0.1</v>
      </c>
      <c r="O900" s="68">
        <v>45027</v>
      </c>
      <c r="P900" s="68">
        <v>45027</v>
      </c>
      <c r="Q900" s="57">
        <v>115849898.96525128</v>
      </c>
      <c r="R900" t="s">
        <v>748</v>
      </c>
    </row>
    <row r="901" spans="1:18">
      <c r="A901">
        <v>1922</v>
      </c>
      <c r="B901" t="s">
        <v>2960</v>
      </c>
      <c r="C901" t="s">
        <v>3</v>
      </c>
      <c r="D901" t="s">
        <v>2959</v>
      </c>
      <c r="I901" t="s">
        <v>135</v>
      </c>
      <c r="K901" t="s">
        <v>313</v>
      </c>
      <c r="L901" s="67">
        <v>0.3</v>
      </c>
      <c r="N901" s="67">
        <v>0</v>
      </c>
      <c r="O901" s="68">
        <v>45066</v>
      </c>
      <c r="P901" s="68">
        <v>45066</v>
      </c>
      <c r="Q901" s="57">
        <v>307650311.63850117</v>
      </c>
      <c r="R901" t="s">
        <v>748</v>
      </c>
    </row>
    <row r="902" spans="1:18">
      <c r="A902">
        <v>1923</v>
      </c>
      <c r="B902" t="s">
        <v>2964</v>
      </c>
      <c r="C902" t="s">
        <v>10</v>
      </c>
      <c r="D902" t="s">
        <v>2961</v>
      </c>
      <c r="E902" t="s">
        <v>2962</v>
      </c>
      <c r="I902" t="s">
        <v>2963</v>
      </c>
      <c r="K902" t="s">
        <v>313</v>
      </c>
      <c r="L902" s="67">
        <v>0.25</v>
      </c>
      <c r="N902" s="67">
        <v>0</v>
      </c>
      <c r="O902" s="68">
        <v>45068</v>
      </c>
      <c r="P902" s="68">
        <v>45068</v>
      </c>
      <c r="Q902" s="57">
        <v>112624776.35246779</v>
      </c>
      <c r="R902" t="s">
        <v>748</v>
      </c>
    </row>
    <row r="903" spans="1:18">
      <c r="A903">
        <v>1924</v>
      </c>
      <c r="B903" t="s">
        <v>2965</v>
      </c>
      <c r="C903" t="s">
        <v>10</v>
      </c>
      <c r="D903" t="s">
        <v>2961</v>
      </c>
      <c r="E903" t="s">
        <v>2962</v>
      </c>
      <c r="I903" t="s">
        <v>2963</v>
      </c>
      <c r="K903" t="s">
        <v>313</v>
      </c>
      <c r="L903" s="67">
        <v>0.25</v>
      </c>
      <c r="N903" s="67">
        <v>0</v>
      </c>
      <c r="O903" s="68">
        <v>45068</v>
      </c>
      <c r="P903" s="68">
        <v>45068</v>
      </c>
      <c r="Q903" s="57">
        <v>66871164.470720239</v>
      </c>
      <c r="R903" t="s">
        <v>748</v>
      </c>
    </row>
    <row r="904" spans="1:18">
      <c r="A904">
        <v>1925</v>
      </c>
      <c r="B904" t="s">
        <v>2967</v>
      </c>
      <c r="C904" t="s">
        <v>0</v>
      </c>
      <c r="D904" t="s">
        <v>2966</v>
      </c>
      <c r="E904" t="s">
        <v>944</v>
      </c>
      <c r="I904" t="s">
        <v>135</v>
      </c>
      <c r="K904" t="s">
        <v>313</v>
      </c>
      <c r="L904" s="67">
        <v>0.3</v>
      </c>
      <c r="N904" s="67">
        <v>0</v>
      </c>
      <c r="O904" s="68">
        <v>45068</v>
      </c>
      <c r="P904" s="68">
        <v>45068</v>
      </c>
      <c r="Q904" s="57">
        <v>33111665.287623715</v>
      </c>
      <c r="R904" t="s">
        <v>748</v>
      </c>
    </row>
    <row r="905" spans="1:18">
      <c r="A905">
        <v>1926</v>
      </c>
      <c r="B905" t="s">
        <v>2971</v>
      </c>
      <c r="C905" t="s">
        <v>0</v>
      </c>
      <c r="D905" t="s">
        <v>2969</v>
      </c>
      <c r="I905" t="s">
        <v>2970</v>
      </c>
      <c r="K905" t="s">
        <v>313</v>
      </c>
      <c r="L905" s="67">
        <v>0.25</v>
      </c>
      <c r="N905" s="67">
        <v>0.05</v>
      </c>
      <c r="O905" s="68">
        <v>45077</v>
      </c>
      <c r="P905" s="68">
        <v>45077</v>
      </c>
      <c r="Q905" s="57">
        <v>162947617.85249257</v>
      </c>
      <c r="R905" t="s">
        <v>2968</v>
      </c>
    </row>
    <row r="906" spans="1:18">
      <c r="A906">
        <v>1927</v>
      </c>
      <c r="B906" t="s">
        <v>2972</v>
      </c>
      <c r="C906" t="s">
        <v>0</v>
      </c>
      <c r="D906" t="s">
        <v>2969</v>
      </c>
      <c r="I906" t="s">
        <v>2970</v>
      </c>
      <c r="K906" t="s">
        <v>313</v>
      </c>
      <c r="L906" s="67">
        <v>0.25</v>
      </c>
      <c r="N906" s="67">
        <v>0.05</v>
      </c>
      <c r="O906" s="68">
        <v>45077</v>
      </c>
      <c r="P906" s="68">
        <v>45077</v>
      </c>
      <c r="Q906" s="57">
        <v>162947617.85249257</v>
      </c>
      <c r="R906" t="s">
        <v>2968</v>
      </c>
    </row>
    <row r="907" spans="1:18">
      <c r="A907">
        <v>1928</v>
      </c>
      <c r="B907" t="s">
        <v>2973</v>
      </c>
      <c r="C907" t="s">
        <v>0</v>
      </c>
      <c r="D907" t="s">
        <v>2969</v>
      </c>
      <c r="I907" t="s">
        <v>2970</v>
      </c>
      <c r="K907" t="s">
        <v>313</v>
      </c>
      <c r="L907" s="67">
        <v>0.25</v>
      </c>
      <c r="N907" s="67">
        <v>0.05</v>
      </c>
      <c r="O907" s="68">
        <v>45077</v>
      </c>
      <c r="P907" s="68">
        <v>45077</v>
      </c>
      <c r="Q907" s="57">
        <v>162947617.85249257</v>
      </c>
      <c r="R907" t="s">
        <v>2968</v>
      </c>
    </row>
    <row r="908" spans="1:18">
      <c r="A908">
        <v>1929</v>
      </c>
      <c r="B908" t="s">
        <v>2975</v>
      </c>
      <c r="C908" t="s">
        <v>0</v>
      </c>
      <c r="D908" t="s">
        <v>2974</v>
      </c>
      <c r="I908" t="s">
        <v>2970</v>
      </c>
      <c r="K908" t="s">
        <v>313</v>
      </c>
      <c r="L908" s="67">
        <v>0.25</v>
      </c>
      <c r="N908" s="67">
        <v>0</v>
      </c>
      <c r="O908" s="68">
        <v>45078</v>
      </c>
      <c r="P908" s="68">
        <v>45078</v>
      </c>
      <c r="Q908" s="57">
        <v>514892994.23760134</v>
      </c>
      <c r="R908" t="s">
        <v>2968</v>
      </c>
    </row>
    <row r="909" spans="1:18">
      <c r="A909">
        <v>1930</v>
      </c>
      <c r="B909" t="s">
        <v>2976</v>
      </c>
      <c r="C909" t="s">
        <v>0</v>
      </c>
      <c r="D909" t="s">
        <v>2974</v>
      </c>
      <c r="I909" t="s">
        <v>2970</v>
      </c>
      <c r="K909" t="s">
        <v>313</v>
      </c>
      <c r="L909" s="67">
        <v>0.25</v>
      </c>
      <c r="N909" s="67">
        <v>0</v>
      </c>
      <c r="O909" s="68">
        <v>45078</v>
      </c>
      <c r="P909" s="68">
        <v>45078</v>
      </c>
      <c r="Q909" s="57">
        <v>528370009.51331067</v>
      </c>
      <c r="R909" t="s">
        <v>2968</v>
      </c>
    </row>
    <row r="910" spans="1:18">
      <c r="A910">
        <v>1931</v>
      </c>
      <c r="B910" t="s">
        <v>2977</v>
      </c>
      <c r="C910" t="s">
        <v>0</v>
      </c>
      <c r="D910" t="s">
        <v>2974</v>
      </c>
      <c r="I910" t="s">
        <v>2970</v>
      </c>
      <c r="K910" t="s">
        <v>313</v>
      </c>
      <c r="L910" s="67">
        <v>0.25</v>
      </c>
      <c r="N910" s="67">
        <v>0</v>
      </c>
      <c r="O910" s="68">
        <v>45078</v>
      </c>
      <c r="P910" s="68">
        <v>45078</v>
      </c>
      <c r="Q910" s="57">
        <v>162788267.35370833</v>
      </c>
      <c r="R910" t="s">
        <v>2968</v>
      </c>
    </row>
    <row r="911" spans="1:18">
      <c r="A911">
        <v>1932</v>
      </c>
      <c r="B911" t="s">
        <v>2979</v>
      </c>
      <c r="C911" t="s">
        <v>0</v>
      </c>
      <c r="D911" t="s">
        <v>2978</v>
      </c>
      <c r="I911" t="s">
        <v>133</v>
      </c>
      <c r="K911" t="s">
        <v>313</v>
      </c>
      <c r="L911" s="67">
        <v>0.25</v>
      </c>
      <c r="N911" s="67">
        <v>0</v>
      </c>
      <c r="O911" s="68">
        <v>45079</v>
      </c>
      <c r="P911" s="68">
        <v>45079</v>
      </c>
      <c r="Q911" s="57">
        <v>12349820.651296649</v>
      </c>
      <c r="R911" t="s">
        <v>2968</v>
      </c>
    </row>
    <row r="912" spans="1:18">
      <c r="A912">
        <v>1933</v>
      </c>
      <c r="B912" t="s">
        <v>2982</v>
      </c>
      <c r="C912" t="s">
        <v>0</v>
      </c>
      <c r="D912" t="s">
        <v>2980</v>
      </c>
      <c r="I912" t="s">
        <v>2981</v>
      </c>
      <c r="K912" t="s">
        <v>313</v>
      </c>
      <c r="L912" s="67">
        <v>0.25</v>
      </c>
      <c r="N912" s="67">
        <v>0</v>
      </c>
      <c r="O912" s="68">
        <v>45084</v>
      </c>
      <c r="P912" s="68">
        <v>45084</v>
      </c>
      <c r="Q912" s="57">
        <v>13097624.870974414</v>
      </c>
      <c r="R912" t="s">
        <v>2968</v>
      </c>
    </row>
    <row r="913" spans="1:18">
      <c r="A913">
        <v>1934</v>
      </c>
      <c r="B913" t="s">
        <v>2983</v>
      </c>
      <c r="C913" t="s">
        <v>0</v>
      </c>
      <c r="D913" t="s">
        <v>2980</v>
      </c>
      <c r="I913" t="s">
        <v>2981</v>
      </c>
      <c r="K913" t="s">
        <v>313</v>
      </c>
      <c r="L913" s="67">
        <v>0.25</v>
      </c>
      <c r="N913" s="67">
        <v>0</v>
      </c>
      <c r="O913" s="68">
        <v>45084</v>
      </c>
      <c r="P913" s="68">
        <v>45084</v>
      </c>
      <c r="Q913" s="57">
        <v>25309059.937641073</v>
      </c>
      <c r="R913" t="s">
        <v>2968</v>
      </c>
    </row>
    <row r="914" spans="1:18">
      <c r="A914">
        <v>1935</v>
      </c>
      <c r="B914" t="s">
        <v>2984</v>
      </c>
      <c r="C914" t="s">
        <v>0</v>
      </c>
      <c r="D914" t="s">
        <v>2823</v>
      </c>
      <c r="I914" t="s">
        <v>2970</v>
      </c>
      <c r="K914" t="s">
        <v>313</v>
      </c>
      <c r="L914" s="67">
        <v>0.25</v>
      </c>
      <c r="N914" s="67">
        <v>0</v>
      </c>
      <c r="O914" s="68">
        <v>45086</v>
      </c>
      <c r="P914" s="68">
        <v>45086</v>
      </c>
      <c r="Q914" s="57">
        <v>314405215.59945619</v>
      </c>
      <c r="R914" t="s">
        <v>2968</v>
      </c>
    </row>
    <row r="915" spans="1:18">
      <c r="A915">
        <v>1936</v>
      </c>
      <c r="B915" t="s">
        <v>2985</v>
      </c>
      <c r="C915" t="s">
        <v>0</v>
      </c>
      <c r="D915" t="s">
        <v>2823</v>
      </c>
      <c r="I915" t="s">
        <v>2970</v>
      </c>
      <c r="K915" t="s">
        <v>313</v>
      </c>
      <c r="L915" s="67">
        <v>0.25</v>
      </c>
      <c r="N915" s="67">
        <v>0</v>
      </c>
      <c r="O915" s="68">
        <v>45086</v>
      </c>
      <c r="P915" s="68">
        <v>45086</v>
      </c>
      <c r="Q915" s="57">
        <v>308750000</v>
      </c>
      <c r="R915" t="s">
        <v>2968</v>
      </c>
    </row>
    <row r="916" spans="1:18">
      <c r="A916">
        <v>1937</v>
      </c>
      <c r="B916" t="s">
        <v>2986</v>
      </c>
      <c r="C916" t="s">
        <v>0</v>
      </c>
      <c r="D916" t="s">
        <v>2823</v>
      </c>
      <c r="I916" t="s">
        <v>2970</v>
      </c>
      <c r="K916" t="s">
        <v>313</v>
      </c>
      <c r="L916" s="67">
        <v>0.25</v>
      </c>
      <c r="N916" s="67">
        <v>0</v>
      </c>
      <c r="O916" s="68">
        <v>45086</v>
      </c>
      <c r="P916" s="68">
        <v>45086</v>
      </c>
      <c r="Q916" s="57">
        <v>308750000</v>
      </c>
      <c r="R916" t="s">
        <v>2968</v>
      </c>
    </row>
    <row r="917" spans="1:18">
      <c r="A917">
        <v>1938</v>
      </c>
      <c r="B917" t="s">
        <v>2987</v>
      </c>
      <c r="C917" t="s">
        <v>0</v>
      </c>
      <c r="D917" t="s">
        <v>2823</v>
      </c>
      <c r="I917" t="s">
        <v>2970</v>
      </c>
      <c r="K917" t="s">
        <v>313</v>
      </c>
      <c r="L917" s="67">
        <v>0.25</v>
      </c>
      <c r="N917" s="67">
        <v>0</v>
      </c>
      <c r="O917" s="68">
        <v>45086</v>
      </c>
      <c r="P917" s="68">
        <v>45086</v>
      </c>
      <c r="Q917" s="57">
        <v>294444289.61251253</v>
      </c>
      <c r="R917" t="s">
        <v>2968</v>
      </c>
    </row>
    <row r="918" spans="1:18">
      <c r="A918">
        <v>1939</v>
      </c>
      <c r="B918" t="s">
        <v>2989</v>
      </c>
      <c r="C918" t="s">
        <v>0</v>
      </c>
      <c r="D918" t="s">
        <v>2988</v>
      </c>
      <c r="I918" t="s">
        <v>2362</v>
      </c>
      <c r="K918" t="s">
        <v>313</v>
      </c>
      <c r="L918" s="67">
        <v>0.25</v>
      </c>
      <c r="N918" s="67">
        <v>0</v>
      </c>
      <c r="O918" s="68">
        <v>45086</v>
      </c>
      <c r="P918" s="68">
        <v>45086</v>
      </c>
      <c r="Q918" s="57">
        <v>100831725.88026677</v>
      </c>
      <c r="R918" t="s">
        <v>2968</v>
      </c>
    </row>
    <row r="919" spans="1:18">
      <c r="A919">
        <v>1940</v>
      </c>
      <c r="B919" t="s">
        <v>2990</v>
      </c>
      <c r="C919" t="s">
        <v>0</v>
      </c>
      <c r="D919" t="s">
        <v>2988</v>
      </c>
      <c r="I919" t="s">
        <v>2362</v>
      </c>
      <c r="K919" t="s">
        <v>313</v>
      </c>
      <c r="L919" s="67">
        <v>0.25</v>
      </c>
      <c r="N919" s="67">
        <v>0</v>
      </c>
      <c r="O919" s="68">
        <v>45086</v>
      </c>
      <c r="P919" s="68">
        <v>45086</v>
      </c>
      <c r="Q919" s="57">
        <v>103868711.87466455</v>
      </c>
      <c r="R919" t="s">
        <v>2968</v>
      </c>
    </row>
    <row r="920" spans="1:18">
      <c r="A920">
        <v>1941</v>
      </c>
      <c r="B920" t="s">
        <v>2992</v>
      </c>
      <c r="C920" t="s">
        <v>0</v>
      </c>
      <c r="D920" t="s">
        <v>2991</v>
      </c>
      <c r="I920" t="s">
        <v>2970</v>
      </c>
      <c r="K920" t="s">
        <v>313</v>
      </c>
      <c r="L920" s="67">
        <v>0.25</v>
      </c>
      <c r="N920" s="67">
        <v>0</v>
      </c>
      <c r="O920" s="68">
        <v>45090</v>
      </c>
      <c r="P920" s="68">
        <v>45090</v>
      </c>
      <c r="Q920" s="57">
        <v>105953924.11914396</v>
      </c>
      <c r="R920" t="s">
        <v>2968</v>
      </c>
    </row>
    <row r="921" spans="1:18">
      <c r="A921">
        <v>1942</v>
      </c>
      <c r="B921" t="s">
        <v>2995</v>
      </c>
      <c r="C921" t="s">
        <v>0</v>
      </c>
      <c r="D921" t="s">
        <v>2993</v>
      </c>
      <c r="I921" t="s">
        <v>2994</v>
      </c>
      <c r="K921" t="s">
        <v>313</v>
      </c>
      <c r="L921" s="67">
        <v>0.25</v>
      </c>
      <c r="N921" s="67">
        <v>0</v>
      </c>
      <c r="O921" s="68">
        <v>45097</v>
      </c>
      <c r="P921" s="68">
        <v>45097</v>
      </c>
      <c r="Q921" s="57">
        <v>27446614.598387226</v>
      </c>
      <c r="R921" t="s">
        <v>2968</v>
      </c>
    </row>
    <row r="922" spans="1:18">
      <c r="A922">
        <v>1943</v>
      </c>
      <c r="B922" t="s">
        <v>2997</v>
      </c>
      <c r="C922" t="s">
        <v>0</v>
      </c>
      <c r="D922" t="s">
        <v>2996</v>
      </c>
      <c r="I922" t="s">
        <v>24</v>
      </c>
      <c r="K922" t="s">
        <v>313</v>
      </c>
      <c r="L922" s="67">
        <v>0.25</v>
      </c>
      <c r="N922" s="67">
        <v>0</v>
      </c>
      <c r="O922" s="68">
        <v>45097</v>
      </c>
      <c r="P922" s="68">
        <v>45097</v>
      </c>
      <c r="Q922" s="57">
        <v>54544648.22352197</v>
      </c>
      <c r="R922" t="s">
        <v>2968</v>
      </c>
    </row>
    <row r="923" spans="1:18">
      <c r="A923">
        <v>1944</v>
      </c>
      <c r="B923" t="s">
        <v>2999</v>
      </c>
      <c r="C923" t="s">
        <v>0</v>
      </c>
      <c r="D923" t="s">
        <v>2998</v>
      </c>
      <c r="I923" t="s">
        <v>24</v>
      </c>
      <c r="K923" t="s">
        <v>313</v>
      </c>
      <c r="L923" s="67">
        <v>0.25</v>
      </c>
      <c r="N923" s="67">
        <v>0</v>
      </c>
      <c r="O923" s="68">
        <v>45097</v>
      </c>
      <c r="P923" s="68">
        <v>45097</v>
      </c>
      <c r="Q923" s="57">
        <v>163403029.43633312</v>
      </c>
      <c r="R923" t="s">
        <v>2968</v>
      </c>
    </row>
    <row r="924" spans="1:18">
      <c r="A924">
        <v>1945</v>
      </c>
      <c r="B924" t="s">
        <v>3002</v>
      </c>
      <c r="C924" t="s">
        <v>0</v>
      </c>
      <c r="D924" t="s">
        <v>3000</v>
      </c>
      <c r="I924" t="s">
        <v>3001</v>
      </c>
      <c r="K924" t="s">
        <v>313</v>
      </c>
      <c r="L924" s="67">
        <v>0.25</v>
      </c>
      <c r="N924" s="67">
        <v>0</v>
      </c>
      <c r="O924" s="68">
        <v>45098</v>
      </c>
      <c r="P924" s="68">
        <v>45098</v>
      </c>
      <c r="Q924" s="57">
        <v>20139140.429153249</v>
      </c>
      <c r="R924" t="s">
        <v>2968</v>
      </c>
    </row>
    <row r="925" spans="1:18">
      <c r="A925">
        <v>1946</v>
      </c>
      <c r="B925" t="s">
        <v>3003</v>
      </c>
      <c r="C925" t="s">
        <v>0</v>
      </c>
      <c r="D925" t="s">
        <v>3000</v>
      </c>
      <c r="I925" t="s">
        <v>3001</v>
      </c>
      <c r="K925" t="s">
        <v>313</v>
      </c>
      <c r="L925" s="67">
        <v>0.25</v>
      </c>
      <c r="N925" s="67">
        <v>0</v>
      </c>
      <c r="O925" s="68">
        <v>45098</v>
      </c>
      <c r="P925" s="68">
        <v>45098</v>
      </c>
      <c r="Q925" s="57">
        <v>20139140.429153249</v>
      </c>
      <c r="R925" t="s">
        <v>2968</v>
      </c>
    </row>
    <row r="926" spans="1:18">
      <c r="A926">
        <v>1947</v>
      </c>
      <c r="B926" t="s">
        <v>3007</v>
      </c>
      <c r="C926" t="s">
        <v>0</v>
      </c>
      <c r="D926" t="s">
        <v>3006</v>
      </c>
      <c r="I926" t="s">
        <v>2970</v>
      </c>
      <c r="K926" t="s">
        <v>313</v>
      </c>
      <c r="L926" s="67">
        <v>0.25</v>
      </c>
      <c r="N926" s="67">
        <v>0</v>
      </c>
      <c r="O926" s="68">
        <v>45105</v>
      </c>
      <c r="P926" s="68">
        <v>45105</v>
      </c>
      <c r="Q926" s="57">
        <v>15005973.103428163</v>
      </c>
      <c r="R926" t="s">
        <v>2968</v>
      </c>
    </row>
    <row r="927" spans="1:18">
      <c r="A927">
        <v>1948</v>
      </c>
      <c r="B927" t="s">
        <v>3009</v>
      </c>
      <c r="C927" t="s">
        <v>0</v>
      </c>
      <c r="D927" t="s">
        <v>3008</v>
      </c>
      <c r="I927" t="s">
        <v>2970</v>
      </c>
      <c r="K927" t="s">
        <v>313</v>
      </c>
      <c r="L927" s="67">
        <v>0.25</v>
      </c>
      <c r="N927" s="67">
        <v>0</v>
      </c>
      <c r="O927" s="68">
        <v>45105</v>
      </c>
      <c r="P927" s="68">
        <v>45105</v>
      </c>
      <c r="Q927" s="57">
        <v>15005973.103428163</v>
      </c>
      <c r="R927" t="s">
        <v>2968</v>
      </c>
    </row>
    <row r="928" spans="1:18">
      <c r="A928">
        <v>1949</v>
      </c>
      <c r="B928" t="s">
        <v>3011</v>
      </c>
      <c r="C928" t="s">
        <v>0</v>
      </c>
      <c r="D928" t="s">
        <v>3010</v>
      </c>
      <c r="J928">
        <v>220</v>
      </c>
      <c r="K928" t="s">
        <v>554</v>
      </c>
      <c r="M928">
        <v>0</v>
      </c>
      <c r="O928" s="68">
        <v>45106</v>
      </c>
      <c r="P928" s="68">
        <v>45106</v>
      </c>
      <c r="R928" t="s">
        <v>2968</v>
      </c>
    </row>
    <row r="929" spans="1:18">
      <c r="A929">
        <v>1950</v>
      </c>
      <c r="B929" t="s">
        <v>3014</v>
      </c>
      <c r="C929" t="s">
        <v>0</v>
      </c>
      <c r="D929" t="s">
        <v>3012</v>
      </c>
      <c r="I929" t="s">
        <v>3013</v>
      </c>
      <c r="K929" t="s">
        <v>313</v>
      </c>
      <c r="L929" s="67">
        <v>0.25</v>
      </c>
      <c r="N929" s="67">
        <v>0</v>
      </c>
      <c r="O929" s="68">
        <v>45111</v>
      </c>
      <c r="P929" s="68">
        <v>45111</v>
      </c>
      <c r="Q929" s="57">
        <v>14956768.272365719</v>
      </c>
      <c r="R929" t="s">
        <v>2968</v>
      </c>
    </row>
    <row r="930" spans="1:18">
      <c r="A930">
        <v>1951</v>
      </c>
      <c r="B930" t="s">
        <v>3017</v>
      </c>
      <c r="C930" t="s">
        <v>0</v>
      </c>
      <c r="D930" t="s">
        <v>3015</v>
      </c>
      <c r="I930" t="s">
        <v>3016</v>
      </c>
      <c r="K930" t="s">
        <v>313</v>
      </c>
      <c r="L930" s="67">
        <v>0.25</v>
      </c>
      <c r="N930" s="67">
        <v>0.03</v>
      </c>
      <c r="O930" s="68">
        <v>45113</v>
      </c>
      <c r="P930" s="68">
        <v>45113</v>
      </c>
      <c r="Q930" s="57">
        <v>20732854.472856317</v>
      </c>
      <c r="R930" t="s">
        <v>2968</v>
      </c>
    </row>
    <row r="931" spans="1:18">
      <c r="A931">
        <v>1952</v>
      </c>
      <c r="B931" t="s">
        <v>3019</v>
      </c>
      <c r="C931" t="s">
        <v>0</v>
      </c>
      <c r="D931" t="s">
        <v>3018</v>
      </c>
      <c r="I931" t="s">
        <v>2970</v>
      </c>
      <c r="K931" t="s">
        <v>313</v>
      </c>
      <c r="L931" s="67">
        <v>0.25</v>
      </c>
      <c r="N931" s="67">
        <v>0.02</v>
      </c>
      <c r="O931" s="68">
        <v>45117</v>
      </c>
      <c r="P931" s="68">
        <v>45117</v>
      </c>
      <c r="Q931" s="57">
        <v>283370752.39635289</v>
      </c>
      <c r="R931" t="s">
        <v>2968</v>
      </c>
    </row>
    <row r="932" spans="1:18">
      <c r="A932">
        <v>1953</v>
      </c>
      <c r="B932" t="s">
        <v>3021</v>
      </c>
      <c r="C932" t="s">
        <v>0</v>
      </c>
      <c r="D932" t="s">
        <v>3020</v>
      </c>
      <c r="I932" t="s">
        <v>2970</v>
      </c>
      <c r="K932" t="s">
        <v>313</v>
      </c>
      <c r="L932" s="67">
        <v>0.25</v>
      </c>
      <c r="N932" s="67">
        <v>0.02</v>
      </c>
      <c r="O932" s="68">
        <v>45117</v>
      </c>
      <c r="P932" s="68">
        <v>45117</v>
      </c>
      <c r="Q932" s="57">
        <v>290992394.51324153</v>
      </c>
      <c r="R932" t="s">
        <v>2968</v>
      </c>
    </row>
    <row r="933" spans="1:18">
      <c r="A933">
        <v>1954</v>
      </c>
      <c r="B933" t="s">
        <v>3022</v>
      </c>
      <c r="C933" t="s">
        <v>0</v>
      </c>
      <c r="D933" t="s">
        <v>2998</v>
      </c>
      <c r="I933" t="s">
        <v>2970</v>
      </c>
      <c r="K933" t="s">
        <v>313</v>
      </c>
      <c r="L933" s="67">
        <v>0.25</v>
      </c>
      <c r="N933" s="67">
        <v>0.03</v>
      </c>
      <c r="O933" s="68">
        <v>45118</v>
      </c>
      <c r="P933" s="68">
        <v>45118</v>
      </c>
      <c r="Q933" s="57">
        <v>172916878.72509339</v>
      </c>
      <c r="R933" t="s">
        <v>2968</v>
      </c>
    </row>
    <row r="934" spans="1:18">
      <c r="A934">
        <v>1955</v>
      </c>
      <c r="B934" t="s">
        <v>3025</v>
      </c>
      <c r="C934" t="s">
        <v>0</v>
      </c>
      <c r="D934" t="s">
        <v>3024</v>
      </c>
      <c r="I934" t="s">
        <v>2970</v>
      </c>
      <c r="K934" t="s">
        <v>313</v>
      </c>
      <c r="L934" s="67">
        <v>0.25</v>
      </c>
      <c r="N934" s="67">
        <v>0</v>
      </c>
      <c r="O934" s="68">
        <v>45119</v>
      </c>
      <c r="P934" s="68">
        <v>45119</v>
      </c>
      <c r="Q934" s="57">
        <v>35324717.333765537</v>
      </c>
      <c r="R934" t="s">
        <v>2968</v>
      </c>
    </row>
    <row r="935" spans="1:18">
      <c r="A935">
        <v>1956</v>
      </c>
      <c r="B935" t="s">
        <v>3027</v>
      </c>
      <c r="C935" t="s">
        <v>0</v>
      </c>
      <c r="D935" t="s">
        <v>3023</v>
      </c>
      <c r="I935" t="s">
        <v>3026</v>
      </c>
      <c r="K935" t="s">
        <v>313</v>
      </c>
      <c r="L935" s="67">
        <v>0.25</v>
      </c>
      <c r="N935" s="67">
        <v>0</v>
      </c>
      <c r="O935" s="68">
        <v>45119</v>
      </c>
      <c r="P935" s="68">
        <v>45119</v>
      </c>
      <c r="Q935" s="57">
        <v>28841635.583587054</v>
      </c>
      <c r="R935" t="s">
        <v>2968</v>
      </c>
    </row>
    <row r="936" spans="1:18">
      <c r="A936">
        <v>1957</v>
      </c>
      <c r="B936" t="s">
        <v>3028</v>
      </c>
      <c r="C936" t="s">
        <v>0</v>
      </c>
      <c r="D936" t="s">
        <v>3010</v>
      </c>
      <c r="J936">
        <v>220</v>
      </c>
      <c r="K936" t="s">
        <v>554</v>
      </c>
      <c r="M936">
        <v>0</v>
      </c>
      <c r="O936" s="68">
        <v>45120</v>
      </c>
      <c r="P936" s="68">
        <v>45120</v>
      </c>
      <c r="R936" t="s">
        <v>2968</v>
      </c>
    </row>
    <row r="937" spans="1:18">
      <c r="A937">
        <v>1958</v>
      </c>
      <c r="B937" t="s">
        <v>3031</v>
      </c>
      <c r="C937" t="s">
        <v>0</v>
      </c>
      <c r="D937" t="s">
        <v>3029</v>
      </c>
      <c r="I937" t="s">
        <v>3030</v>
      </c>
      <c r="K937" t="s">
        <v>313</v>
      </c>
      <c r="L937" s="67">
        <v>0.25</v>
      </c>
      <c r="N937" s="67">
        <v>0</v>
      </c>
      <c r="O937" s="68">
        <v>45120</v>
      </c>
      <c r="P937" s="68">
        <v>45120</v>
      </c>
      <c r="Q937" s="57">
        <v>22334219.949331243</v>
      </c>
      <c r="R937" t="s">
        <v>2968</v>
      </c>
    </row>
    <row r="938" spans="1:18">
      <c r="A938">
        <v>1959</v>
      </c>
      <c r="B938" t="s">
        <v>3032</v>
      </c>
      <c r="C938" t="s">
        <v>0</v>
      </c>
      <c r="D938" t="s">
        <v>3029</v>
      </c>
      <c r="I938" t="s">
        <v>3030</v>
      </c>
      <c r="K938" t="s">
        <v>313</v>
      </c>
      <c r="L938" s="67">
        <v>0.25</v>
      </c>
      <c r="N938" s="67">
        <v>0</v>
      </c>
      <c r="O938" s="68">
        <v>45120</v>
      </c>
      <c r="P938" s="68">
        <v>45120</v>
      </c>
      <c r="Q938" s="57">
        <v>29913478.982159931</v>
      </c>
      <c r="R938" t="s">
        <v>2968</v>
      </c>
    </row>
    <row r="939" spans="1:18">
      <c r="A939">
        <v>1960</v>
      </c>
      <c r="B939" t="s">
        <v>3034</v>
      </c>
      <c r="C939" t="s">
        <v>0</v>
      </c>
      <c r="D939" t="s">
        <v>3033</v>
      </c>
      <c r="I939" t="s">
        <v>3030</v>
      </c>
      <c r="K939" t="s">
        <v>313</v>
      </c>
      <c r="L939" s="67">
        <v>0.25</v>
      </c>
      <c r="N939" s="67">
        <v>0</v>
      </c>
      <c r="O939" s="68">
        <v>45120</v>
      </c>
      <c r="P939" s="68">
        <v>45120</v>
      </c>
      <c r="Q939" s="57">
        <v>41465159.114990063</v>
      </c>
      <c r="R939" t="s">
        <v>2968</v>
      </c>
    </row>
    <row r="940" spans="1:18">
      <c r="A940">
        <v>1961</v>
      </c>
      <c r="B940" t="s">
        <v>3035</v>
      </c>
      <c r="C940" t="s">
        <v>0</v>
      </c>
      <c r="D940" t="s">
        <v>3033</v>
      </c>
      <c r="I940" t="s">
        <v>3030</v>
      </c>
      <c r="K940" t="s">
        <v>313</v>
      </c>
      <c r="L940" s="67">
        <v>0.25</v>
      </c>
      <c r="N940" s="67">
        <v>0</v>
      </c>
      <c r="O940" s="68">
        <v>45126</v>
      </c>
      <c r="P940" s="68">
        <v>45126</v>
      </c>
      <c r="Q940" s="57">
        <v>34525298.199957386</v>
      </c>
      <c r="R940" t="s">
        <v>2968</v>
      </c>
    </row>
    <row r="941" spans="1:18">
      <c r="A941">
        <v>1962</v>
      </c>
      <c r="B941" t="s">
        <v>3037</v>
      </c>
      <c r="C941" t="s">
        <v>0</v>
      </c>
      <c r="D941" t="s">
        <v>3036</v>
      </c>
      <c r="I941" t="s">
        <v>3030</v>
      </c>
      <c r="K941" t="s">
        <v>313</v>
      </c>
      <c r="L941" s="67">
        <v>0.25</v>
      </c>
      <c r="N941" s="67">
        <v>0</v>
      </c>
      <c r="O941" s="68">
        <v>45126</v>
      </c>
      <c r="P941" s="68">
        <v>45126</v>
      </c>
      <c r="Q941" s="57">
        <v>30205409.43460587</v>
      </c>
      <c r="R941" t="s">
        <v>2968</v>
      </c>
    </row>
    <row r="942" spans="1:18">
      <c r="A942">
        <v>1963</v>
      </c>
      <c r="B942" t="s">
        <v>3039</v>
      </c>
      <c r="C942" t="s">
        <v>0</v>
      </c>
      <c r="D942" t="s">
        <v>3038</v>
      </c>
      <c r="I942" t="s">
        <v>3030</v>
      </c>
      <c r="K942" t="s">
        <v>313</v>
      </c>
      <c r="L942" s="67">
        <v>0.25</v>
      </c>
      <c r="N942" s="67">
        <v>0</v>
      </c>
      <c r="O942" s="68">
        <v>45126</v>
      </c>
      <c r="P942" s="68">
        <v>45126</v>
      </c>
      <c r="Q942" s="57">
        <v>24026752.25268811</v>
      </c>
      <c r="R942" t="s">
        <v>2968</v>
      </c>
    </row>
    <row r="943" spans="1:18">
      <c r="A943">
        <v>1964</v>
      </c>
      <c r="B943" t="s">
        <v>3040</v>
      </c>
      <c r="C943" t="s">
        <v>0</v>
      </c>
      <c r="D943" t="s">
        <v>3038</v>
      </c>
      <c r="I943" t="s">
        <v>3030</v>
      </c>
      <c r="K943" t="s">
        <v>313</v>
      </c>
      <c r="L943" s="67">
        <v>0.25</v>
      </c>
      <c r="N943" s="67">
        <v>0</v>
      </c>
      <c r="O943" s="68">
        <v>45126</v>
      </c>
      <c r="P943" s="68">
        <v>45126</v>
      </c>
      <c r="Q943" s="57">
        <v>26356671.145791128</v>
      </c>
      <c r="R943" t="s">
        <v>2968</v>
      </c>
    </row>
    <row r="944" spans="1:18">
      <c r="A944">
        <v>1965</v>
      </c>
      <c r="B944" t="s">
        <v>3043</v>
      </c>
      <c r="C944" t="s">
        <v>0</v>
      </c>
      <c r="D944" t="s">
        <v>3041</v>
      </c>
      <c r="I944" t="s">
        <v>3042</v>
      </c>
      <c r="K944" t="s">
        <v>313</v>
      </c>
      <c r="L944" s="67">
        <v>0.25</v>
      </c>
      <c r="N944" s="67">
        <v>0</v>
      </c>
      <c r="O944" s="68">
        <v>45126</v>
      </c>
      <c r="P944" s="68">
        <v>45126</v>
      </c>
      <c r="Q944" s="57">
        <v>51517647.99729304</v>
      </c>
      <c r="R944" t="s">
        <v>2968</v>
      </c>
    </row>
    <row r="945" spans="1:18">
      <c r="A945">
        <v>1966</v>
      </c>
      <c r="B945" t="s">
        <v>3044</v>
      </c>
      <c r="C945" t="s">
        <v>0</v>
      </c>
      <c r="D945" t="s">
        <v>3041</v>
      </c>
      <c r="I945" t="s">
        <v>3042</v>
      </c>
      <c r="K945" t="s">
        <v>313</v>
      </c>
      <c r="L945" s="67">
        <v>0.25</v>
      </c>
      <c r="N945" s="67">
        <v>0</v>
      </c>
      <c r="O945" s="68">
        <v>45126</v>
      </c>
      <c r="P945" s="68">
        <v>45126</v>
      </c>
      <c r="Q945" s="57">
        <v>37863948.417797163</v>
      </c>
      <c r="R945" t="s">
        <v>2968</v>
      </c>
    </row>
    <row r="946" spans="1:18">
      <c r="A946">
        <v>1967</v>
      </c>
      <c r="B946" t="s">
        <v>3045</v>
      </c>
      <c r="C946" t="s">
        <v>0</v>
      </c>
      <c r="D946" t="s">
        <v>3041</v>
      </c>
      <c r="I946" t="s">
        <v>3042</v>
      </c>
      <c r="K946" t="s">
        <v>313</v>
      </c>
      <c r="L946" s="67">
        <v>0.25</v>
      </c>
      <c r="N946" s="67">
        <v>0</v>
      </c>
      <c r="O946" s="68">
        <v>45126</v>
      </c>
      <c r="P946" s="68">
        <v>45126</v>
      </c>
      <c r="Q946" s="57">
        <v>49082672.086928889</v>
      </c>
      <c r="R946" t="s">
        <v>2968</v>
      </c>
    </row>
    <row r="947" spans="1:18">
      <c r="A947">
        <v>1968</v>
      </c>
      <c r="B947" t="s">
        <v>3046</v>
      </c>
      <c r="C947" t="s">
        <v>0</v>
      </c>
      <c r="D947" t="s">
        <v>3041</v>
      </c>
      <c r="I947" t="s">
        <v>3042</v>
      </c>
      <c r="K947" t="s">
        <v>313</v>
      </c>
      <c r="L947" s="67">
        <v>0.25</v>
      </c>
      <c r="N947" s="67">
        <v>0</v>
      </c>
      <c r="O947" s="68">
        <v>45126</v>
      </c>
      <c r="P947" s="68">
        <v>45126</v>
      </c>
      <c r="Q947" s="57">
        <v>51517647.99729304</v>
      </c>
      <c r="R947" t="s">
        <v>2968</v>
      </c>
    </row>
    <row r="948" spans="1:18">
      <c r="A948">
        <v>1969</v>
      </c>
      <c r="B948" t="s">
        <v>3048</v>
      </c>
      <c r="C948" t="s">
        <v>0</v>
      </c>
      <c r="D948" t="s">
        <v>3047</v>
      </c>
      <c r="I948" t="s">
        <v>715</v>
      </c>
      <c r="K948" t="s">
        <v>313</v>
      </c>
      <c r="L948" s="67">
        <v>0.25</v>
      </c>
      <c r="N948" s="67">
        <v>0</v>
      </c>
      <c r="O948" s="68">
        <v>45126</v>
      </c>
      <c r="P948" s="68">
        <v>45126</v>
      </c>
      <c r="Q948" s="57">
        <v>15170820.715632947</v>
      </c>
      <c r="R948" t="s">
        <v>2968</v>
      </c>
    </row>
    <row r="949" spans="1:18">
      <c r="A949">
        <v>1970</v>
      </c>
      <c r="B949" t="s">
        <v>3049</v>
      </c>
      <c r="C949" t="s">
        <v>0</v>
      </c>
      <c r="D949" t="s">
        <v>3023</v>
      </c>
      <c r="I949" t="s">
        <v>3026</v>
      </c>
      <c r="K949" t="s">
        <v>313</v>
      </c>
      <c r="L949" s="67">
        <v>0.25</v>
      </c>
      <c r="N949" s="67">
        <v>0</v>
      </c>
      <c r="O949" s="68">
        <v>45131</v>
      </c>
      <c r="P949" s="68">
        <v>45131</v>
      </c>
      <c r="Q949" s="57">
        <v>40598011.467120938</v>
      </c>
      <c r="R949" t="s">
        <v>2968</v>
      </c>
    </row>
    <row r="950" spans="1:18">
      <c r="A950">
        <v>1971</v>
      </c>
      <c r="B950" t="s">
        <v>3052</v>
      </c>
      <c r="C950" t="s">
        <v>0</v>
      </c>
      <c r="D950" t="s">
        <v>3050</v>
      </c>
      <c r="I950" t="s">
        <v>3051</v>
      </c>
      <c r="K950" t="s">
        <v>313</v>
      </c>
      <c r="L950" s="67">
        <v>0.25</v>
      </c>
      <c r="N950" s="67">
        <v>0</v>
      </c>
      <c r="O950" s="68">
        <v>45131</v>
      </c>
      <c r="P950" s="68">
        <v>45131</v>
      </c>
      <c r="Q950" s="57">
        <v>16167177.9828915</v>
      </c>
      <c r="R950" t="s">
        <v>2968</v>
      </c>
    </row>
    <row r="951" spans="1:18">
      <c r="A951">
        <v>1972</v>
      </c>
      <c r="B951" t="s">
        <v>3055</v>
      </c>
      <c r="C951" t="s">
        <v>0</v>
      </c>
      <c r="D951" t="s">
        <v>3053</v>
      </c>
      <c r="I951" t="s">
        <v>3054</v>
      </c>
      <c r="K951" t="s">
        <v>313</v>
      </c>
      <c r="L951" s="67">
        <v>0.25</v>
      </c>
      <c r="N951" s="67">
        <v>0</v>
      </c>
      <c r="O951" s="68">
        <v>45131</v>
      </c>
      <c r="P951" s="68">
        <v>45131</v>
      </c>
      <c r="Q951" s="57">
        <v>18589288.406478141</v>
      </c>
      <c r="R951" t="s">
        <v>2968</v>
      </c>
    </row>
    <row r="952" spans="1:18">
      <c r="A952">
        <v>1973</v>
      </c>
      <c r="B952" t="s">
        <v>3057</v>
      </c>
      <c r="C952" t="s">
        <v>0</v>
      </c>
      <c r="D952" t="s">
        <v>3056</v>
      </c>
      <c r="I952" t="s">
        <v>2970</v>
      </c>
      <c r="K952" t="s">
        <v>313</v>
      </c>
      <c r="L952" s="67">
        <v>0.25</v>
      </c>
      <c r="N952" s="67">
        <v>0</v>
      </c>
      <c r="O952" s="68">
        <v>45132</v>
      </c>
      <c r="P952" s="68">
        <v>45132</v>
      </c>
      <c r="Q952" s="57">
        <v>45873759.406315625</v>
      </c>
      <c r="R952" t="s">
        <v>2968</v>
      </c>
    </row>
    <row r="953" spans="1:18">
      <c r="A953">
        <v>1974</v>
      </c>
      <c r="B953" t="s">
        <v>3060</v>
      </c>
      <c r="C953" t="s">
        <v>0</v>
      </c>
      <c r="D953" t="s">
        <v>3058</v>
      </c>
      <c r="I953" t="s">
        <v>3059</v>
      </c>
      <c r="J953">
        <v>220</v>
      </c>
      <c r="K953" t="s">
        <v>554</v>
      </c>
      <c r="M953">
        <v>0</v>
      </c>
      <c r="O953" s="68">
        <v>45132</v>
      </c>
      <c r="P953" s="68">
        <v>45132</v>
      </c>
      <c r="R953" t="s">
        <v>2968</v>
      </c>
    </row>
    <row r="954" spans="1:18">
      <c r="A954">
        <v>1975</v>
      </c>
      <c r="B954" t="s">
        <v>3061</v>
      </c>
      <c r="C954" t="s">
        <v>0</v>
      </c>
      <c r="D954" t="s">
        <v>3058</v>
      </c>
      <c r="I954" t="s">
        <v>3059</v>
      </c>
      <c r="J954">
        <v>220</v>
      </c>
      <c r="K954" t="s">
        <v>554</v>
      </c>
      <c r="M954">
        <v>0</v>
      </c>
      <c r="O954" s="68">
        <v>45132</v>
      </c>
      <c r="P954" s="68">
        <v>45132</v>
      </c>
      <c r="R954" t="s">
        <v>2968</v>
      </c>
    </row>
    <row r="955" spans="1:18">
      <c r="A955">
        <v>1976</v>
      </c>
      <c r="B955" t="s">
        <v>3064</v>
      </c>
      <c r="C955" t="s">
        <v>0</v>
      </c>
      <c r="D955" t="s">
        <v>3062</v>
      </c>
      <c r="I955" t="s">
        <v>3063</v>
      </c>
      <c r="J955">
        <v>220</v>
      </c>
      <c r="K955" t="s">
        <v>554</v>
      </c>
      <c r="M955">
        <v>0</v>
      </c>
      <c r="O955" s="68">
        <v>45132</v>
      </c>
      <c r="P955" s="68">
        <v>45132</v>
      </c>
      <c r="R955" t="s">
        <v>2968</v>
      </c>
    </row>
    <row r="956" spans="1:18">
      <c r="A956">
        <v>1977</v>
      </c>
      <c r="B956" t="s">
        <v>3065</v>
      </c>
      <c r="C956" t="s">
        <v>0</v>
      </c>
      <c r="D956" t="s">
        <v>3023</v>
      </c>
      <c r="I956" t="s">
        <v>3026</v>
      </c>
      <c r="K956" t="s">
        <v>313</v>
      </c>
      <c r="L956" s="67">
        <v>0.25</v>
      </c>
      <c r="N956" s="67">
        <v>0</v>
      </c>
      <c r="O956" s="68">
        <v>45132</v>
      </c>
      <c r="P956" s="68">
        <v>45132</v>
      </c>
      <c r="Q956" s="57">
        <v>16795409.960166283</v>
      </c>
      <c r="R956" t="s">
        <v>2968</v>
      </c>
    </row>
    <row r="957" spans="1:18">
      <c r="A957">
        <v>1978</v>
      </c>
      <c r="B957" t="s">
        <v>3067</v>
      </c>
      <c r="C957" t="s">
        <v>0</v>
      </c>
      <c r="D957" t="s">
        <v>3066</v>
      </c>
      <c r="I957" t="s">
        <v>1069</v>
      </c>
      <c r="K957" t="s">
        <v>313</v>
      </c>
      <c r="L957" s="67">
        <v>0.25</v>
      </c>
      <c r="N957" s="67">
        <v>0</v>
      </c>
      <c r="O957" s="68">
        <v>45132</v>
      </c>
      <c r="P957" s="68">
        <v>45132</v>
      </c>
      <c r="Q957" s="57">
        <v>75970744.186015651</v>
      </c>
      <c r="R957" t="s">
        <v>2968</v>
      </c>
    </row>
    <row r="958" spans="1:18">
      <c r="A958">
        <v>1979</v>
      </c>
      <c r="B958" t="s">
        <v>3069</v>
      </c>
      <c r="C958" t="s">
        <v>0</v>
      </c>
      <c r="D958" t="s">
        <v>3068</v>
      </c>
      <c r="I958" t="s">
        <v>881</v>
      </c>
      <c r="K958" t="s">
        <v>313</v>
      </c>
      <c r="L958" s="67">
        <v>0.25</v>
      </c>
      <c r="N958" s="67">
        <v>0</v>
      </c>
      <c r="O958" s="68">
        <v>45132</v>
      </c>
      <c r="P958" s="68">
        <v>45132</v>
      </c>
      <c r="Q958" s="57">
        <v>15170820.715632947</v>
      </c>
      <c r="R958" t="s">
        <v>2968</v>
      </c>
    </row>
    <row r="959" spans="1:18">
      <c r="A959">
        <v>1980</v>
      </c>
      <c r="B959" t="s">
        <v>3070</v>
      </c>
      <c r="C959" t="s">
        <v>7</v>
      </c>
      <c r="D959" t="s">
        <v>2005</v>
      </c>
      <c r="I959" t="s">
        <v>1434</v>
      </c>
      <c r="K959" t="s">
        <v>313</v>
      </c>
      <c r="L959" s="67">
        <v>0.25</v>
      </c>
      <c r="N959" s="67">
        <v>0.05</v>
      </c>
      <c r="O959" s="68">
        <v>45138</v>
      </c>
      <c r="P959" s="68">
        <v>45138</v>
      </c>
      <c r="Q959" s="57">
        <v>326554995.25222886</v>
      </c>
      <c r="R959" t="s">
        <v>2968</v>
      </c>
    </row>
    <row r="960" spans="1:18">
      <c r="A960">
        <v>1981</v>
      </c>
      <c r="B960" t="s">
        <v>3073</v>
      </c>
      <c r="C960" t="s">
        <v>7</v>
      </c>
      <c r="D960" t="s">
        <v>3071</v>
      </c>
      <c r="I960" t="s">
        <v>3072</v>
      </c>
      <c r="K960" t="s">
        <v>313</v>
      </c>
      <c r="L960" s="67">
        <v>0.25</v>
      </c>
      <c r="N960" s="67">
        <v>0</v>
      </c>
      <c r="O960" s="68">
        <v>45139</v>
      </c>
      <c r="P960" s="68">
        <v>45139</v>
      </c>
      <c r="Q960" s="57">
        <v>75970744.186015651</v>
      </c>
      <c r="R960" t="s">
        <v>2968</v>
      </c>
    </row>
    <row r="961" spans="1:18">
      <c r="A961">
        <v>1982</v>
      </c>
      <c r="B961" t="s">
        <v>3075</v>
      </c>
      <c r="C961" t="s">
        <v>0</v>
      </c>
      <c r="D961" t="s">
        <v>3074</v>
      </c>
      <c r="I961" t="s">
        <v>1610</v>
      </c>
      <c r="K961" t="s">
        <v>313</v>
      </c>
      <c r="L961" s="67">
        <v>0.25</v>
      </c>
      <c r="N961" s="67">
        <v>0</v>
      </c>
      <c r="O961" s="68">
        <v>45139</v>
      </c>
      <c r="P961" s="68">
        <v>45139</v>
      </c>
      <c r="Q961" s="57">
        <v>38766786.653473407</v>
      </c>
      <c r="R961" t="s">
        <v>2968</v>
      </c>
    </row>
    <row r="962" spans="1:18">
      <c r="A962">
        <v>1983</v>
      </c>
      <c r="B962" t="s">
        <v>3077</v>
      </c>
      <c r="C962" t="s">
        <v>0</v>
      </c>
      <c r="D962" t="s">
        <v>3076</v>
      </c>
      <c r="I962" t="s">
        <v>881</v>
      </c>
      <c r="K962" t="s">
        <v>313</v>
      </c>
      <c r="L962" s="67">
        <v>0.25</v>
      </c>
      <c r="N962" s="67">
        <v>0</v>
      </c>
      <c r="O962" s="68">
        <v>45140</v>
      </c>
      <c r="P962" s="68">
        <v>45140</v>
      </c>
      <c r="Q962" s="57">
        <v>424507854.54932964</v>
      </c>
      <c r="R962" t="s">
        <v>2968</v>
      </c>
    </row>
    <row r="963" spans="1:18">
      <c r="A963">
        <v>1984</v>
      </c>
      <c r="B963" t="s">
        <v>3078</v>
      </c>
      <c r="C963" t="s">
        <v>0</v>
      </c>
      <c r="D963" t="s">
        <v>3076</v>
      </c>
      <c r="I963" t="s">
        <v>881</v>
      </c>
      <c r="K963" t="s">
        <v>313</v>
      </c>
      <c r="L963" s="67">
        <v>0.25</v>
      </c>
      <c r="N963" s="67">
        <v>0</v>
      </c>
      <c r="O963" s="68">
        <v>45140</v>
      </c>
      <c r="P963" s="68">
        <v>45140</v>
      </c>
      <c r="Q963" s="57">
        <v>424507854.54932964</v>
      </c>
      <c r="R963" t="s">
        <v>2968</v>
      </c>
    </row>
    <row r="964" spans="1:18">
      <c r="A964">
        <v>1985</v>
      </c>
      <c r="B964" t="s">
        <v>3079</v>
      </c>
      <c r="C964" t="s">
        <v>0</v>
      </c>
      <c r="D964" t="s">
        <v>3074</v>
      </c>
      <c r="I964" t="s">
        <v>1610</v>
      </c>
      <c r="K964" t="s">
        <v>313</v>
      </c>
      <c r="L964" s="67">
        <v>0.25</v>
      </c>
      <c r="N964" s="67">
        <v>0</v>
      </c>
      <c r="O964" s="68">
        <v>45140</v>
      </c>
      <c r="P964" s="68">
        <v>45140</v>
      </c>
      <c r="Q964" s="57">
        <v>58464234.204886742</v>
      </c>
      <c r="R964" t="s">
        <v>2968</v>
      </c>
    </row>
    <row r="965" spans="1:18">
      <c r="A965">
        <v>1986</v>
      </c>
      <c r="B965" t="s">
        <v>3081</v>
      </c>
      <c r="C965" t="s">
        <v>0</v>
      </c>
      <c r="D965" t="s">
        <v>3080</v>
      </c>
      <c r="I965" t="s">
        <v>1997</v>
      </c>
      <c r="K965" t="s">
        <v>313</v>
      </c>
      <c r="L965" s="67">
        <v>0.25</v>
      </c>
      <c r="N965" s="67">
        <v>0</v>
      </c>
      <c r="O965" s="68">
        <v>45140</v>
      </c>
      <c r="P965" s="68">
        <v>45140</v>
      </c>
      <c r="Q965" s="57">
        <v>37337332.438876271</v>
      </c>
      <c r="R965" t="s">
        <v>2968</v>
      </c>
    </row>
    <row r="966" spans="1:18">
      <c r="A966">
        <v>1987</v>
      </c>
      <c r="B966" t="s">
        <v>3083</v>
      </c>
      <c r="C966" t="s">
        <v>7</v>
      </c>
      <c r="D966" t="s">
        <v>3082</v>
      </c>
      <c r="I966" t="s">
        <v>1272</v>
      </c>
      <c r="K966" t="s">
        <v>313</v>
      </c>
      <c r="L966" s="67">
        <v>0.25</v>
      </c>
      <c r="N966" s="67">
        <v>0</v>
      </c>
      <c r="O966" s="68">
        <v>45140</v>
      </c>
      <c r="P966" s="68">
        <v>45140</v>
      </c>
      <c r="Q966" s="57">
        <v>134874121.98943162</v>
      </c>
      <c r="R966" t="s">
        <v>2968</v>
      </c>
    </row>
    <row r="967" spans="1:18">
      <c r="A967">
        <v>1988</v>
      </c>
      <c r="B967" t="s">
        <v>3085</v>
      </c>
      <c r="C967" t="s">
        <v>0</v>
      </c>
      <c r="D967" t="s">
        <v>3084</v>
      </c>
      <c r="I967" t="s">
        <v>881</v>
      </c>
      <c r="K967" t="s">
        <v>313</v>
      </c>
      <c r="L967" s="67">
        <v>0.25</v>
      </c>
      <c r="N967" s="67">
        <v>0.05</v>
      </c>
      <c r="O967" s="68">
        <v>45141</v>
      </c>
      <c r="P967" s="68">
        <v>45141</v>
      </c>
      <c r="Q967" s="57">
        <v>473346417.04602492</v>
      </c>
      <c r="R967" t="s">
        <v>2968</v>
      </c>
    </row>
    <row r="968" spans="1:18">
      <c r="A968">
        <v>1989</v>
      </c>
      <c r="B968" t="s">
        <v>3086</v>
      </c>
      <c r="C968" t="s">
        <v>0</v>
      </c>
      <c r="D968" t="s">
        <v>3084</v>
      </c>
      <c r="I968" t="s">
        <v>881</v>
      </c>
      <c r="K968" t="s">
        <v>313</v>
      </c>
      <c r="L968" s="67">
        <v>0.25</v>
      </c>
      <c r="N968" s="67">
        <v>0</v>
      </c>
      <c r="O968" s="68">
        <v>45141</v>
      </c>
      <c r="P968" s="68">
        <v>45141</v>
      </c>
      <c r="Q968" s="57">
        <v>240186122.79940665</v>
      </c>
      <c r="R968" t="s">
        <v>2968</v>
      </c>
    </row>
    <row r="969" spans="1:18">
      <c r="A969">
        <v>1990</v>
      </c>
      <c r="B969" t="s">
        <v>3087</v>
      </c>
      <c r="C969" t="s">
        <v>0</v>
      </c>
      <c r="D969" t="s">
        <v>3084</v>
      </c>
      <c r="I969" t="s">
        <v>881</v>
      </c>
      <c r="K969" t="s">
        <v>313</v>
      </c>
      <c r="L969" s="67">
        <v>0.25</v>
      </c>
      <c r="N969" s="67">
        <v>0</v>
      </c>
      <c r="O969" s="68">
        <v>45141</v>
      </c>
      <c r="P969" s="68">
        <v>45141</v>
      </c>
      <c r="Q969" s="57">
        <v>579357382.41859758</v>
      </c>
      <c r="R969" t="s">
        <v>2968</v>
      </c>
    </row>
    <row r="970" spans="1:18">
      <c r="A970">
        <v>1991</v>
      </c>
      <c r="B970" t="s">
        <v>3090</v>
      </c>
      <c r="C970" t="s">
        <v>7</v>
      </c>
      <c r="D970" t="s">
        <v>3088</v>
      </c>
      <c r="I970" t="s">
        <v>3089</v>
      </c>
      <c r="K970" t="s">
        <v>313</v>
      </c>
      <c r="L970" s="67">
        <v>0.25</v>
      </c>
      <c r="N970" s="67">
        <v>0</v>
      </c>
      <c r="O970" s="68">
        <v>45146</v>
      </c>
      <c r="P970" s="68">
        <v>45146</v>
      </c>
      <c r="Q970" s="57">
        <v>33992149.318588294</v>
      </c>
      <c r="R970" t="s">
        <v>2968</v>
      </c>
    </row>
    <row r="971" spans="1:18">
      <c r="A971">
        <v>1992</v>
      </c>
      <c r="B971" t="s">
        <v>3091</v>
      </c>
      <c r="C971" t="s">
        <v>7</v>
      </c>
      <c r="D971" t="s">
        <v>3088</v>
      </c>
      <c r="I971" t="s">
        <v>3089</v>
      </c>
      <c r="K971" t="s">
        <v>313</v>
      </c>
      <c r="L971" s="67">
        <v>0.25</v>
      </c>
      <c r="N971" s="67">
        <v>0</v>
      </c>
      <c r="O971" s="68">
        <v>45146</v>
      </c>
      <c r="P971" s="68">
        <v>45146</v>
      </c>
      <c r="Q971" s="57">
        <v>59137616.508601204</v>
      </c>
      <c r="R971" t="s">
        <v>2968</v>
      </c>
    </row>
    <row r="972" spans="1:18">
      <c r="A972">
        <v>1993</v>
      </c>
      <c r="B972" t="s">
        <v>3094</v>
      </c>
      <c r="C972" t="s">
        <v>7</v>
      </c>
      <c r="D972" t="s">
        <v>3093</v>
      </c>
      <c r="I972" t="s">
        <v>3092</v>
      </c>
      <c r="K972" t="s">
        <v>313</v>
      </c>
      <c r="L972" s="67">
        <v>0.25</v>
      </c>
      <c r="N972" s="67">
        <v>0</v>
      </c>
      <c r="O972" s="68">
        <v>45146</v>
      </c>
      <c r="P972" s="68">
        <v>45146</v>
      </c>
      <c r="Q972" s="57">
        <v>24897190.150857795</v>
      </c>
      <c r="R972" t="s">
        <v>2968</v>
      </c>
    </row>
    <row r="973" spans="1:18">
      <c r="A973">
        <v>1994</v>
      </c>
      <c r="B973" t="s">
        <v>3096</v>
      </c>
      <c r="C973" t="s">
        <v>0</v>
      </c>
      <c r="D973" t="s">
        <v>3095</v>
      </c>
      <c r="I973" t="s">
        <v>884</v>
      </c>
      <c r="J973">
        <v>220</v>
      </c>
      <c r="K973" t="s">
        <v>554</v>
      </c>
      <c r="M973">
        <v>0</v>
      </c>
      <c r="O973" s="68">
        <v>45152</v>
      </c>
      <c r="P973" s="68">
        <v>45152</v>
      </c>
      <c r="R973" t="s">
        <v>2968</v>
      </c>
    </row>
    <row r="974" spans="1:18">
      <c r="A974">
        <v>1995</v>
      </c>
      <c r="B974" t="s">
        <v>3099</v>
      </c>
      <c r="C974" t="s">
        <v>0</v>
      </c>
      <c r="D974" t="s">
        <v>3097</v>
      </c>
      <c r="I974" t="s">
        <v>3098</v>
      </c>
      <c r="K974" t="s">
        <v>313</v>
      </c>
      <c r="L974" s="67">
        <v>0.25</v>
      </c>
      <c r="N974" s="67">
        <v>0</v>
      </c>
      <c r="O974" s="68">
        <v>45152</v>
      </c>
      <c r="P974" s="68">
        <v>45152</v>
      </c>
      <c r="Q974" s="57">
        <v>15170820.715632947</v>
      </c>
      <c r="R974" t="s">
        <v>2968</v>
      </c>
    </row>
    <row r="975" spans="1:18">
      <c r="A975">
        <v>1996</v>
      </c>
      <c r="B975" t="s">
        <v>3101</v>
      </c>
      <c r="C975" t="s">
        <v>0</v>
      </c>
      <c r="D975" t="s">
        <v>3100</v>
      </c>
      <c r="I975" t="s">
        <v>2863</v>
      </c>
      <c r="K975" t="s">
        <v>313</v>
      </c>
      <c r="L975" s="67">
        <v>0.25</v>
      </c>
      <c r="N975" s="67">
        <v>0</v>
      </c>
      <c r="O975" s="68">
        <v>45156</v>
      </c>
      <c r="P975" s="68">
        <v>45156</v>
      </c>
      <c r="Q975" s="57">
        <v>84418108</v>
      </c>
      <c r="R975" t="s">
        <v>2968</v>
      </c>
    </row>
    <row r="976" spans="1:18">
      <c r="A976">
        <v>1997</v>
      </c>
      <c r="B976" t="s">
        <v>3103</v>
      </c>
      <c r="C976" t="s">
        <v>7</v>
      </c>
      <c r="D976" t="s">
        <v>3102</v>
      </c>
      <c r="I976" t="s">
        <v>133</v>
      </c>
      <c r="K976" t="s">
        <v>313</v>
      </c>
      <c r="L976" s="67">
        <v>0.25</v>
      </c>
      <c r="N976" s="67">
        <v>0</v>
      </c>
      <c r="O976" s="68">
        <v>45156</v>
      </c>
      <c r="P976" s="68">
        <v>45156</v>
      </c>
      <c r="Q976" s="57">
        <v>434607064.83855814</v>
      </c>
      <c r="R976" t="s">
        <v>2968</v>
      </c>
    </row>
    <row r="977" spans="1:18">
      <c r="A977">
        <v>1998</v>
      </c>
      <c r="B977" t="s">
        <v>3105</v>
      </c>
      <c r="C977" t="s">
        <v>0</v>
      </c>
      <c r="D977" t="s">
        <v>3104</v>
      </c>
      <c r="I977" t="s">
        <v>134</v>
      </c>
      <c r="K977" t="s">
        <v>313</v>
      </c>
      <c r="L977" s="67">
        <v>0.25</v>
      </c>
      <c r="N977" s="67">
        <v>0</v>
      </c>
      <c r="O977" s="68">
        <v>45156</v>
      </c>
      <c r="P977" s="68">
        <v>45156</v>
      </c>
      <c r="Q977" s="57">
        <v>20419535.987475805</v>
      </c>
      <c r="R977" t="s">
        <v>2968</v>
      </c>
    </row>
    <row r="978" spans="1:18">
      <c r="A978">
        <v>1999</v>
      </c>
      <c r="B978" t="s">
        <v>3107</v>
      </c>
      <c r="C978" t="s">
        <v>0</v>
      </c>
      <c r="D978" t="s">
        <v>3106</v>
      </c>
      <c r="I978" t="s">
        <v>1997</v>
      </c>
      <c r="K978" t="s">
        <v>313</v>
      </c>
      <c r="L978" s="67">
        <v>0.25</v>
      </c>
      <c r="N978" s="67">
        <v>0</v>
      </c>
      <c r="O978" s="68">
        <v>45157</v>
      </c>
      <c r="P978" s="68">
        <v>45157</v>
      </c>
      <c r="Q978" s="57">
        <v>220829165.00723359</v>
      </c>
      <c r="R978" t="s">
        <v>2968</v>
      </c>
    </row>
    <row r="979" spans="1:18">
      <c r="A979">
        <v>2000</v>
      </c>
      <c r="B979" t="s">
        <v>3110</v>
      </c>
      <c r="C979" t="s">
        <v>0</v>
      </c>
      <c r="D979" t="s">
        <v>3108</v>
      </c>
      <c r="I979" t="s">
        <v>3109</v>
      </c>
      <c r="K979" t="s">
        <v>313</v>
      </c>
      <c r="L979" s="67">
        <v>0.25</v>
      </c>
      <c r="N979" s="67">
        <v>0</v>
      </c>
      <c r="O979" s="68">
        <v>45157</v>
      </c>
      <c r="P979" s="68">
        <v>45157</v>
      </c>
      <c r="Q979" s="57">
        <v>18459376.596513741</v>
      </c>
      <c r="R979" t="s">
        <v>2968</v>
      </c>
    </row>
    <row r="980" spans="1:18">
      <c r="A980">
        <v>2001</v>
      </c>
      <c r="B980" t="s">
        <v>3111</v>
      </c>
      <c r="C980" t="s">
        <v>0</v>
      </c>
      <c r="D980" t="s">
        <v>3080</v>
      </c>
      <c r="I980" t="s">
        <v>1997</v>
      </c>
      <c r="K980" t="s">
        <v>313</v>
      </c>
      <c r="L980" s="67">
        <v>0.25</v>
      </c>
      <c r="N980" s="67">
        <v>0</v>
      </c>
      <c r="O980" s="68">
        <v>45157</v>
      </c>
      <c r="P980" s="68">
        <v>45157</v>
      </c>
      <c r="Q980" s="57">
        <v>24490528.928652272</v>
      </c>
      <c r="R980" t="s">
        <v>2968</v>
      </c>
    </row>
    <row r="981" spans="1:18">
      <c r="A981">
        <v>2002</v>
      </c>
      <c r="B981" t="s">
        <v>3113</v>
      </c>
      <c r="C981" t="s">
        <v>0</v>
      </c>
      <c r="D981" t="s">
        <v>3112</v>
      </c>
      <c r="I981" t="s">
        <v>881</v>
      </c>
      <c r="K981" t="s">
        <v>313</v>
      </c>
      <c r="L981" s="67">
        <v>0.25</v>
      </c>
      <c r="N981" s="67">
        <v>0</v>
      </c>
      <c r="O981" s="68">
        <v>45157</v>
      </c>
      <c r="P981" s="68">
        <v>45157</v>
      </c>
      <c r="Q981" s="57">
        <v>12877183.405024834</v>
      </c>
      <c r="R981" t="s">
        <v>2968</v>
      </c>
    </row>
    <row r="982" spans="1:18">
      <c r="A982">
        <v>2003</v>
      </c>
      <c r="B982" t="s">
        <v>3115</v>
      </c>
      <c r="C982" t="s">
        <v>0</v>
      </c>
      <c r="D982" t="s">
        <v>3114</v>
      </c>
      <c r="I982" t="s">
        <v>1046</v>
      </c>
      <c r="K982" t="s">
        <v>313</v>
      </c>
      <c r="L982" s="67">
        <v>0.25</v>
      </c>
      <c r="N982" s="67">
        <v>0.03</v>
      </c>
      <c r="O982" s="68">
        <v>45160</v>
      </c>
      <c r="P982" s="68">
        <v>45160</v>
      </c>
      <c r="Q982" s="57">
        <v>14393413.353316855</v>
      </c>
      <c r="R982" t="s">
        <v>2968</v>
      </c>
    </row>
    <row r="983" spans="1:18">
      <c r="A983">
        <v>2004</v>
      </c>
      <c r="B983" t="s">
        <v>3117</v>
      </c>
      <c r="C983" t="s">
        <v>0</v>
      </c>
      <c r="D983" t="s">
        <v>3116</v>
      </c>
      <c r="I983" t="s">
        <v>881</v>
      </c>
      <c r="K983" t="s">
        <v>313</v>
      </c>
      <c r="L983" s="67">
        <v>0.25</v>
      </c>
      <c r="N983" s="67">
        <v>0.03</v>
      </c>
      <c r="O983" s="68">
        <v>45160</v>
      </c>
      <c r="P983" s="68">
        <v>45160</v>
      </c>
      <c r="Q983" s="57">
        <v>81768650.136659563</v>
      </c>
      <c r="R983" t="s">
        <v>2968</v>
      </c>
    </row>
    <row r="984" spans="1:18">
      <c r="A984">
        <v>2005</v>
      </c>
      <c r="B984" t="s">
        <v>3120</v>
      </c>
      <c r="C984" t="s">
        <v>0</v>
      </c>
      <c r="D984" t="s">
        <v>3118</v>
      </c>
      <c r="I984" t="s">
        <v>3119</v>
      </c>
      <c r="J984">
        <v>220</v>
      </c>
      <c r="K984" t="s">
        <v>554</v>
      </c>
      <c r="M984">
        <v>0</v>
      </c>
      <c r="O984" s="68">
        <v>45161</v>
      </c>
      <c r="P984" s="68">
        <v>45161</v>
      </c>
      <c r="R984" t="s">
        <v>2968</v>
      </c>
    </row>
    <row r="985" spans="1:18">
      <c r="A985">
        <v>2006</v>
      </c>
      <c r="B985" t="s">
        <v>3122</v>
      </c>
      <c r="C985" t="s">
        <v>7</v>
      </c>
      <c r="D985" t="s">
        <v>3121</v>
      </c>
      <c r="I985" t="s">
        <v>24</v>
      </c>
      <c r="K985" t="s">
        <v>313</v>
      </c>
      <c r="L985" s="67">
        <v>0.25</v>
      </c>
      <c r="N985" s="67">
        <v>0</v>
      </c>
      <c r="O985" s="68">
        <v>45166</v>
      </c>
      <c r="P985" s="68">
        <v>45166</v>
      </c>
      <c r="Q985" s="57">
        <v>44380664.068715632</v>
      </c>
      <c r="R985" t="s">
        <v>2968</v>
      </c>
    </row>
    <row r="986" spans="1:18">
      <c r="A986">
        <v>2007</v>
      </c>
      <c r="B986" t="s">
        <v>3123</v>
      </c>
      <c r="C986" t="s">
        <v>7</v>
      </c>
      <c r="D986" t="s">
        <v>3088</v>
      </c>
      <c r="I986" t="s">
        <v>1069</v>
      </c>
      <c r="K986" t="s">
        <v>313</v>
      </c>
      <c r="L986" s="67">
        <v>0.25</v>
      </c>
      <c r="N986" s="67">
        <v>0</v>
      </c>
      <c r="O986" s="68">
        <v>45166</v>
      </c>
      <c r="P986" s="68">
        <v>45166</v>
      </c>
      <c r="Q986" s="57">
        <v>55789047.839881867</v>
      </c>
      <c r="R986" t="s">
        <v>2968</v>
      </c>
    </row>
    <row r="987" spans="1:18">
      <c r="A987">
        <v>2008</v>
      </c>
      <c r="B987" t="s">
        <v>3125</v>
      </c>
      <c r="C987" t="s">
        <v>7</v>
      </c>
      <c r="D987" t="s">
        <v>3124</v>
      </c>
      <c r="I987" t="s">
        <v>1069</v>
      </c>
      <c r="K987" t="s">
        <v>313</v>
      </c>
      <c r="L987" s="67">
        <v>0.25</v>
      </c>
      <c r="N987" s="67">
        <v>0</v>
      </c>
      <c r="O987" s="68">
        <v>45166</v>
      </c>
      <c r="P987" s="68">
        <v>45166</v>
      </c>
      <c r="Q987" s="57">
        <v>55894049.17492187</v>
      </c>
      <c r="R987" t="s">
        <v>2968</v>
      </c>
    </row>
    <row r="988" spans="1:18">
      <c r="A988">
        <v>2009</v>
      </c>
      <c r="B988" t="s">
        <v>3127</v>
      </c>
      <c r="C988" t="s">
        <v>7</v>
      </c>
      <c r="D988" t="s">
        <v>3126</v>
      </c>
      <c r="I988" t="s">
        <v>1069</v>
      </c>
      <c r="K988" t="s">
        <v>313</v>
      </c>
      <c r="L988" s="67">
        <v>0.25</v>
      </c>
      <c r="N988" s="67">
        <v>0</v>
      </c>
      <c r="O988" s="68">
        <v>45166</v>
      </c>
      <c r="P988" s="68">
        <v>45166</v>
      </c>
      <c r="Q988" s="57">
        <v>55992115.841588542</v>
      </c>
      <c r="R988" t="s">
        <v>2968</v>
      </c>
    </row>
    <row r="989" spans="1:18">
      <c r="A989">
        <v>2010</v>
      </c>
      <c r="B989" t="s">
        <v>3128</v>
      </c>
      <c r="C989" t="s">
        <v>0</v>
      </c>
      <c r="I989" t="s">
        <v>24</v>
      </c>
      <c r="K989" t="s">
        <v>313</v>
      </c>
      <c r="L989" s="67">
        <v>0.25</v>
      </c>
      <c r="N989" s="67">
        <v>0</v>
      </c>
      <c r="O989" s="68">
        <v>45166</v>
      </c>
      <c r="P989" s="68">
        <v>45166</v>
      </c>
      <c r="Q989" s="57">
        <v>17332491.351980407</v>
      </c>
      <c r="R989" t="s">
        <v>2968</v>
      </c>
    </row>
    <row r="990" spans="1:18">
      <c r="A990">
        <v>2011</v>
      </c>
      <c r="B990" t="s">
        <v>3129</v>
      </c>
      <c r="C990" t="s">
        <v>3</v>
      </c>
      <c r="D990" t="s">
        <v>2540</v>
      </c>
      <c r="I990" t="s">
        <v>135</v>
      </c>
      <c r="K990" t="s">
        <v>313</v>
      </c>
      <c r="L990" s="67">
        <v>0.25</v>
      </c>
      <c r="N990" s="67">
        <v>0.05</v>
      </c>
      <c r="O990" s="68">
        <v>45168</v>
      </c>
      <c r="P990" s="68">
        <v>45168</v>
      </c>
      <c r="Q990" s="57">
        <v>449398062.68217826</v>
      </c>
      <c r="R990" t="s">
        <v>2968</v>
      </c>
    </row>
    <row r="991" spans="1:18">
      <c r="A991">
        <v>2012</v>
      </c>
      <c r="B991" t="s">
        <v>3132</v>
      </c>
      <c r="C991" t="s">
        <v>7</v>
      </c>
      <c r="D991" t="s">
        <v>3130</v>
      </c>
      <c r="I991" t="s">
        <v>3131</v>
      </c>
      <c r="K991" t="s">
        <v>313</v>
      </c>
      <c r="L991" s="67">
        <v>0.25</v>
      </c>
      <c r="N991" s="67">
        <v>0.05</v>
      </c>
      <c r="O991" s="68">
        <v>45168</v>
      </c>
      <c r="P991" s="68">
        <v>45168</v>
      </c>
      <c r="Q991" s="57">
        <v>450565200.75724947</v>
      </c>
      <c r="R991" t="s">
        <v>2968</v>
      </c>
    </row>
    <row r="992" spans="1:18">
      <c r="A992">
        <v>2013</v>
      </c>
      <c r="B992" t="s">
        <v>3135</v>
      </c>
      <c r="C992" t="s">
        <v>7</v>
      </c>
      <c r="D992" t="s">
        <v>3133</v>
      </c>
      <c r="I992" t="s">
        <v>3134</v>
      </c>
      <c r="K992" t="s">
        <v>313</v>
      </c>
      <c r="L992" s="67">
        <v>0.25</v>
      </c>
      <c r="N992" s="67">
        <v>0</v>
      </c>
      <c r="O992" s="68">
        <v>45169</v>
      </c>
      <c r="P992" s="68">
        <v>45169</v>
      </c>
      <c r="Q992" s="57">
        <v>56949647.109251432</v>
      </c>
      <c r="R992" t="s">
        <v>2968</v>
      </c>
    </row>
    <row r="993" spans="1:18">
      <c r="A993">
        <v>2014</v>
      </c>
      <c r="B993" t="s">
        <v>3136</v>
      </c>
      <c r="C993" t="s">
        <v>7</v>
      </c>
      <c r="D993" t="s">
        <v>3133</v>
      </c>
      <c r="I993" t="s">
        <v>3134</v>
      </c>
      <c r="K993" t="s">
        <v>313</v>
      </c>
      <c r="L993" s="67">
        <v>0.25</v>
      </c>
      <c r="N993" s="67">
        <v>0</v>
      </c>
      <c r="O993" s="68">
        <v>45169</v>
      </c>
      <c r="P993" s="68">
        <v>45169</v>
      </c>
      <c r="Q993" s="57">
        <v>18459376.596513741</v>
      </c>
      <c r="R993" t="s">
        <v>2968</v>
      </c>
    </row>
    <row r="994" spans="1:18">
      <c r="A994">
        <v>2015</v>
      </c>
      <c r="B994" t="s">
        <v>3137</v>
      </c>
      <c r="C994" t="s">
        <v>7</v>
      </c>
      <c r="D994" t="s">
        <v>2198</v>
      </c>
      <c r="I994" t="s">
        <v>24</v>
      </c>
      <c r="K994" t="s">
        <v>313</v>
      </c>
      <c r="L994" s="67">
        <v>0.25</v>
      </c>
      <c r="N994" s="67">
        <v>0.05</v>
      </c>
      <c r="O994" s="68">
        <v>45169</v>
      </c>
      <c r="P994" s="68">
        <v>45169</v>
      </c>
      <c r="Q994" s="57">
        <v>255988112.32196379</v>
      </c>
      <c r="R994" t="s">
        <v>2968</v>
      </c>
    </row>
    <row r="995" spans="1:18">
      <c r="A995">
        <v>2016</v>
      </c>
      <c r="B995" t="s">
        <v>3138</v>
      </c>
      <c r="C995" t="s">
        <v>7</v>
      </c>
      <c r="D995" t="s">
        <v>2198</v>
      </c>
      <c r="I995" t="s">
        <v>24</v>
      </c>
      <c r="K995" t="s">
        <v>313</v>
      </c>
      <c r="L995" s="67">
        <v>0.25</v>
      </c>
      <c r="N995" s="67">
        <v>0.05</v>
      </c>
      <c r="O995" s="68">
        <v>45169</v>
      </c>
      <c r="P995" s="68">
        <v>45169</v>
      </c>
      <c r="Q995" s="57">
        <v>255988112.32196379</v>
      </c>
      <c r="R995" t="s">
        <v>2968</v>
      </c>
    </row>
    <row r="996" spans="1:18">
      <c r="A996">
        <v>2017</v>
      </c>
      <c r="B996" t="s">
        <v>3140</v>
      </c>
      <c r="C996" t="s">
        <v>0</v>
      </c>
      <c r="D996" t="s">
        <v>3139</v>
      </c>
      <c r="I996" t="s">
        <v>24</v>
      </c>
      <c r="K996" t="s">
        <v>313</v>
      </c>
      <c r="L996" s="67">
        <v>0.25</v>
      </c>
      <c r="N996" s="67">
        <v>0</v>
      </c>
      <c r="O996" s="68">
        <v>45169</v>
      </c>
      <c r="P996" s="68">
        <v>45169</v>
      </c>
      <c r="Q996" s="57">
        <v>158614478.94923791</v>
      </c>
      <c r="R996" t="s">
        <v>2968</v>
      </c>
    </row>
    <row r="997" spans="1:18">
      <c r="A997">
        <v>2018</v>
      </c>
      <c r="B997" t="s">
        <v>3143</v>
      </c>
      <c r="C997" t="s">
        <v>7</v>
      </c>
      <c r="D997" t="s">
        <v>3141</v>
      </c>
      <c r="I997" t="s">
        <v>3142</v>
      </c>
      <c r="K997" t="s">
        <v>313</v>
      </c>
      <c r="L997" s="67">
        <v>0.25</v>
      </c>
      <c r="N997" s="67">
        <v>0</v>
      </c>
      <c r="O997" s="68">
        <v>45173</v>
      </c>
      <c r="P997" s="68">
        <v>45173</v>
      </c>
      <c r="Q997" s="57">
        <v>102522844.40212211</v>
      </c>
      <c r="R997" t="s">
        <v>2968</v>
      </c>
    </row>
    <row r="998" spans="1:18">
      <c r="A998">
        <v>2019</v>
      </c>
      <c r="B998" t="s">
        <v>3144</v>
      </c>
      <c r="C998" t="s">
        <v>7</v>
      </c>
      <c r="D998" t="s">
        <v>3141</v>
      </c>
      <c r="I998" t="s">
        <v>3142</v>
      </c>
      <c r="K998" t="s">
        <v>313</v>
      </c>
      <c r="L998" s="67">
        <v>0.25</v>
      </c>
      <c r="N998" s="67">
        <v>0</v>
      </c>
      <c r="O998" s="68">
        <v>45173</v>
      </c>
      <c r="P998" s="68">
        <v>45173</v>
      </c>
      <c r="Q998" s="57">
        <v>118593469.92593165</v>
      </c>
      <c r="R998" t="s">
        <v>2968</v>
      </c>
    </row>
    <row r="999" spans="1:18">
      <c r="A999">
        <v>2020</v>
      </c>
      <c r="B999" t="s">
        <v>3145</v>
      </c>
      <c r="C999" t="s">
        <v>7</v>
      </c>
      <c r="D999" t="s">
        <v>2198</v>
      </c>
      <c r="I999" t="s">
        <v>884</v>
      </c>
      <c r="K999" t="s">
        <v>313</v>
      </c>
      <c r="L999" s="67">
        <v>0.25</v>
      </c>
      <c r="N999" s="67">
        <v>0.05</v>
      </c>
      <c r="O999" s="68">
        <v>45173</v>
      </c>
      <c r="P999" s="68">
        <v>45173</v>
      </c>
      <c r="Q999" s="57">
        <v>227015223.69887972</v>
      </c>
      <c r="R999" t="s">
        <v>2968</v>
      </c>
    </row>
    <row r="1000" spans="1:18">
      <c r="A1000">
        <v>2021</v>
      </c>
      <c r="B1000" t="s">
        <v>3147</v>
      </c>
      <c r="C1000" t="s">
        <v>0</v>
      </c>
      <c r="D1000" t="s">
        <v>3146</v>
      </c>
      <c r="I1000" t="s">
        <v>2529</v>
      </c>
      <c r="J1000">
        <v>220</v>
      </c>
      <c r="K1000" t="s">
        <v>554</v>
      </c>
      <c r="M1000">
        <v>0</v>
      </c>
      <c r="O1000" s="68">
        <v>45174</v>
      </c>
      <c r="P1000" s="68">
        <v>45174</v>
      </c>
      <c r="R1000" t="s">
        <v>2968</v>
      </c>
    </row>
    <row r="1001" spans="1:18">
      <c r="A1001">
        <v>2022</v>
      </c>
      <c r="B1001" t="s">
        <v>3148</v>
      </c>
      <c r="C1001" t="s">
        <v>0</v>
      </c>
      <c r="D1001" t="s">
        <v>3146</v>
      </c>
      <c r="I1001" t="s">
        <v>2529</v>
      </c>
      <c r="J1001">
        <v>220</v>
      </c>
      <c r="K1001" t="s">
        <v>554</v>
      </c>
      <c r="M1001">
        <v>0</v>
      </c>
      <c r="O1001" s="68">
        <v>45174</v>
      </c>
      <c r="P1001" s="68">
        <v>45174</v>
      </c>
      <c r="R1001" t="s">
        <v>2968</v>
      </c>
    </row>
    <row r="1002" spans="1:18">
      <c r="A1002">
        <v>2023</v>
      </c>
      <c r="B1002" t="s">
        <v>3150</v>
      </c>
      <c r="C1002" t="s">
        <v>7</v>
      </c>
      <c r="D1002" t="s">
        <v>3149</v>
      </c>
      <c r="I1002" t="s">
        <v>884</v>
      </c>
      <c r="K1002" t="s">
        <v>313</v>
      </c>
      <c r="L1002" s="67">
        <v>0.25</v>
      </c>
      <c r="N1002" s="67">
        <v>0.03</v>
      </c>
      <c r="O1002" s="68">
        <v>45174</v>
      </c>
      <c r="P1002" s="68">
        <v>45174</v>
      </c>
      <c r="Q1002" s="57">
        <v>58781893.306110807</v>
      </c>
      <c r="R1002" t="s">
        <v>2968</v>
      </c>
    </row>
    <row r="1003" spans="1:18">
      <c r="A1003">
        <v>2024</v>
      </c>
      <c r="B1003" t="s">
        <v>3152</v>
      </c>
      <c r="C1003" t="s">
        <v>7</v>
      </c>
      <c r="D1003" t="s">
        <v>3151</v>
      </c>
      <c r="I1003" t="s">
        <v>884</v>
      </c>
      <c r="K1003" t="s">
        <v>313</v>
      </c>
      <c r="L1003" s="67">
        <v>0.25</v>
      </c>
      <c r="N1003" s="67">
        <v>0.03</v>
      </c>
      <c r="O1003" s="68">
        <v>45174</v>
      </c>
      <c r="P1003" s="68">
        <v>45174</v>
      </c>
      <c r="Q1003" s="57">
        <v>239054577.55760419</v>
      </c>
      <c r="R1003" t="s">
        <v>2968</v>
      </c>
    </row>
    <row r="1004" spans="1:18">
      <c r="A1004">
        <v>2025</v>
      </c>
      <c r="B1004" t="s">
        <v>3154</v>
      </c>
      <c r="C1004" t="s">
        <v>7</v>
      </c>
      <c r="D1004" t="s">
        <v>3153</v>
      </c>
      <c r="I1004" t="s">
        <v>884</v>
      </c>
      <c r="K1004" t="s">
        <v>313</v>
      </c>
      <c r="L1004" s="67">
        <v>0.25</v>
      </c>
      <c r="N1004" s="67">
        <v>0.03</v>
      </c>
      <c r="O1004" s="68">
        <v>45174</v>
      </c>
      <c r="P1004" s="68">
        <v>45174</v>
      </c>
      <c r="Q1004" s="57">
        <v>60348687.703869909</v>
      </c>
      <c r="R1004" t="s">
        <v>2968</v>
      </c>
    </row>
    <row r="1005" spans="1:18">
      <c r="A1005">
        <v>2026</v>
      </c>
      <c r="B1005" t="s">
        <v>3155</v>
      </c>
      <c r="C1005" t="s">
        <v>7</v>
      </c>
      <c r="D1005" t="s">
        <v>3153</v>
      </c>
      <c r="I1005" t="s">
        <v>884</v>
      </c>
      <c r="K1005" t="s">
        <v>313</v>
      </c>
      <c r="L1005" s="67">
        <v>0.25</v>
      </c>
      <c r="N1005" s="67">
        <v>0.03</v>
      </c>
      <c r="O1005" s="68">
        <v>45174</v>
      </c>
      <c r="P1005" s="68">
        <v>45174</v>
      </c>
      <c r="Q1005" s="57">
        <v>340444803.9540084</v>
      </c>
      <c r="R1005" t="s">
        <v>2968</v>
      </c>
    </row>
    <row r="1006" spans="1:18">
      <c r="A1006">
        <v>2027</v>
      </c>
      <c r="B1006" t="s">
        <v>3157</v>
      </c>
      <c r="C1006" t="s">
        <v>7</v>
      </c>
      <c r="D1006" t="s">
        <v>3156</v>
      </c>
      <c r="I1006" t="s">
        <v>884</v>
      </c>
      <c r="K1006" t="s">
        <v>313</v>
      </c>
      <c r="L1006" s="67">
        <v>0.25</v>
      </c>
      <c r="N1006" s="67">
        <v>0.03</v>
      </c>
      <c r="O1006" s="68">
        <v>45174</v>
      </c>
      <c r="P1006" s="68">
        <v>45174</v>
      </c>
      <c r="Q1006" s="57">
        <v>340444803.9540084</v>
      </c>
      <c r="R1006" t="s">
        <v>2968</v>
      </c>
    </row>
    <row r="1007" spans="1:18">
      <c r="A1007">
        <v>2028</v>
      </c>
      <c r="B1007" t="s">
        <v>3159</v>
      </c>
      <c r="C1007" t="s">
        <v>7</v>
      </c>
      <c r="D1007" t="s">
        <v>3158</v>
      </c>
      <c r="I1007" t="s">
        <v>884</v>
      </c>
      <c r="K1007" t="s">
        <v>313</v>
      </c>
      <c r="L1007" s="67">
        <v>0.25</v>
      </c>
      <c r="N1007" s="67">
        <v>0.03</v>
      </c>
      <c r="O1007" s="68">
        <v>45174</v>
      </c>
      <c r="P1007" s="68">
        <v>45174</v>
      </c>
      <c r="Q1007" s="57">
        <v>69907241.294153064</v>
      </c>
      <c r="R1007" t="s">
        <v>2968</v>
      </c>
    </row>
    <row r="1008" spans="1:18">
      <c r="A1008">
        <v>2029</v>
      </c>
      <c r="B1008" t="s">
        <v>3161</v>
      </c>
      <c r="C1008" t="s">
        <v>7</v>
      </c>
      <c r="D1008" t="s">
        <v>3160</v>
      </c>
      <c r="I1008" t="s">
        <v>884</v>
      </c>
      <c r="K1008" t="s">
        <v>313</v>
      </c>
      <c r="L1008" s="67">
        <v>0.25</v>
      </c>
      <c r="N1008" s="67">
        <v>0.03</v>
      </c>
      <c r="O1008" s="68">
        <v>45174</v>
      </c>
      <c r="P1008" s="68">
        <v>45174</v>
      </c>
      <c r="Q1008" s="57">
        <v>80171494.383603364</v>
      </c>
      <c r="R1008" t="s">
        <v>2968</v>
      </c>
    </row>
    <row r="1009" spans="1:18">
      <c r="A1009">
        <v>2030</v>
      </c>
      <c r="B1009" t="s">
        <v>3163</v>
      </c>
      <c r="C1009" t="s">
        <v>0</v>
      </c>
      <c r="D1009" t="s">
        <v>3162</v>
      </c>
      <c r="I1009" t="s">
        <v>715</v>
      </c>
      <c r="K1009" t="s">
        <v>313</v>
      </c>
      <c r="L1009" s="67">
        <v>0.25</v>
      </c>
      <c r="N1009" s="67">
        <v>0</v>
      </c>
      <c r="O1009" s="68">
        <v>45175</v>
      </c>
      <c r="P1009" s="68">
        <v>45175</v>
      </c>
      <c r="Q1009" s="57">
        <v>15990057.960166283</v>
      </c>
      <c r="R1009" t="s">
        <v>2968</v>
      </c>
    </row>
    <row r="1010" spans="1:18">
      <c r="A1010">
        <v>2031</v>
      </c>
      <c r="B1010" t="s">
        <v>3165</v>
      </c>
      <c r="C1010" t="s">
        <v>0</v>
      </c>
      <c r="D1010" t="s">
        <v>3164</v>
      </c>
      <c r="I1010" t="s">
        <v>1434</v>
      </c>
      <c r="K1010" t="s">
        <v>313</v>
      </c>
      <c r="L1010" s="67">
        <v>0.25</v>
      </c>
      <c r="N1010" s="67">
        <v>0</v>
      </c>
      <c r="O1010" s="68">
        <v>45175</v>
      </c>
      <c r="P1010" s="68">
        <v>45175</v>
      </c>
      <c r="Q1010" s="57">
        <v>115524009.28078105</v>
      </c>
      <c r="R1010" t="s">
        <v>2968</v>
      </c>
    </row>
    <row r="1011" spans="1:18">
      <c r="A1011">
        <v>2032</v>
      </c>
      <c r="B1011" t="s">
        <v>3167</v>
      </c>
      <c r="C1011" t="s">
        <v>0</v>
      </c>
      <c r="D1011" t="s">
        <v>1044</v>
      </c>
      <c r="I1011" t="s">
        <v>3166</v>
      </c>
      <c r="J1011">
        <v>220</v>
      </c>
      <c r="K1011" t="s">
        <v>554</v>
      </c>
      <c r="M1011">
        <v>0</v>
      </c>
      <c r="O1011" s="68">
        <v>45175</v>
      </c>
      <c r="P1011" s="68">
        <v>45175</v>
      </c>
      <c r="R1011" t="s">
        <v>2968</v>
      </c>
    </row>
    <row r="1012" spans="1:18">
      <c r="A1012">
        <v>2033</v>
      </c>
      <c r="B1012" t="s">
        <v>3170</v>
      </c>
      <c r="C1012" t="s">
        <v>0</v>
      </c>
      <c r="D1012" t="s">
        <v>3168</v>
      </c>
      <c r="I1012" t="s">
        <v>3169</v>
      </c>
      <c r="K1012" t="s">
        <v>313</v>
      </c>
      <c r="L1012" s="67">
        <v>0.25</v>
      </c>
      <c r="N1012" s="67">
        <v>0</v>
      </c>
      <c r="O1012" s="68">
        <v>45176</v>
      </c>
      <c r="P1012" s="68">
        <v>45176</v>
      </c>
      <c r="Q1012" s="57">
        <v>11877537.886463037</v>
      </c>
      <c r="R1012" t="s">
        <v>2968</v>
      </c>
    </row>
    <row r="1013" spans="1:18">
      <c r="A1013">
        <v>2034</v>
      </c>
      <c r="B1013" t="s">
        <v>3171</v>
      </c>
      <c r="C1013" t="s">
        <v>0</v>
      </c>
      <c r="D1013" t="s">
        <v>3168</v>
      </c>
      <c r="I1013" t="s">
        <v>3169</v>
      </c>
      <c r="K1013" t="s">
        <v>313</v>
      </c>
      <c r="L1013" s="67">
        <v>0.25</v>
      </c>
      <c r="N1013" s="67">
        <v>0</v>
      </c>
      <c r="O1013" s="68">
        <v>45176</v>
      </c>
      <c r="P1013" s="68">
        <v>45176</v>
      </c>
      <c r="Q1013" s="57">
        <v>11998747.970496651</v>
      </c>
      <c r="R1013" t="s">
        <v>2968</v>
      </c>
    </row>
    <row r="1014" spans="1:18">
      <c r="A1014">
        <v>2035</v>
      </c>
      <c r="B1014" t="s">
        <v>3173</v>
      </c>
      <c r="C1014" t="s">
        <v>0</v>
      </c>
      <c r="D1014" t="s">
        <v>3172</v>
      </c>
      <c r="I1014" t="s">
        <v>3169</v>
      </c>
      <c r="K1014" t="s">
        <v>313</v>
      </c>
      <c r="L1014" s="67">
        <v>0.25</v>
      </c>
      <c r="N1014" s="67">
        <v>0</v>
      </c>
      <c r="O1014" s="68">
        <v>45177</v>
      </c>
      <c r="P1014" s="68">
        <v>45177</v>
      </c>
      <c r="Q1014" s="57">
        <v>30999508.6480266</v>
      </c>
      <c r="R1014" t="s">
        <v>2968</v>
      </c>
    </row>
    <row r="1015" spans="1:18">
      <c r="A1015">
        <v>2036</v>
      </c>
      <c r="B1015" t="s">
        <v>3175</v>
      </c>
      <c r="C1015" t="s">
        <v>0</v>
      </c>
      <c r="D1015" t="s">
        <v>3172</v>
      </c>
      <c r="I1015" t="s">
        <v>3174</v>
      </c>
      <c r="K1015" t="s">
        <v>313</v>
      </c>
      <c r="L1015" s="67">
        <v>0.25</v>
      </c>
      <c r="N1015" s="67">
        <v>0</v>
      </c>
      <c r="O1015" s="68">
        <v>45177</v>
      </c>
      <c r="P1015" s="68">
        <v>45177</v>
      </c>
      <c r="Q1015" s="57">
        <v>30999508.6480266</v>
      </c>
      <c r="R1015" t="s">
        <v>2968</v>
      </c>
    </row>
    <row r="1016" spans="1:18">
      <c r="A1016">
        <v>2037</v>
      </c>
      <c r="B1016" t="s">
        <v>3177</v>
      </c>
      <c r="C1016" t="s">
        <v>0</v>
      </c>
      <c r="D1016" t="s">
        <v>3176</v>
      </c>
      <c r="I1016" t="s">
        <v>2090</v>
      </c>
      <c r="K1016" t="s">
        <v>313</v>
      </c>
      <c r="L1016" s="67">
        <v>0.25</v>
      </c>
      <c r="N1016" s="67">
        <v>0</v>
      </c>
      <c r="O1016" s="68">
        <v>45181</v>
      </c>
      <c r="P1016" s="68">
        <v>45181</v>
      </c>
      <c r="Q1016" s="57">
        <v>24150516.389488608</v>
      </c>
      <c r="R1016" t="s">
        <v>2968</v>
      </c>
    </row>
    <row r="1017" spans="1:18">
      <c r="A1017">
        <v>2038</v>
      </c>
      <c r="B1017" t="s">
        <v>3178</v>
      </c>
      <c r="C1017" t="s">
        <v>0</v>
      </c>
      <c r="D1017" t="s">
        <v>3176</v>
      </c>
      <c r="I1017" t="s">
        <v>2090</v>
      </c>
      <c r="K1017" t="s">
        <v>313</v>
      </c>
      <c r="L1017" s="67">
        <v>0.25</v>
      </c>
      <c r="N1017" s="67">
        <v>0</v>
      </c>
      <c r="O1017" s="68">
        <v>45181</v>
      </c>
      <c r="P1017" s="68">
        <v>45181</v>
      </c>
      <c r="Q1017" s="57">
        <v>16452743.472771326</v>
      </c>
      <c r="R1017" t="s">
        <v>2968</v>
      </c>
    </row>
    <row r="1018" spans="1:18">
      <c r="A1018">
        <v>2039</v>
      </c>
      <c r="B1018" t="s">
        <v>3180</v>
      </c>
      <c r="C1018" t="s">
        <v>0</v>
      </c>
      <c r="D1018" t="s">
        <v>3023</v>
      </c>
      <c r="I1018" t="s">
        <v>3026</v>
      </c>
      <c r="K1018" t="s">
        <v>313</v>
      </c>
      <c r="L1018" s="67">
        <v>0.25</v>
      </c>
      <c r="N1018" s="67">
        <v>0</v>
      </c>
      <c r="O1018" s="68">
        <v>45183</v>
      </c>
      <c r="P1018" s="68">
        <v>45183</v>
      </c>
      <c r="Q1018" s="57">
        <v>34153443.752166279</v>
      </c>
      <c r="R1018" t="s">
        <v>2968</v>
      </c>
    </row>
    <row r="1019" spans="1:18">
      <c r="A1019">
        <v>2040</v>
      </c>
      <c r="B1019" t="s">
        <v>3181</v>
      </c>
      <c r="C1019" t="s">
        <v>0</v>
      </c>
      <c r="D1019" t="s">
        <v>3023</v>
      </c>
      <c r="I1019" t="s">
        <v>3026</v>
      </c>
      <c r="K1019" t="s">
        <v>313</v>
      </c>
      <c r="L1019" s="67">
        <v>0.25</v>
      </c>
      <c r="N1019" s="67">
        <v>0</v>
      </c>
      <c r="O1019" s="68">
        <v>45183</v>
      </c>
      <c r="P1019" s="68">
        <v>45183</v>
      </c>
      <c r="Q1019" s="57">
        <v>35563790.418832943</v>
      </c>
      <c r="R1019" t="s">
        <v>2968</v>
      </c>
    </row>
    <row r="1020" spans="1:18">
      <c r="A1020">
        <v>2041</v>
      </c>
      <c r="B1020" t="s">
        <v>3182</v>
      </c>
      <c r="C1020" t="s">
        <v>0</v>
      </c>
      <c r="D1020" t="s">
        <v>3023</v>
      </c>
      <c r="I1020" t="s">
        <v>3026</v>
      </c>
      <c r="K1020" t="s">
        <v>313</v>
      </c>
      <c r="L1020" s="67">
        <v>0.25</v>
      </c>
      <c r="N1020" s="67">
        <v>0</v>
      </c>
      <c r="O1020" s="68">
        <v>45183</v>
      </c>
      <c r="P1020" s="68">
        <v>45183</v>
      </c>
      <c r="Q1020" s="57">
        <v>29591306.360166285</v>
      </c>
      <c r="R1020" t="s">
        <v>2968</v>
      </c>
    </row>
    <row r="1021" spans="1:18">
      <c r="A1021">
        <v>2042</v>
      </c>
      <c r="B1021" t="s">
        <v>3185</v>
      </c>
      <c r="C1021" t="s">
        <v>0</v>
      </c>
      <c r="D1021" t="s">
        <v>3183</v>
      </c>
      <c r="E1021" t="s">
        <v>3184</v>
      </c>
      <c r="I1021" t="s">
        <v>1272</v>
      </c>
      <c r="K1021" t="s">
        <v>313</v>
      </c>
      <c r="L1021" s="67">
        <v>0.25</v>
      </c>
      <c r="N1021" s="67">
        <v>0</v>
      </c>
      <c r="O1021" s="68">
        <v>45187</v>
      </c>
      <c r="P1021" s="68">
        <v>45187</v>
      </c>
      <c r="Q1021" s="57">
        <v>14863172.715632947</v>
      </c>
      <c r="R1021" t="s">
        <v>2968</v>
      </c>
    </row>
    <row r="1022" spans="1:18">
      <c r="A1022">
        <v>2043</v>
      </c>
      <c r="B1022" t="s">
        <v>3186</v>
      </c>
      <c r="C1022" t="s">
        <v>0</v>
      </c>
      <c r="D1022" t="s">
        <v>3183</v>
      </c>
      <c r="E1022" t="s">
        <v>3184</v>
      </c>
      <c r="I1022" t="s">
        <v>1272</v>
      </c>
      <c r="K1022" t="s">
        <v>313</v>
      </c>
      <c r="L1022" s="67">
        <v>0.25</v>
      </c>
      <c r="N1022" s="67">
        <v>0</v>
      </c>
      <c r="O1022" s="68">
        <v>45187</v>
      </c>
      <c r="P1022" s="68">
        <v>45187</v>
      </c>
      <c r="Q1022" s="57">
        <v>17332491.351980407</v>
      </c>
      <c r="R1022" t="s">
        <v>2968</v>
      </c>
    </row>
    <row r="1023" spans="1:18">
      <c r="A1023">
        <v>2044</v>
      </c>
      <c r="B1023" t="s">
        <v>3187</v>
      </c>
      <c r="C1023" t="s">
        <v>0</v>
      </c>
      <c r="D1023" t="s">
        <v>3183</v>
      </c>
      <c r="E1023" t="s">
        <v>3184</v>
      </c>
      <c r="I1023" t="s">
        <v>1272</v>
      </c>
      <c r="K1023" t="s">
        <v>313</v>
      </c>
      <c r="L1023" s="67">
        <v>0.25</v>
      </c>
      <c r="N1023" s="67">
        <v>0</v>
      </c>
      <c r="O1023" s="68">
        <v>45187</v>
      </c>
      <c r="P1023" s="68">
        <v>45187</v>
      </c>
      <c r="Q1023" s="57">
        <v>19292650.742942471</v>
      </c>
      <c r="R1023" t="s">
        <v>2968</v>
      </c>
    </row>
    <row r="1024" spans="1:18">
      <c r="A1024">
        <v>2045</v>
      </c>
      <c r="B1024" t="s">
        <v>3189</v>
      </c>
      <c r="C1024" t="s">
        <v>0</v>
      </c>
      <c r="D1024" t="s">
        <v>3183</v>
      </c>
      <c r="E1024" t="s">
        <v>3188</v>
      </c>
      <c r="I1024" t="s">
        <v>24</v>
      </c>
      <c r="K1024" t="s">
        <v>313</v>
      </c>
      <c r="L1024" s="67">
        <v>0.25</v>
      </c>
      <c r="N1024" s="67">
        <v>0</v>
      </c>
      <c r="O1024" s="68">
        <v>45187</v>
      </c>
      <c r="P1024" s="68">
        <v>45187</v>
      </c>
      <c r="Q1024" s="57">
        <v>17332491.351980407</v>
      </c>
      <c r="R1024" t="s">
        <v>2968</v>
      </c>
    </row>
    <row r="1025" spans="1:18">
      <c r="A1025">
        <v>2046</v>
      </c>
      <c r="B1025" t="s">
        <v>3192</v>
      </c>
      <c r="C1025" t="s">
        <v>0</v>
      </c>
      <c r="D1025" t="s">
        <v>3190</v>
      </c>
      <c r="I1025" t="s">
        <v>3191</v>
      </c>
      <c r="K1025" t="s">
        <v>313</v>
      </c>
      <c r="L1025" s="67">
        <v>0.25</v>
      </c>
      <c r="N1025" s="67">
        <v>0</v>
      </c>
      <c r="O1025" s="68">
        <v>45187</v>
      </c>
      <c r="P1025" s="68">
        <v>45187</v>
      </c>
      <c r="Q1025" s="57">
        <v>13856756.156206911</v>
      </c>
      <c r="R1025" t="s">
        <v>2968</v>
      </c>
    </row>
    <row r="1026" spans="1:18">
      <c r="A1026">
        <v>2047</v>
      </c>
      <c r="B1026" t="s">
        <v>3193</v>
      </c>
      <c r="C1026" t="s">
        <v>0</v>
      </c>
      <c r="D1026" t="s">
        <v>3190</v>
      </c>
      <c r="I1026" t="s">
        <v>3191</v>
      </c>
      <c r="K1026" t="s">
        <v>313</v>
      </c>
      <c r="L1026" s="67">
        <v>0.25</v>
      </c>
      <c r="N1026" s="67">
        <v>0</v>
      </c>
      <c r="O1026" s="68">
        <v>45187</v>
      </c>
      <c r="P1026" s="68">
        <v>45187</v>
      </c>
      <c r="Q1026" s="57">
        <v>57270180.442584768</v>
      </c>
      <c r="R1026" t="s">
        <v>2968</v>
      </c>
    </row>
    <row r="1027" spans="1:18">
      <c r="A1027">
        <v>2048</v>
      </c>
      <c r="B1027" t="s">
        <v>3195</v>
      </c>
      <c r="C1027" t="s">
        <v>0</v>
      </c>
      <c r="D1027" t="s">
        <v>3194</v>
      </c>
      <c r="I1027" t="s">
        <v>1434</v>
      </c>
      <c r="K1027" t="s">
        <v>313</v>
      </c>
      <c r="L1027" s="67">
        <v>0.25</v>
      </c>
      <c r="N1027" s="67">
        <v>0</v>
      </c>
      <c r="O1027" s="68">
        <v>45187</v>
      </c>
      <c r="P1027" s="68">
        <v>45187</v>
      </c>
      <c r="Q1027" s="57">
        <v>17332491.351980407</v>
      </c>
      <c r="R1027" t="s">
        <v>2968</v>
      </c>
    </row>
    <row r="1028" spans="1:18">
      <c r="A1028">
        <v>2049</v>
      </c>
      <c r="B1028" t="s">
        <v>3197</v>
      </c>
      <c r="C1028" t="s">
        <v>0</v>
      </c>
      <c r="D1028" t="s">
        <v>3196</v>
      </c>
      <c r="I1028" t="s">
        <v>133</v>
      </c>
      <c r="K1028" t="s">
        <v>313</v>
      </c>
      <c r="L1028" s="67">
        <v>0.25</v>
      </c>
      <c r="N1028" s="67">
        <v>0</v>
      </c>
      <c r="O1028" s="68">
        <v>45187</v>
      </c>
      <c r="P1028" s="68">
        <v>45187</v>
      </c>
      <c r="Q1028" s="57">
        <v>18459376.596513741</v>
      </c>
      <c r="R1028" t="s">
        <v>2968</v>
      </c>
    </row>
    <row r="1029" spans="1:18">
      <c r="A1029">
        <v>2050</v>
      </c>
      <c r="B1029" t="s">
        <v>3198</v>
      </c>
      <c r="C1029" t="s">
        <v>0</v>
      </c>
      <c r="D1029" t="s">
        <v>3196</v>
      </c>
      <c r="I1029" t="s">
        <v>133</v>
      </c>
      <c r="K1029" t="s">
        <v>313</v>
      </c>
      <c r="L1029" s="67">
        <v>0.25</v>
      </c>
      <c r="N1029" s="67">
        <v>0.03</v>
      </c>
      <c r="O1029" s="68">
        <v>45187</v>
      </c>
      <c r="P1029" s="68">
        <v>45187</v>
      </c>
      <c r="Q1029" s="57">
        <v>18979375.292070556</v>
      </c>
      <c r="R1029" t="s">
        <v>2968</v>
      </c>
    </row>
    <row r="1030" spans="1:18">
      <c r="A1030">
        <v>2051</v>
      </c>
      <c r="B1030" t="s">
        <v>3200</v>
      </c>
      <c r="C1030" t="s">
        <v>0</v>
      </c>
      <c r="D1030" t="s">
        <v>3199</v>
      </c>
      <c r="I1030" t="s">
        <v>133</v>
      </c>
      <c r="K1030" t="s">
        <v>313</v>
      </c>
      <c r="L1030" s="67">
        <v>0.25</v>
      </c>
      <c r="N1030" s="67">
        <v>0</v>
      </c>
      <c r="O1030" s="68">
        <v>45187</v>
      </c>
      <c r="P1030" s="68">
        <v>45187</v>
      </c>
      <c r="Q1030" s="57">
        <v>23635440.369345192</v>
      </c>
      <c r="R1030" t="s">
        <v>2968</v>
      </c>
    </row>
    <row r="1031" spans="1:18">
      <c r="A1031">
        <v>2052</v>
      </c>
      <c r="B1031" t="s">
        <v>3202</v>
      </c>
      <c r="C1031" t="s">
        <v>0</v>
      </c>
      <c r="D1031" t="s">
        <v>3190</v>
      </c>
      <c r="I1031" t="s">
        <v>3201</v>
      </c>
      <c r="K1031" t="s">
        <v>313</v>
      </c>
      <c r="L1031" s="67">
        <v>0.25</v>
      </c>
      <c r="N1031" s="67">
        <v>0</v>
      </c>
      <c r="O1031" s="68">
        <v>45187</v>
      </c>
      <c r="P1031" s="68">
        <v>45187</v>
      </c>
      <c r="Q1031" s="57">
        <v>25433727.145791128</v>
      </c>
      <c r="R1031" t="s">
        <v>2968</v>
      </c>
    </row>
    <row r="1032" spans="1:18">
      <c r="A1032">
        <v>2053</v>
      </c>
      <c r="B1032" t="s">
        <v>3203</v>
      </c>
      <c r="C1032" t="s">
        <v>0</v>
      </c>
      <c r="D1032" t="s">
        <v>3190</v>
      </c>
      <c r="I1032" t="s">
        <v>3201</v>
      </c>
      <c r="K1032" t="s">
        <v>313</v>
      </c>
      <c r="L1032" s="67">
        <v>0.25</v>
      </c>
      <c r="N1032" s="67">
        <v>0</v>
      </c>
      <c r="O1032" s="68">
        <v>45187</v>
      </c>
      <c r="P1032" s="68">
        <v>45187</v>
      </c>
      <c r="Q1032" s="57">
        <v>35360649.683903597</v>
      </c>
      <c r="R1032" t="s">
        <v>2968</v>
      </c>
    </row>
    <row r="1033" spans="1:18">
      <c r="A1033">
        <v>2054</v>
      </c>
      <c r="B1033" t="s">
        <v>3204</v>
      </c>
      <c r="C1033" t="s">
        <v>0</v>
      </c>
      <c r="D1033" t="s">
        <v>3199</v>
      </c>
      <c r="I1033" t="s">
        <v>884</v>
      </c>
      <c r="K1033" t="s">
        <v>313</v>
      </c>
      <c r="L1033" s="67">
        <v>0.25</v>
      </c>
      <c r="N1033" s="67">
        <v>0</v>
      </c>
      <c r="O1033" s="68">
        <v>45187</v>
      </c>
      <c r="P1033" s="68">
        <v>45187</v>
      </c>
      <c r="Q1033" s="57">
        <v>23635440.369345192</v>
      </c>
      <c r="R1033" t="s">
        <v>2968</v>
      </c>
    </row>
    <row r="1034" spans="1:18">
      <c r="A1034">
        <v>2055</v>
      </c>
      <c r="B1034" t="s">
        <v>3206</v>
      </c>
      <c r="C1034" t="s">
        <v>0</v>
      </c>
      <c r="D1034" t="s">
        <v>3205</v>
      </c>
      <c r="I1034" t="s">
        <v>2981</v>
      </c>
      <c r="K1034" t="s">
        <v>313</v>
      </c>
      <c r="L1034" s="67">
        <v>0.25</v>
      </c>
      <c r="N1034" s="67">
        <v>0</v>
      </c>
      <c r="O1034" s="68">
        <v>45187</v>
      </c>
      <c r="P1034" s="68">
        <v>45187</v>
      </c>
      <c r="Q1034" s="57">
        <v>15990057.960166283</v>
      </c>
      <c r="R1034" t="s">
        <v>2968</v>
      </c>
    </row>
    <row r="1035" spans="1:18">
      <c r="A1035">
        <v>2056</v>
      </c>
      <c r="B1035" t="s">
        <v>3208</v>
      </c>
      <c r="C1035" t="s">
        <v>0</v>
      </c>
      <c r="D1035" t="s">
        <v>3207</v>
      </c>
      <c r="I1035" t="s">
        <v>24</v>
      </c>
      <c r="K1035" t="s">
        <v>313</v>
      </c>
      <c r="L1035" s="67">
        <v>0.25</v>
      </c>
      <c r="N1035" s="67">
        <v>0</v>
      </c>
      <c r="O1035" s="68">
        <v>45187</v>
      </c>
      <c r="P1035" s="68">
        <v>45187</v>
      </c>
      <c r="Q1035" s="57">
        <v>74728342.476218</v>
      </c>
      <c r="R1035" t="s">
        <v>2968</v>
      </c>
    </row>
    <row r="1036" spans="1:18">
      <c r="A1036">
        <v>2057</v>
      </c>
      <c r="B1036" t="s">
        <v>3210</v>
      </c>
      <c r="C1036" t="s">
        <v>0</v>
      </c>
      <c r="D1036" t="s">
        <v>3209</v>
      </c>
      <c r="I1036" t="s">
        <v>24</v>
      </c>
      <c r="K1036" t="s">
        <v>313</v>
      </c>
      <c r="L1036" s="67">
        <v>0.25</v>
      </c>
      <c r="N1036" s="67">
        <v>0</v>
      </c>
      <c r="O1036" s="68">
        <v>45187</v>
      </c>
      <c r="P1036" s="68">
        <v>45187</v>
      </c>
      <c r="Q1036" s="57">
        <v>19292650.742942471</v>
      </c>
      <c r="R1036" t="s">
        <v>2968</v>
      </c>
    </row>
    <row r="1037" spans="1:18">
      <c r="A1037">
        <v>2058</v>
      </c>
      <c r="B1037" t="s">
        <v>3212</v>
      </c>
      <c r="C1037" t="s">
        <v>0</v>
      </c>
      <c r="D1037" t="s">
        <v>3209</v>
      </c>
      <c r="I1037" t="s">
        <v>24</v>
      </c>
      <c r="K1037" t="s">
        <v>313</v>
      </c>
      <c r="L1037" s="67">
        <v>0.25</v>
      </c>
      <c r="N1037" s="67">
        <v>0</v>
      </c>
      <c r="O1037" s="68">
        <v>45188</v>
      </c>
      <c r="P1037" s="68">
        <v>45188</v>
      </c>
      <c r="Q1037" s="57">
        <v>31701405.127665095</v>
      </c>
      <c r="R1037" t="s">
        <v>2968</v>
      </c>
    </row>
    <row r="1038" spans="1:18">
      <c r="A1038">
        <v>2059</v>
      </c>
      <c r="B1038" t="s">
        <v>3214</v>
      </c>
      <c r="C1038" t="s">
        <v>0</v>
      </c>
      <c r="D1038" t="s">
        <v>3213</v>
      </c>
      <c r="I1038" t="s">
        <v>135</v>
      </c>
      <c r="K1038" t="s">
        <v>313</v>
      </c>
      <c r="L1038" s="67">
        <v>0.25</v>
      </c>
      <c r="N1038" s="67">
        <v>0.05</v>
      </c>
      <c r="O1038" s="68">
        <v>45188</v>
      </c>
      <c r="P1038" s="68">
        <v>45188</v>
      </c>
      <c r="Q1038" s="57">
        <v>409946747.52716583</v>
      </c>
      <c r="R1038" t="s">
        <v>2968</v>
      </c>
    </row>
    <row r="1039" spans="1:18">
      <c r="A1039">
        <v>2060</v>
      </c>
      <c r="B1039" t="s">
        <v>3216</v>
      </c>
      <c r="C1039" t="s">
        <v>0</v>
      </c>
      <c r="D1039" t="s">
        <v>3215</v>
      </c>
      <c r="I1039" t="s">
        <v>1997</v>
      </c>
      <c r="K1039" t="s">
        <v>313</v>
      </c>
      <c r="L1039" s="67">
        <v>0.25</v>
      </c>
      <c r="N1039" s="67">
        <v>0</v>
      </c>
      <c r="O1039" s="68">
        <v>45188</v>
      </c>
      <c r="P1039" s="68">
        <v>45188</v>
      </c>
      <c r="Q1039" s="57">
        <v>33665583.787680753</v>
      </c>
      <c r="R1039" t="s">
        <v>2968</v>
      </c>
    </row>
    <row r="1040" spans="1:18">
      <c r="A1040">
        <v>2061</v>
      </c>
      <c r="B1040" t="s">
        <v>3218</v>
      </c>
      <c r="C1040" t="s">
        <v>0</v>
      </c>
      <c r="D1040" t="s">
        <v>3217</v>
      </c>
      <c r="I1040" t="s">
        <v>1046</v>
      </c>
      <c r="K1040" t="s">
        <v>313</v>
      </c>
      <c r="L1040" s="67">
        <v>0.25</v>
      </c>
      <c r="N1040" s="67">
        <v>0</v>
      </c>
      <c r="O1040" s="68">
        <v>45189</v>
      </c>
      <c r="P1040" s="68">
        <v>45189</v>
      </c>
      <c r="Q1040" s="57">
        <v>15747637.792099055</v>
      </c>
      <c r="R1040" t="s">
        <v>2968</v>
      </c>
    </row>
    <row r="1041" spans="1:18">
      <c r="A1041">
        <v>2062</v>
      </c>
      <c r="B1041" t="s">
        <v>3220</v>
      </c>
      <c r="C1041" t="s">
        <v>0</v>
      </c>
      <c r="D1041" t="s">
        <v>3219</v>
      </c>
      <c r="I1041" t="s">
        <v>1272</v>
      </c>
      <c r="K1041" t="s">
        <v>313</v>
      </c>
      <c r="L1041" s="67">
        <v>0.25</v>
      </c>
      <c r="N1041" s="67">
        <v>0</v>
      </c>
      <c r="O1041" s="68">
        <v>45191</v>
      </c>
      <c r="P1041" s="68">
        <v>45191</v>
      </c>
      <c r="Q1041" s="57">
        <v>22969955.949331243</v>
      </c>
      <c r="R1041" t="s">
        <v>2968</v>
      </c>
    </row>
    <row r="1042" spans="1:18">
      <c r="A1042">
        <v>2063</v>
      </c>
      <c r="B1042" t="s">
        <v>3221</v>
      </c>
      <c r="C1042" t="s">
        <v>0</v>
      </c>
      <c r="D1042" t="s">
        <v>3219</v>
      </c>
      <c r="I1042" t="s">
        <v>1814</v>
      </c>
      <c r="K1042" t="s">
        <v>313</v>
      </c>
      <c r="L1042" s="67">
        <v>0.25</v>
      </c>
      <c r="N1042" s="67">
        <v>0</v>
      </c>
      <c r="O1042" s="68">
        <v>45191</v>
      </c>
      <c r="P1042" s="68">
        <v>45191</v>
      </c>
      <c r="Q1042" s="57">
        <v>15990057.960166283</v>
      </c>
      <c r="R1042" t="s">
        <v>2968</v>
      </c>
    </row>
    <row r="1043" spans="1:18">
      <c r="A1043">
        <v>2064</v>
      </c>
      <c r="B1043" t="s">
        <v>3223</v>
      </c>
      <c r="C1043" t="s">
        <v>0</v>
      </c>
      <c r="D1043" t="s">
        <v>3222</v>
      </c>
      <c r="I1043" t="s">
        <v>1814</v>
      </c>
      <c r="K1043" t="s">
        <v>313</v>
      </c>
      <c r="L1043" s="67">
        <v>0.25</v>
      </c>
      <c r="N1043" s="67">
        <v>0</v>
      </c>
      <c r="O1043" s="68">
        <v>45191</v>
      </c>
      <c r="P1043" s="68">
        <v>45191</v>
      </c>
      <c r="Q1043" s="57">
        <v>15990057.960166283</v>
      </c>
      <c r="R1043" t="s">
        <v>2968</v>
      </c>
    </row>
    <row r="1044" spans="1:18">
      <c r="A1044">
        <v>2065</v>
      </c>
      <c r="B1044" t="s">
        <v>3226</v>
      </c>
      <c r="C1044" t="s">
        <v>0</v>
      </c>
      <c r="D1044" t="s">
        <v>3224</v>
      </c>
      <c r="I1044" t="s">
        <v>3225</v>
      </c>
      <c r="K1044" t="s">
        <v>313</v>
      </c>
      <c r="L1044" s="67">
        <v>0.25</v>
      </c>
      <c r="N1044" s="67">
        <v>0</v>
      </c>
      <c r="O1044" s="68">
        <v>45191</v>
      </c>
      <c r="P1044" s="68">
        <v>45191</v>
      </c>
      <c r="Q1044" s="57">
        <v>44913814.631945707</v>
      </c>
      <c r="R1044" t="s">
        <v>2968</v>
      </c>
    </row>
    <row r="1045" spans="1:18">
      <c r="A1045">
        <v>2066</v>
      </c>
      <c r="B1045" t="s">
        <v>3228</v>
      </c>
      <c r="C1045" t="s">
        <v>0</v>
      </c>
      <c r="D1045" t="s">
        <v>3227</v>
      </c>
      <c r="I1045" t="s">
        <v>1272</v>
      </c>
      <c r="K1045" t="s">
        <v>313</v>
      </c>
      <c r="L1045" s="67">
        <v>0.25</v>
      </c>
      <c r="N1045" s="67">
        <v>0</v>
      </c>
      <c r="O1045" s="68">
        <v>45191</v>
      </c>
      <c r="P1045" s="68">
        <v>45191</v>
      </c>
      <c r="Q1045" s="57">
        <v>21019322.742942471</v>
      </c>
      <c r="R1045" t="s">
        <v>2968</v>
      </c>
    </row>
    <row r="1046" spans="1:18">
      <c r="A1046">
        <v>2067</v>
      </c>
      <c r="B1046" t="s">
        <v>3231</v>
      </c>
      <c r="C1046" t="s">
        <v>0</v>
      </c>
      <c r="D1046" t="s">
        <v>3229</v>
      </c>
      <c r="I1046" t="s">
        <v>3230</v>
      </c>
      <c r="K1046" t="s">
        <v>313</v>
      </c>
      <c r="L1046" s="67">
        <v>0.25</v>
      </c>
      <c r="N1046" s="67">
        <v>0</v>
      </c>
      <c r="O1046" s="68">
        <v>45191</v>
      </c>
      <c r="P1046" s="68">
        <v>45191</v>
      </c>
      <c r="Q1046" s="57">
        <v>56913543.295118093</v>
      </c>
      <c r="R1046" t="s">
        <v>2968</v>
      </c>
    </row>
    <row r="1047" spans="1:18">
      <c r="A1047">
        <v>2068</v>
      </c>
      <c r="B1047" t="s">
        <v>3234</v>
      </c>
      <c r="C1047" t="s">
        <v>0</v>
      </c>
      <c r="D1047" t="s">
        <v>3232</v>
      </c>
      <c r="I1047" t="s">
        <v>3233</v>
      </c>
      <c r="K1047" t="s">
        <v>313</v>
      </c>
      <c r="L1047" s="67">
        <v>0.25</v>
      </c>
      <c r="N1047" s="67">
        <v>0</v>
      </c>
      <c r="O1047" s="68">
        <v>45191</v>
      </c>
      <c r="P1047" s="68">
        <v>45191</v>
      </c>
      <c r="Q1047" s="57">
        <v>35311195.755397156</v>
      </c>
      <c r="R1047" t="s">
        <v>2968</v>
      </c>
    </row>
    <row r="1048" spans="1:18">
      <c r="A1048">
        <v>2069</v>
      </c>
      <c r="B1048" t="s">
        <v>3235</v>
      </c>
      <c r="C1048" t="s">
        <v>0</v>
      </c>
      <c r="D1048" t="s">
        <v>3232</v>
      </c>
      <c r="I1048" t="s">
        <v>3233</v>
      </c>
      <c r="K1048" t="s">
        <v>313</v>
      </c>
      <c r="L1048" s="67">
        <v>0.25</v>
      </c>
      <c r="N1048" s="67">
        <v>0</v>
      </c>
      <c r="O1048" s="68">
        <v>45191</v>
      </c>
      <c r="P1048" s="68">
        <v>45191</v>
      </c>
      <c r="Q1048" s="57">
        <v>41435487.834560081</v>
      </c>
      <c r="R1048" t="s">
        <v>2968</v>
      </c>
    </row>
    <row r="1049" spans="1:18">
      <c r="A1049">
        <v>2070</v>
      </c>
      <c r="B1049" t="s">
        <v>3238</v>
      </c>
      <c r="C1049" t="s">
        <v>0</v>
      </c>
      <c r="D1049" t="s">
        <v>3236</v>
      </c>
      <c r="I1049" t="s">
        <v>3237</v>
      </c>
      <c r="J1049">
        <v>220</v>
      </c>
      <c r="K1049" t="s">
        <v>554</v>
      </c>
      <c r="M1049">
        <v>0</v>
      </c>
      <c r="O1049" s="68">
        <v>45191</v>
      </c>
      <c r="P1049" s="68">
        <v>45191</v>
      </c>
      <c r="R1049" t="s">
        <v>2968</v>
      </c>
    </row>
    <row r="1050" spans="1:18">
      <c r="A1050">
        <v>2071</v>
      </c>
      <c r="B1050" t="s">
        <v>3239</v>
      </c>
      <c r="C1050" t="s">
        <v>0</v>
      </c>
      <c r="D1050" t="s">
        <v>936</v>
      </c>
      <c r="I1050" t="s">
        <v>715</v>
      </c>
      <c r="K1050" t="s">
        <v>313</v>
      </c>
      <c r="L1050" s="67">
        <v>0.25</v>
      </c>
      <c r="N1050" s="67">
        <v>0</v>
      </c>
      <c r="O1050" s="68">
        <v>45191</v>
      </c>
      <c r="P1050" s="68">
        <v>45191</v>
      </c>
      <c r="Q1050" s="57">
        <v>14004068.649558166</v>
      </c>
      <c r="R1050" t="s">
        <v>2968</v>
      </c>
    </row>
    <row r="1051" spans="1:18">
      <c r="A1051">
        <v>2072</v>
      </c>
      <c r="B1051" t="s">
        <v>3243</v>
      </c>
      <c r="C1051" t="s">
        <v>0</v>
      </c>
      <c r="D1051" t="s">
        <v>3241</v>
      </c>
      <c r="I1051" t="s">
        <v>3242</v>
      </c>
      <c r="K1051" t="s">
        <v>313</v>
      </c>
      <c r="L1051" s="67">
        <v>0.25</v>
      </c>
      <c r="N1051" s="67">
        <v>0</v>
      </c>
      <c r="O1051" s="68">
        <v>45191</v>
      </c>
      <c r="P1051" s="68">
        <v>45191</v>
      </c>
      <c r="Q1051" s="57">
        <v>19825169.735374965</v>
      </c>
      <c r="R1051" t="s">
        <v>2968</v>
      </c>
    </row>
    <row r="1052" spans="1:18">
      <c r="A1052">
        <v>2073</v>
      </c>
      <c r="B1052" t="s">
        <v>3244</v>
      </c>
      <c r="C1052" t="s">
        <v>0</v>
      </c>
      <c r="D1052" t="s">
        <v>3241</v>
      </c>
      <c r="I1052" t="s">
        <v>3242</v>
      </c>
      <c r="K1052" t="s">
        <v>313</v>
      </c>
      <c r="L1052" s="67">
        <v>0.25</v>
      </c>
      <c r="N1052" s="67">
        <v>0</v>
      </c>
      <c r="O1052" s="68">
        <v>45191</v>
      </c>
      <c r="P1052" s="68">
        <v>45191</v>
      </c>
      <c r="Q1052" s="57">
        <v>23994785.028144069</v>
      </c>
      <c r="R1052" t="s">
        <v>2968</v>
      </c>
    </row>
    <row r="1053" spans="1:18">
      <c r="A1053">
        <v>2074</v>
      </c>
      <c r="B1053" t="s">
        <v>3246</v>
      </c>
      <c r="C1053" t="s">
        <v>0</v>
      </c>
      <c r="D1053" t="s">
        <v>3245</v>
      </c>
      <c r="I1053" t="s">
        <v>715</v>
      </c>
      <c r="K1053" t="s">
        <v>313</v>
      </c>
      <c r="L1053" s="67">
        <v>0.25</v>
      </c>
      <c r="N1053" s="67">
        <v>0</v>
      </c>
      <c r="O1053" s="68">
        <v>45194</v>
      </c>
      <c r="P1053" s="68">
        <v>45194</v>
      </c>
      <c r="Q1053" s="57">
        <v>13888700.649558166</v>
      </c>
      <c r="R1053" t="s">
        <v>2968</v>
      </c>
    </row>
    <row r="1054" spans="1:18">
      <c r="A1054">
        <v>2075</v>
      </c>
      <c r="B1054" t="s">
        <v>3248</v>
      </c>
      <c r="C1054" t="s">
        <v>0</v>
      </c>
      <c r="D1054" t="s">
        <v>3247</v>
      </c>
      <c r="I1054" t="s">
        <v>2970</v>
      </c>
      <c r="K1054" t="s">
        <v>313</v>
      </c>
      <c r="L1054" s="67">
        <v>0.25</v>
      </c>
      <c r="N1054" s="67">
        <v>0</v>
      </c>
      <c r="O1054" s="68">
        <v>45194</v>
      </c>
      <c r="P1054" s="68">
        <v>45194</v>
      </c>
      <c r="Q1054" s="57">
        <v>120701244.12099414</v>
      </c>
      <c r="R1054" t="s">
        <v>2968</v>
      </c>
    </row>
    <row r="1055" spans="1:18">
      <c r="A1055">
        <v>2076</v>
      </c>
      <c r="B1055" t="s">
        <v>3250</v>
      </c>
      <c r="C1055" t="s">
        <v>0</v>
      </c>
      <c r="D1055" t="s">
        <v>3249</v>
      </c>
      <c r="I1055" t="s">
        <v>135</v>
      </c>
      <c r="K1055" t="s">
        <v>313</v>
      </c>
      <c r="L1055" s="67">
        <v>0.25</v>
      </c>
      <c r="N1055" s="67">
        <v>0.03</v>
      </c>
      <c r="O1055" s="68">
        <v>45194</v>
      </c>
      <c r="P1055" s="68">
        <v>45194</v>
      </c>
      <c r="Q1055" s="57">
        <v>33489379.479376707</v>
      </c>
      <c r="R1055" t="s">
        <v>2968</v>
      </c>
    </row>
    <row r="1056" spans="1:18">
      <c r="A1056">
        <v>2077</v>
      </c>
      <c r="B1056" t="s">
        <v>3252</v>
      </c>
      <c r="C1056" t="s">
        <v>0</v>
      </c>
      <c r="D1056" t="s">
        <v>3251</v>
      </c>
      <c r="I1056" t="s">
        <v>135</v>
      </c>
      <c r="K1056" t="s">
        <v>313</v>
      </c>
      <c r="L1056" s="67">
        <v>0.25</v>
      </c>
      <c r="N1056" s="67">
        <v>0.03</v>
      </c>
      <c r="O1056" s="68">
        <v>45194</v>
      </c>
      <c r="P1056" s="68">
        <v>45194</v>
      </c>
      <c r="Q1056" s="57">
        <v>1138444517.1313844</v>
      </c>
      <c r="R1056" t="s">
        <v>2968</v>
      </c>
    </row>
    <row r="1057" spans="1:18">
      <c r="A1057">
        <v>2078</v>
      </c>
      <c r="B1057" t="s">
        <v>3254</v>
      </c>
      <c r="C1057" t="s">
        <v>0</v>
      </c>
      <c r="D1057" t="s">
        <v>3253</v>
      </c>
      <c r="I1057" t="s">
        <v>135</v>
      </c>
      <c r="K1057" t="s">
        <v>313</v>
      </c>
      <c r="L1057" s="67">
        <v>0.25</v>
      </c>
      <c r="N1057" s="67">
        <v>0.03</v>
      </c>
      <c r="O1057" s="68">
        <v>45194</v>
      </c>
      <c r="P1057" s="68">
        <v>45194</v>
      </c>
      <c r="Q1057" s="57">
        <v>1138444517.1313844</v>
      </c>
      <c r="R1057" t="s">
        <v>2968</v>
      </c>
    </row>
    <row r="1058" spans="1:18">
      <c r="A1058">
        <v>2079</v>
      </c>
      <c r="B1058" t="s">
        <v>3256</v>
      </c>
      <c r="C1058" t="s">
        <v>0</v>
      </c>
      <c r="D1058" t="s">
        <v>3255</v>
      </c>
      <c r="I1058" t="s">
        <v>135</v>
      </c>
      <c r="K1058" t="s">
        <v>313</v>
      </c>
      <c r="L1058" s="67">
        <v>0.25</v>
      </c>
      <c r="N1058" s="67">
        <v>0.03</v>
      </c>
      <c r="O1058" s="68">
        <v>45194</v>
      </c>
      <c r="P1058" s="68">
        <v>45194</v>
      </c>
      <c r="Q1058" s="57">
        <v>1315097446.2785413</v>
      </c>
      <c r="R1058" t="s">
        <v>2968</v>
      </c>
    </row>
    <row r="1059" spans="1:18">
      <c r="A1059">
        <v>2080</v>
      </c>
      <c r="B1059" t="s">
        <v>3257</v>
      </c>
      <c r="C1059" t="s">
        <v>0</v>
      </c>
      <c r="D1059" t="s">
        <v>3255</v>
      </c>
      <c r="I1059" t="s">
        <v>135</v>
      </c>
      <c r="K1059" t="s">
        <v>313</v>
      </c>
      <c r="L1059" s="67">
        <v>0.25</v>
      </c>
      <c r="N1059" s="67">
        <v>0.03</v>
      </c>
      <c r="O1059" s="68">
        <v>45194</v>
      </c>
      <c r="P1059" s="68">
        <v>45194</v>
      </c>
      <c r="Q1059" s="57">
        <v>1229343692.9242215</v>
      </c>
      <c r="R1059" t="s">
        <v>2968</v>
      </c>
    </row>
    <row r="1060" spans="1:18">
      <c r="A1060">
        <v>2081</v>
      </c>
      <c r="B1060" t="s">
        <v>3259</v>
      </c>
      <c r="C1060" t="s">
        <v>0</v>
      </c>
      <c r="D1060" t="s">
        <v>3258</v>
      </c>
      <c r="I1060" t="s">
        <v>715</v>
      </c>
      <c r="K1060" t="s">
        <v>313</v>
      </c>
      <c r="L1060" s="67">
        <v>0.25</v>
      </c>
      <c r="N1060" s="67">
        <v>0</v>
      </c>
      <c r="O1060" s="68">
        <v>45195</v>
      </c>
      <c r="P1060" s="68">
        <v>45195</v>
      </c>
      <c r="Q1060" s="57">
        <v>20188799.987475805</v>
      </c>
      <c r="R1060" t="s">
        <v>2968</v>
      </c>
    </row>
    <row r="1061" spans="1:18">
      <c r="A1061">
        <v>2082</v>
      </c>
      <c r="B1061" t="s">
        <v>3262</v>
      </c>
      <c r="C1061" t="s">
        <v>7</v>
      </c>
      <c r="D1061" t="s">
        <v>3260</v>
      </c>
      <c r="I1061" t="s">
        <v>3261</v>
      </c>
      <c r="K1061" t="s">
        <v>313</v>
      </c>
      <c r="L1061" s="67">
        <v>0.25</v>
      </c>
      <c r="N1061" s="67">
        <v>0.03</v>
      </c>
      <c r="O1061" s="68">
        <v>45197</v>
      </c>
      <c r="P1061" s="68">
        <v>45197</v>
      </c>
      <c r="Q1061" s="57">
        <v>357098220.23758429</v>
      </c>
      <c r="R1061" t="s">
        <v>2968</v>
      </c>
    </row>
    <row r="1062" spans="1:18">
      <c r="A1062">
        <v>2083</v>
      </c>
      <c r="B1062" t="s">
        <v>3263</v>
      </c>
      <c r="C1062" t="s">
        <v>7</v>
      </c>
      <c r="D1062" t="s">
        <v>2198</v>
      </c>
      <c r="I1062" t="s">
        <v>884</v>
      </c>
      <c r="K1062" t="s">
        <v>313</v>
      </c>
      <c r="L1062" s="67">
        <v>0.25</v>
      </c>
      <c r="N1062" s="67">
        <v>0.05</v>
      </c>
      <c r="O1062" s="68">
        <v>45201</v>
      </c>
      <c r="P1062" s="68">
        <v>45201</v>
      </c>
      <c r="Q1062" s="57">
        <v>222157033.24105766</v>
      </c>
      <c r="R1062" t="s">
        <v>2968</v>
      </c>
    </row>
    <row r="1063" spans="1:18">
      <c r="A1063">
        <v>2084</v>
      </c>
      <c r="B1063" t="s">
        <v>3265</v>
      </c>
      <c r="C1063" t="s">
        <v>7</v>
      </c>
      <c r="D1063" t="s">
        <v>3264</v>
      </c>
      <c r="I1063" t="s">
        <v>135</v>
      </c>
      <c r="K1063" t="s">
        <v>313</v>
      </c>
      <c r="L1063" s="67">
        <v>0.25</v>
      </c>
      <c r="N1063" s="67">
        <v>0.03</v>
      </c>
      <c r="O1063" s="68">
        <v>45201</v>
      </c>
      <c r="P1063" s="68">
        <v>45201</v>
      </c>
      <c r="Q1063" s="57">
        <v>41283220.109923698</v>
      </c>
      <c r="R1063" t="s">
        <v>2968</v>
      </c>
    </row>
    <row r="1064" spans="1:18">
      <c r="A1064">
        <v>2085</v>
      </c>
      <c r="B1064" t="s">
        <v>3267</v>
      </c>
      <c r="C1064" t="s">
        <v>7</v>
      </c>
      <c r="D1064" t="s">
        <v>3264</v>
      </c>
      <c r="I1064" t="s">
        <v>135</v>
      </c>
      <c r="K1064" t="s">
        <v>313</v>
      </c>
      <c r="L1064" s="67">
        <v>0.25</v>
      </c>
      <c r="N1064" s="67">
        <v>0.03</v>
      </c>
      <c r="O1064" s="68">
        <v>45201</v>
      </c>
      <c r="P1064" s="68">
        <v>45201</v>
      </c>
      <c r="Q1064" s="57">
        <v>34611317.492448598</v>
      </c>
      <c r="R1064" t="s">
        <v>2968</v>
      </c>
    </row>
    <row r="1065" spans="1:18">
      <c r="A1065">
        <v>2086</v>
      </c>
      <c r="B1065" t="s">
        <v>3268</v>
      </c>
      <c r="C1065" t="s">
        <v>7</v>
      </c>
      <c r="D1065" t="s">
        <v>3266</v>
      </c>
      <c r="I1065" t="s">
        <v>135</v>
      </c>
      <c r="K1065" t="s">
        <v>313</v>
      </c>
      <c r="L1065" s="67">
        <v>0.25</v>
      </c>
      <c r="N1065" s="67">
        <v>0.03</v>
      </c>
      <c r="O1065" s="68">
        <v>45201</v>
      </c>
      <c r="P1065" s="68">
        <v>45201</v>
      </c>
      <c r="Q1065" s="57">
        <v>34611317.492448598</v>
      </c>
      <c r="R1065" t="s">
        <v>2968</v>
      </c>
    </row>
    <row r="1066" spans="1:18">
      <c r="A1066">
        <v>2087</v>
      </c>
      <c r="B1066" t="s">
        <v>3269</v>
      </c>
      <c r="C1066" t="s">
        <v>7</v>
      </c>
      <c r="D1066" t="s">
        <v>3266</v>
      </c>
      <c r="I1066" t="s">
        <v>1505</v>
      </c>
      <c r="K1066" t="s">
        <v>313</v>
      </c>
      <c r="L1066" s="67">
        <v>0.25</v>
      </c>
      <c r="N1066" s="67">
        <v>0</v>
      </c>
      <c r="O1066" s="68">
        <v>45201</v>
      </c>
      <c r="P1066" s="68">
        <v>45201</v>
      </c>
      <c r="Q1066" s="57">
        <v>373811080.62747329</v>
      </c>
      <c r="R1066" t="s">
        <v>2968</v>
      </c>
    </row>
    <row r="1067" spans="1:18">
      <c r="A1067">
        <v>2088</v>
      </c>
      <c r="B1067" t="s">
        <v>3270</v>
      </c>
      <c r="C1067" t="s">
        <v>7</v>
      </c>
      <c r="D1067" t="s">
        <v>3266</v>
      </c>
      <c r="I1067" t="s">
        <v>1505</v>
      </c>
      <c r="K1067" t="s">
        <v>313</v>
      </c>
      <c r="L1067" s="67">
        <v>0.25</v>
      </c>
      <c r="N1067" s="67">
        <v>0</v>
      </c>
      <c r="O1067" s="68">
        <v>45201</v>
      </c>
      <c r="P1067" s="68">
        <v>45201</v>
      </c>
      <c r="Q1067" s="57">
        <v>109923264.56266642</v>
      </c>
      <c r="R1067" t="s">
        <v>2968</v>
      </c>
    </row>
    <row r="1068" spans="1:18">
      <c r="A1068">
        <v>2089</v>
      </c>
      <c r="B1068" t="s">
        <v>3271</v>
      </c>
      <c r="C1068" t="s">
        <v>7</v>
      </c>
      <c r="D1068" t="s">
        <v>3260</v>
      </c>
      <c r="I1068" t="s">
        <v>1505</v>
      </c>
      <c r="K1068" t="s">
        <v>313</v>
      </c>
      <c r="L1068" s="67">
        <v>0.25</v>
      </c>
      <c r="N1068" s="67">
        <v>0</v>
      </c>
      <c r="O1068" s="68">
        <v>45201</v>
      </c>
      <c r="P1068" s="68">
        <v>45201</v>
      </c>
      <c r="Q1068" s="57">
        <v>109923264.56266642</v>
      </c>
      <c r="R1068" t="s">
        <v>2968</v>
      </c>
    </row>
    <row r="1069" spans="1:18">
      <c r="A1069">
        <v>2090</v>
      </c>
      <c r="B1069" t="s">
        <v>3274</v>
      </c>
      <c r="C1069" t="s">
        <v>7</v>
      </c>
      <c r="D1069" t="s">
        <v>3273</v>
      </c>
      <c r="I1069" t="s">
        <v>2970</v>
      </c>
      <c r="K1069" t="s">
        <v>313</v>
      </c>
      <c r="L1069" s="67">
        <v>0.25</v>
      </c>
      <c r="N1069" s="67">
        <v>0</v>
      </c>
      <c r="O1069" s="68">
        <v>45201</v>
      </c>
      <c r="P1069" s="68">
        <v>45201</v>
      </c>
      <c r="Q1069" s="57">
        <v>34451333.846062765</v>
      </c>
      <c r="R1069" t="s">
        <v>2968</v>
      </c>
    </row>
    <row r="1070" spans="1:18">
      <c r="A1070">
        <v>2091</v>
      </c>
      <c r="B1070" t="s">
        <v>3277</v>
      </c>
      <c r="C1070" t="s">
        <v>7</v>
      </c>
      <c r="D1070" t="s">
        <v>3275</v>
      </c>
      <c r="I1070" t="s">
        <v>3276</v>
      </c>
      <c r="K1070" t="s">
        <v>313</v>
      </c>
      <c r="L1070" s="67">
        <v>0.27</v>
      </c>
      <c r="N1070" s="67">
        <v>0</v>
      </c>
      <c r="O1070" s="68">
        <v>45201</v>
      </c>
      <c r="P1070" s="68">
        <v>45201</v>
      </c>
      <c r="Q1070" s="57">
        <v>19734594.546773039</v>
      </c>
      <c r="R1070" t="s">
        <v>2968</v>
      </c>
    </row>
    <row r="1071" spans="1:18">
      <c r="A1071">
        <v>2092</v>
      </c>
      <c r="B1071" t="s">
        <v>3279</v>
      </c>
      <c r="C1071" t="s">
        <v>7</v>
      </c>
      <c r="D1071" t="s">
        <v>3278</v>
      </c>
      <c r="I1071" t="s">
        <v>1814</v>
      </c>
      <c r="K1071" t="s">
        <v>313</v>
      </c>
      <c r="L1071" s="67">
        <v>0.25</v>
      </c>
      <c r="N1071" s="67">
        <v>0</v>
      </c>
      <c r="O1071" s="68">
        <v>45201</v>
      </c>
      <c r="P1071" s="68">
        <v>45201</v>
      </c>
      <c r="Q1071" s="57">
        <v>13006643.46852598</v>
      </c>
      <c r="R1071" t="s">
        <v>2968</v>
      </c>
    </row>
    <row r="1072" spans="1:18">
      <c r="A1072">
        <v>2093</v>
      </c>
      <c r="B1072" t="s">
        <v>3281</v>
      </c>
      <c r="C1072" t="s">
        <v>7</v>
      </c>
      <c r="D1072" t="s">
        <v>3280</v>
      </c>
      <c r="I1072" t="s">
        <v>1334</v>
      </c>
      <c r="K1072" t="s">
        <v>313</v>
      </c>
      <c r="L1072" s="67">
        <v>0.25</v>
      </c>
      <c r="N1072" s="67">
        <v>0</v>
      </c>
      <c r="O1072" s="68">
        <v>45201</v>
      </c>
      <c r="P1072" s="68">
        <v>45201</v>
      </c>
      <c r="Q1072" s="57">
        <v>23583280.243830342</v>
      </c>
      <c r="R1072" t="s">
        <v>2968</v>
      </c>
    </row>
    <row r="1073" spans="1:18">
      <c r="A1073">
        <v>2094</v>
      </c>
      <c r="B1073" t="s">
        <v>3283</v>
      </c>
      <c r="C1073" t="s">
        <v>7</v>
      </c>
      <c r="D1073" t="s">
        <v>3282</v>
      </c>
      <c r="I1073" t="s">
        <v>715</v>
      </c>
      <c r="K1073" t="s">
        <v>313</v>
      </c>
      <c r="L1073" s="67">
        <v>0.25</v>
      </c>
      <c r="N1073" s="67">
        <v>0</v>
      </c>
      <c r="O1073" s="68">
        <v>45201</v>
      </c>
      <c r="P1073" s="68">
        <v>45201</v>
      </c>
      <c r="Q1073" s="57">
        <v>21263330.654142473</v>
      </c>
      <c r="R1073" t="s">
        <v>2968</v>
      </c>
    </row>
    <row r="1074" spans="1:18">
      <c r="A1074">
        <v>2095</v>
      </c>
      <c r="B1074" t="s">
        <v>3284</v>
      </c>
      <c r="C1074" t="s">
        <v>7</v>
      </c>
      <c r="D1074" t="s">
        <v>3282</v>
      </c>
      <c r="I1074" t="s">
        <v>715</v>
      </c>
      <c r="K1074" t="s">
        <v>313</v>
      </c>
      <c r="L1074" s="67">
        <v>0.25</v>
      </c>
      <c r="N1074" s="67">
        <v>0</v>
      </c>
      <c r="O1074" s="68">
        <v>45201</v>
      </c>
      <c r="P1074" s="68">
        <v>45201</v>
      </c>
      <c r="Q1074" s="57">
        <v>19820018.654142473</v>
      </c>
      <c r="R1074" t="s">
        <v>2968</v>
      </c>
    </row>
    <row r="1075" spans="1:18">
      <c r="A1075">
        <v>2096</v>
      </c>
      <c r="B1075" t="s">
        <v>3286</v>
      </c>
      <c r="C1075" t="s">
        <v>7</v>
      </c>
      <c r="D1075" t="s">
        <v>3285</v>
      </c>
      <c r="I1075" t="s">
        <v>1561</v>
      </c>
      <c r="K1075" t="s">
        <v>313</v>
      </c>
      <c r="L1075" s="67">
        <v>0.25</v>
      </c>
      <c r="N1075" s="67">
        <v>0.03</v>
      </c>
      <c r="O1075" s="68">
        <v>45202</v>
      </c>
      <c r="P1075" s="68">
        <v>45202</v>
      </c>
      <c r="Q1075" s="57">
        <v>23846263.976570465</v>
      </c>
      <c r="R1075" t="s">
        <v>2968</v>
      </c>
    </row>
    <row r="1076" spans="1:18">
      <c r="A1076">
        <v>2097</v>
      </c>
      <c r="B1076" t="s">
        <v>3287</v>
      </c>
      <c r="C1076" t="s">
        <v>7</v>
      </c>
      <c r="D1076" t="s">
        <v>3245</v>
      </c>
      <c r="I1076" t="s">
        <v>715</v>
      </c>
      <c r="K1076" t="s">
        <v>313</v>
      </c>
      <c r="L1076" s="67">
        <v>0.25</v>
      </c>
      <c r="N1076" s="67">
        <v>0</v>
      </c>
      <c r="O1076" s="68">
        <v>45202</v>
      </c>
      <c r="P1076" s="68">
        <v>45202</v>
      </c>
      <c r="Q1076" s="57">
        <v>15414828.626832949</v>
      </c>
      <c r="R1076" t="s">
        <v>2968</v>
      </c>
    </row>
    <row r="1077" spans="1:18">
      <c r="A1077">
        <v>2098</v>
      </c>
      <c r="B1077" t="s">
        <v>3288</v>
      </c>
      <c r="C1077" t="s">
        <v>7</v>
      </c>
      <c r="D1077" t="s">
        <v>3280</v>
      </c>
      <c r="I1077" t="s">
        <v>1334</v>
      </c>
      <c r="K1077" t="s">
        <v>313</v>
      </c>
      <c r="L1077" s="67">
        <v>0.25</v>
      </c>
      <c r="N1077" s="67">
        <v>0</v>
      </c>
      <c r="O1077" s="68">
        <v>45202</v>
      </c>
      <c r="P1077" s="68">
        <v>45202</v>
      </c>
      <c r="Q1077" s="57">
        <v>23739128.243830346</v>
      </c>
      <c r="R1077" t="s">
        <v>2968</v>
      </c>
    </row>
    <row r="1078" spans="1:18">
      <c r="A1078">
        <v>2099</v>
      </c>
      <c r="B1078" t="s">
        <v>3290</v>
      </c>
      <c r="C1078" t="s">
        <v>7</v>
      </c>
      <c r="D1078" t="s">
        <v>3289</v>
      </c>
      <c r="I1078" t="s">
        <v>3030</v>
      </c>
      <c r="K1078" t="s">
        <v>313</v>
      </c>
      <c r="L1078" s="67">
        <v>0.25</v>
      </c>
      <c r="N1078" s="67">
        <v>0.02</v>
      </c>
      <c r="O1078" s="68">
        <v>45202</v>
      </c>
      <c r="P1078" s="68">
        <v>45202</v>
      </c>
      <c r="Q1078" s="57">
        <v>18228762.556879234</v>
      </c>
      <c r="R1078" t="s">
        <v>2968</v>
      </c>
    </row>
    <row r="1079" spans="1:18">
      <c r="A1079">
        <v>2100</v>
      </c>
      <c r="B1079" t="s">
        <v>3292</v>
      </c>
      <c r="C1079" t="s">
        <v>7</v>
      </c>
      <c r="D1079" t="s">
        <v>3291</v>
      </c>
      <c r="I1079" t="s">
        <v>3030</v>
      </c>
      <c r="K1079" t="s">
        <v>313</v>
      </c>
      <c r="L1079" s="67">
        <v>0.25</v>
      </c>
      <c r="N1079" s="67">
        <v>0</v>
      </c>
      <c r="O1079" s="68">
        <v>45202</v>
      </c>
      <c r="P1079" s="68">
        <v>45202</v>
      </c>
      <c r="Q1079" s="57">
        <v>440883561.83877379</v>
      </c>
      <c r="R1079" t="s">
        <v>2968</v>
      </c>
    </row>
    <row r="1080" spans="1:18">
      <c r="A1080">
        <v>2101</v>
      </c>
      <c r="B1080" t="s">
        <v>3294</v>
      </c>
      <c r="C1080" t="s">
        <v>7</v>
      </c>
      <c r="D1080" t="s">
        <v>3293</v>
      </c>
      <c r="I1080" t="s">
        <v>3030</v>
      </c>
      <c r="K1080" t="s">
        <v>313</v>
      </c>
      <c r="L1080" s="67">
        <v>0.25</v>
      </c>
      <c r="N1080" s="67">
        <v>0</v>
      </c>
      <c r="O1080" s="68">
        <v>45202</v>
      </c>
      <c r="P1080" s="68">
        <v>45202</v>
      </c>
      <c r="Q1080" s="57">
        <v>16260346.141896371</v>
      </c>
      <c r="R1080" t="s">
        <v>2968</v>
      </c>
    </row>
    <row r="1081" spans="1:18">
      <c r="A1081">
        <v>2102</v>
      </c>
      <c r="B1081" t="s">
        <v>3296</v>
      </c>
      <c r="C1081" t="s">
        <v>10</v>
      </c>
      <c r="D1081" t="s">
        <v>3295</v>
      </c>
      <c r="I1081" t="s">
        <v>135</v>
      </c>
      <c r="K1081" t="s">
        <v>313</v>
      </c>
      <c r="L1081" s="67">
        <v>0.25</v>
      </c>
      <c r="N1081" s="67">
        <v>0</v>
      </c>
      <c r="O1081" s="68">
        <v>45204</v>
      </c>
      <c r="P1081" s="68">
        <v>45204</v>
      </c>
      <c r="Q1081" s="57">
        <v>2179966918.8069563</v>
      </c>
      <c r="R1081" t="s">
        <v>2968</v>
      </c>
    </row>
    <row r="1082" spans="1:18">
      <c r="A1082">
        <v>2103</v>
      </c>
      <c r="B1082" t="s">
        <v>3297</v>
      </c>
      <c r="C1082" t="s">
        <v>10</v>
      </c>
      <c r="D1082" t="s">
        <v>3295</v>
      </c>
      <c r="I1082" t="s">
        <v>135</v>
      </c>
      <c r="K1082" t="s">
        <v>313</v>
      </c>
      <c r="L1082" s="67">
        <v>0.25</v>
      </c>
      <c r="N1082" s="67">
        <v>0</v>
      </c>
      <c r="O1082" s="68">
        <v>45204</v>
      </c>
      <c r="P1082" s="68">
        <v>45204</v>
      </c>
      <c r="Q1082" s="57">
        <v>2355776609.6242929</v>
      </c>
      <c r="R1082" t="s">
        <v>2968</v>
      </c>
    </row>
    <row r="1083" spans="1:18">
      <c r="A1083">
        <v>2104</v>
      </c>
      <c r="B1083" t="s">
        <v>3298</v>
      </c>
      <c r="C1083" t="s">
        <v>10</v>
      </c>
      <c r="D1083" t="s">
        <v>3251</v>
      </c>
      <c r="I1083" t="s">
        <v>135</v>
      </c>
      <c r="K1083" t="s">
        <v>313</v>
      </c>
      <c r="L1083" s="67">
        <v>0.25</v>
      </c>
      <c r="N1083" s="67">
        <v>0.03</v>
      </c>
      <c r="O1083" s="68">
        <v>45204</v>
      </c>
      <c r="P1083" s="68">
        <v>45204</v>
      </c>
      <c r="Q1083" s="57">
        <v>1232343448.215795</v>
      </c>
      <c r="R1083" t="s">
        <v>2968</v>
      </c>
    </row>
    <row r="1084" spans="1:18">
      <c r="A1084">
        <v>2105</v>
      </c>
      <c r="B1084" t="s">
        <v>3300</v>
      </c>
      <c r="C1084" t="s">
        <v>10</v>
      </c>
      <c r="D1084" t="s">
        <v>3299</v>
      </c>
      <c r="I1084" t="s">
        <v>24</v>
      </c>
      <c r="K1084" t="s">
        <v>313</v>
      </c>
      <c r="L1084" s="67">
        <v>0.25</v>
      </c>
      <c r="N1084" s="67">
        <v>0.02</v>
      </c>
      <c r="O1084" s="68">
        <v>45205</v>
      </c>
      <c r="P1084" s="68">
        <v>45205</v>
      </c>
      <c r="Q1084" s="57">
        <v>47118878.341701828</v>
      </c>
      <c r="R1084" t="s">
        <v>2968</v>
      </c>
    </row>
    <row r="1085" spans="1:18">
      <c r="A1085">
        <v>2106</v>
      </c>
      <c r="B1085" t="s">
        <v>3302</v>
      </c>
      <c r="C1085" t="s">
        <v>0</v>
      </c>
      <c r="D1085" t="s">
        <v>3301</v>
      </c>
      <c r="I1085" t="s">
        <v>133</v>
      </c>
      <c r="K1085" t="s">
        <v>313</v>
      </c>
      <c r="L1085" s="67">
        <v>0.25</v>
      </c>
      <c r="N1085" s="67">
        <v>0</v>
      </c>
      <c r="O1085" s="68">
        <v>45205</v>
      </c>
      <c r="P1085" s="68">
        <v>45205</v>
      </c>
      <c r="Q1085" s="57">
        <v>15068710.235064797</v>
      </c>
      <c r="R1085" t="s">
        <v>2968</v>
      </c>
    </row>
    <row r="1086" spans="1:18">
      <c r="A1086">
        <v>2107</v>
      </c>
      <c r="B1086" t="s">
        <v>3304</v>
      </c>
      <c r="C1086" t="s">
        <v>0</v>
      </c>
      <c r="D1086" t="s">
        <v>3303</v>
      </c>
      <c r="I1086" t="s">
        <v>2205</v>
      </c>
      <c r="K1086" t="s">
        <v>313</v>
      </c>
      <c r="L1086" s="67">
        <v>0.25</v>
      </c>
      <c r="N1086" s="67">
        <v>0</v>
      </c>
      <c r="O1086" s="68">
        <v>45205</v>
      </c>
      <c r="P1086" s="68">
        <v>45205</v>
      </c>
      <c r="Q1086" s="57">
        <v>14005456.547565721</v>
      </c>
      <c r="R1086" t="s">
        <v>2968</v>
      </c>
    </row>
    <row r="1087" spans="1:18">
      <c r="A1087">
        <v>2108</v>
      </c>
      <c r="B1087" t="s">
        <v>3306</v>
      </c>
      <c r="C1087" t="s">
        <v>0</v>
      </c>
      <c r="D1087" t="s">
        <v>3305</v>
      </c>
      <c r="I1087" t="s">
        <v>884</v>
      </c>
      <c r="J1087">
        <v>220</v>
      </c>
      <c r="K1087" t="s">
        <v>554</v>
      </c>
      <c r="M1087">
        <v>0</v>
      </c>
      <c r="O1087" s="68">
        <v>45205</v>
      </c>
      <c r="P1087" s="68">
        <v>45205</v>
      </c>
      <c r="R1087" t="s">
        <v>2968</v>
      </c>
    </row>
    <row r="1088" spans="1:18">
      <c r="A1088">
        <v>2109</v>
      </c>
      <c r="B1088" t="s">
        <v>3307</v>
      </c>
      <c r="C1088" t="s">
        <v>0</v>
      </c>
      <c r="D1088" t="s">
        <v>3305</v>
      </c>
      <c r="I1088" t="s">
        <v>133</v>
      </c>
      <c r="J1088">
        <v>220</v>
      </c>
      <c r="K1088" t="s">
        <v>554</v>
      </c>
      <c r="M1088">
        <v>0</v>
      </c>
      <c r="O1088" s="68">
        <v>45208</v>
      </c>
      <c r="P1088" s="68">
        <v>45208</v>
      </c>
      <c r="R1088" t="s">
        <v>2968</v>
      </c>
    </row>
    <row r="1089" spans="1:18">
      <c r="A1089">
        <v>2110</v>
      </c>
      <c r="B1089" t="s">
        <v>3310</v>
      </c>
      <c r="C1089" t="s">
        <v>0</v>
      </c>
      <c r="D1089" t="s">
        <v>3308</v>
      </c>
      <c r="I1089" t="s">
        <v>3309</v>
      </c>
      <c r="K1089" t="s">
        <v>313</v>
      </c>
      <c r="L1089" s="67">
        <v>0.25</v>
      </c>
      <c r="N1089" s="67">
        <v>0.03</v>
      </c>
      <c r="O1089" s="68">
        <v>45208</v>
      </c>
      <c r="P1089" s="68">
        <v>45208</v>
      </c>
      <c r="Q1089" s="57">
        <v>83713328.033653006</v>
      </c>
      <c r="R1089" t="s">
        <v>2968</v>
      </c>
    </row>
    <row r="1090" spans="1:18">
      <c r="A1090">
        <v>2111</v>
      </c>
      <c r="B1090" t="s">
        <v>3311</v>
      </c>
      <c r="C1090" t="s">
        <v>0</v>
      </c>
      <c r="D1090" t="s">
        <v>3308</v>
      </c>
      <c r="I1090" t="s">
        <v>3309</v>
      </c>
      <c r="K1090" t="s">
        <v>313</v>
      </c>
      <c r="L1090" s="67">
        <v>0.25</v>
      </c>
      <c r="N1090" s="67">
        <v>0.03</v>
      </c>
      <c r="O1090" s="68">
        <v>45208</v>
      </c>
      <c r="P1090" s="68">
        <v>45208</v>
      </c>
      <c r="Q1090" s="57">
        <v>94055030.847093076</v>
      </c>
      <c r="R1090" t="s">
        <v>2968</v>
      </c>
    </row>
    <row r="1091" spans="1:18">
      <c r="A1091">
        <v>2112</v>
      </c>
      <c r="B1091" t="s">
        <v>3312</v>
      </c>
      <c r="C1091" t="s">
        <v>0</v>
      </c>
      <c r="D1091" t="s">
        <v>3308</v>
      </c>
      <c r="I1091" t="s">
        <v>3309</v>
      </c>
      <c r="K1091" t="s">
        <v>313</v>
      </c>
      <c r="L1091" s="67">
        <v>0.25</v>
      </c>
      <c r="N1091" s="67">
        <v>0.03</v>
      </c>
      <c r="O1091" s="68">
        <v>45208</v>
      </c>
      <c r="P1091" s="68">
        <v>45208</v>
      </c>
      <c r="Q1091" s="57">
        <v>49283728.853831872</v>
      </c>
      <c r="R1091" t="s">
        <v>2968</v>
      </c>
    </row>
    <row r="1092" spans="1:18">
      <c r="A1092">
        <v>2113</v>
      </c>
      <c r="B1092" t="s">
        <v>3314</v>
      </c>
      <c r="C1092" t="s">
        <v>0</v>
      </c>
      <c r="D1092" t="s">
        <v>3313</v>
      </c>
      <c r="I1092" t="s">
        <v>3042</v>
      </c>
      <c r="K1092" t="s">
        <v>313</v>
      </c>
      <c r="L1092" s="67">
        <v>0.25</v>
      </c>
      <c r="N1092" s="67">
        <v>0.03</v>
      </c>
      <c r="O1092" s="68">
        <v>45208</v>
      </c>
      <c r="P1092" s="68">
        <v>45208</v>
      </c>
      <c r="Q1092" s="57">
        <v>31433204.888960674</v>
      </c>
      <c r="R1092" t="s">
        <v>2968</v>
      </c>
    </row>
    <row r="1093" spans="1:18">
      <c r="A1093">
        <v>2114</v>
      </c>
      <c r="B1093" t="s">
        <v>3316</v>
      </c>
      <c r="C1093" t="s">
        <v>0</v>
      </c>
      <c r="D1093" t="s">
        <v>3315</v>
      </c>
      <c r="I1093" t="s">
        <v>3042</v>
      </c>
      <c r="K1093" t="s">
        <v>313</v>
      </c>
      <c r="L1093" s="67">
        <v>0.25</v>
      </c>
      <c r="N1093" s="67">
        <v>0.03</v>
      </c>
      <c r="O1093" s="68">
        <v>45208</v>
      </c>
      <c r="P1093" s="68">
        <v>45208</v>
      </c>
      <c r="Q1093" s="57">
        <v>31433204.888960674</v>
      </c>
      <c r="R1093" t="s">
        <v>2968</v>
      </c>
    </row>
    <row r="1094" spans="1:18">
      <c r="A1094">
        <v>2115</v>
      </c>
      <c r="B1094" t="s">
        <v>3317</v>
      </c>
      <c r="C1094" t="s">
        <v>0</v>
      </c>
      <c r="D1094" t="s">
        <v>3315</v>
      </c>
      <c r="I1094" t="s">
        <v>3042</v>
      </c>
      <c r="K1094" t="s">
        <v>313</v>
      </c>
      <c r="L1094" s="67">
        <v>0.25</v>
      </c>
      <c r="N1094" s="67">
        <v>0.03</v>
      </c>
      <c r="O1094" s="68">
        <v>45208</v>
      </c>
      <c r="P1094" s="68">
        <v>45208</v>
      </c>
      <c r="Q1094" s="57">
        <v>47612614.260694005</v>
      </c>
      <c r="R1094" t="s">
        <v>2968</v>
      </c>
    </row>
    <row r="1095" spans="1:18">
      <c r="A1095">
        <v>2116</v>
      </c>
      <c r="B1095" t="s">
        <v>3320</v>
      </c>
      <c r="C1095" t="s">
        <v>0</v>
      </c>
      <c r="D1095" t="s">
        <v>3318</v>
      </c>
      <c r="I1095" t="s">
        <v>3319</v>
      </c>
      <c r="J1095">
        <v>220</v>
      </c>
      <c r="K1095" t="s">
        <v>554</v>
      </c>
      <c r="M1095">
        <v>0</v>
      </c>
      <c r="O1095" s="68">
        <v>45208</v>
      </c>
      <c r="P1095" s="68">
        <v>45208</v>
      </c>
      <c r="R1095" t="s">
        <v>2968</v>
      </c>
    </row>
    <row r="1096" spans="1:18">
      <c r="A1096">
        <v>2117</v>
      </c>
      <c r="B1096" t="s">
        <v>3323</v>
      </c>
      <c r="C1096" t="s">
        <v>7</v>
      </c>
      <c r="D1096" t="s">
        <v>3322</v>
      </c>
      <c r="I1096" t="s">
        <v>135</v>
      </c>
      <c r="K1096" t="s">
        <v>313</v>
      </c>
      <c r="L1096" s="67">
        <v>0.25</v>
      </c>
      <c r="N1096" s="67">
        <v>0.03</v>
      </c>
      <c r="O1096" s="68">
        <v>45210</v>
      </c>
      <c r="P1096" s="68">
        <v>45210</v>
      </c>
      <c r="Q1096" s="57">
        <v>132181281.45866928</v>
      </c>
      <c r="R1096" t="s">
        <v>2968</v>
      </c>
    </row>
    <row r="1097" spans="1:18">
      <c r="A1097">
        <v>2118</v>
      </c>
      <c r="B1097" t="s">
        <v>3324</v>
      </c>
      <c r="C1097" t="s">
        <v>7</v>
      </c>
      <c r="D1097" t="s">
        <v>3322</v>
      </c>
      <c r="I1097" t="s">
        <v>135</v>
      </c>
      <c r="K1097" t="s">
        <v>313</v>
      </c>
      <c r="L1097" s="67">
        <v>0.25</v>
      </c>
      <c r="N1097" s="67">
        <v>0.03</v>
      </c>
      <c r="O1097" s="68">
        <v>45210</v>
      </c>
      <c r="P1097" s="68">
        <v>45210</v>
      </c>
      <c r="Q1097" s="57">
        <v>276872819.30145013</v>
      </c>
      <c r="R1097" t="s">
        <v>2968</v>
      </c>
    </row>
    <row r="1098" spans="1:18">
      <c r="A1098">
        <v>2119</v>
      </c>
      <c r="B1098" t="s">
        <v>3325</v>
      </c>
      <c r="C1098" t="s">
        <v>7</v>
      </c>
      <c r="D1098" t="s">
        <v>3322</v>
      </c>
      <c r="I1098" t="s">
        <v>135</v>
      </c>
      <c r="K1098" t="s">
        <v>313</v>
      </c>
      <c r="L1098" s="67">
        <v>0.25</v>
      </c>
      <c r="N1098" s="67">
        <v>0.03</v>
      </c>
      <c r="O1098" s="68">
        <v>45210</v>
      </c>
      <c r="P1098" s="68">
        <v>45210</v>
      </c>
      <c r="Q1098" s="57">
        <v>414829241.23496181</v>
      </c>
      <c r="R1098" t="s">
        <v>2968</v>
      </c>
    </row>
    <row r="1099" spans="1:18">
      <c r="A1099">
        <v>2120</v>
      </c>
      <c r="B1099" t="s">
        <v>3328</v>
      </c>
      <c r="C1099" t="s">
        <v>0</v>
      </c>
      <c r="D1099" t="s">
        <v>3326</v>
      </c>
      <c r="I1099" t="s">
        <v>3327</v>
      </c>
      <c r="K1099" t="s">
        <v>313</v>
      </c>
      <c r="L1099" s="67">
        <v>0.25</v>
      </c>
      <c r="N1099" s="67">
        <v>0.03</v>
      </c>
      <c r="O1099" s="68">
        <v>45210</v>
      </c>
      <c r="P1099" s="68">
        <v>45210</v>
      </c>
      <c r="Q1099" s="57">
        <v>22303172.349294208</v>
      </c>
      <c r="R1099" t="s">
        <v>2968</v>
      </c>
    </row>
    <row r="1100" spans="1:18">
      <c r="A1100">
        <v>2121</v>
      </c>
      <c r="B1100" t="s">
        <v>3329</v>
      </c>
      <c r="C1100" t="s">
        <v>0</v>
      </c>
      <c r="D1100" t="s">
        <v>3326</v>
      </c>
      <c r="I1100" t="s">
        <v>3327</v>
      </c>
      <c r="K1100" t="s">
        <v>313</v>
      </c>
      <c r="L1100" s="67">
        <v>0.25</v>
      </c>
      <c r="N1100" s="67">
        <v>0.02</v>
      </c>
      <c r="O1100" s="68">
        <v>45216</v>
      </c>
      <c r="P1100" s="68">
        <v>45216</v>
      </c>
      <c r="Q1100" s="57">
        <v>25932704.9650824</v>
      </c>
      <c r="R1100" t="s">
        <v>2968</v>
      </c>
    </row>
    <row r="1101" spans="1:18">
      <c r="A1101">
        <v>2122</v>
      </c>
      <c r="B1101" t="s">
        <v>3331</v>
      </c>
      <c r="C1101" t="s">
        <v>0</v>
      </c>
      <c r="D1101" t="s">
        <v>3330</v>
      </c>
      <c r="I1101" t="s">
        <v>2970</v>
      </c>
      <c r="K1101" t="s">
        <v>313</v>
      </c>
      <c r="L1101" s="67">
        <v>0.25</v>
      </c>
      <c r="N1101" s="67">
        <v>0</v>
      </c>
      <c r="O1101" s="68">
        <v>45217</v>
      </c>
      <c r="P1101" s="68">
        <v>45217</v>
      </c>
      <c r="Q1101" s="57">
        <v>14414913.214434389</v>
      </c>
      <c r="R1101" t="s">
        <v>2968</v>
      </c>
    </row>
    <row r="1102" spans="1:18">
      <c r="A1102">
        <v>2123</v>
      </c>
      <c r="B1102" t="s">
        <v>3332</v>
      </c>
      <c r="C1102" t="s">
        <v>0</v>
      </c>
      <c r="D1102" t="s">
        <v>3088</v>
      </c>
      <c r="I1102" t="s">
        <v>2970</v>
      </c>
      <c r="K1102" t="s">
        <v>313</v>
      </c>
      <c r="L1102" s="67">
        <v>0.25</v>
      </c>
      <c r="N1102" s="67">
        <v>0</v>
      </c>
      <c r="O1102" s="68">
        <v>45218</v>
      </c>
      <c r="P1102" s="68">
        <v>45218</v>
      </c>
      <c r="Q1102" s="57">
        <v>371206976.05353546</v>
      </c>
      <c r="R1102" t="s">
        <v>2968</v>
      </c>
    </row>
    <row r="1103" spans="1:18">
      <c r="A1103">
        <v>2124</v>
      </c>
      <c r="B1103" t="s">
        <v>3334</v>
      </c>
      <c r="C1103" t="s">
        <v>0</v>
      </c>
      <c r="D1103" t="s">
        <v>3333</v>
      </c>
      <c r="I1103" t="s">
        <v>2970</v>
      </c>
      <c r="K1103" t="s">
        <v>313</v>
      </c>
      <c r="L1103" s="67">
        <v>0.25</v>
      </c>
      <c r="N1103" s="67">
        <v>0</v>
      </c>
      <c r="O1103" s="68">
        <v>45218</v>
      </c>
      <c r="P1103" s="68">
        <v>45218</v>
      </c>
      <c r="Q1103" s="57">
        <v>371206976.05353546</v>
      </c>
      <c r="R1103" t="s">
        <v>2968</v>
      </c>
    </row>
    <row r="1104" spans="1:18">
      <c r="A1104">
        <v>2125</v>
      </c>
      <c r="B1104" t="s">
        <v>3336</v>
      </c>
      <c r="C1104" t="s">
        <v>0</v>
      </c>
      <c r="D1104" t="s">
        <v>3335</v>
      </c>
      <c r="I1104" t="s">
        <v>2970</v>
      </c>
      <c r="K1104" t="s">
        <v>313</v>
      </c>
      <c r="L1104" s="67">
        <v>0.25</v>
      </c>
      <c r="N1104" s="67">
        <v>0</v>
      </c>
      <c r="O1104" s="68">
        <v>45218</v>
      </c>
      <c r="P1104" s="68">
        <v>45218</v>
      </c>
      <c r="Q1104" s="57">
        <v>17261144.925760094</v>
      </c>
      <c r="R1104" t="s">
        <v>2968</v>
      </c>
    </row>
    <row r="1105" spans="1:18">
      <c r="A1105">
        <v>2126</v>
      </c>
      <c r="B1105" t="s">
        <v>3338</v>
      </c>
      <c r="C1105" t="s">
        <v>0</v>
      </c>
      <c r="D1105" t="s">
        <v>3337</v>
      </c>
      <c r="I1105" t="s">
        <v>2970</v>
      </c>
      <c r="K1105" t="s">
        <v>313</v>
      </c>
      <c r="L1105" s="67">
        <v>0.25</v>
      </c>
      <c r="N1105" s="67">
        <v>0</v>
      </c>
      <c r="O1105" s="68">
        <v>45219</v>
      </c>
      <c r="P1105" s="68">
        <v>45219</v>
      </c>
      <c r="Q1105" s="57">
        <v>24449030.358042538</v>
      </c>
      <c r="R1105" t="s">
        <v>2968</v>
      </c>
    </row>
    <row r="1106" spans="1:18">
      <c r="A1106">
        <v>2127</v>
      </c>
      <c r="B1106" t="s">
        <v>3339</v>
      </c>
      <c r="C1106" t="s">
        <v>0</v>
      </c>
      <c r="D1106" t="s">
        <v>3337</v>
      </c>
      <c r="I1106" t="s">
        <v>2970</v>
      </c>
      <c r="K1106" t="s">
        <v>313</v>
      </c>
      <c r="L1106" s="67">
        <v>0.25</v>
      </c>
      <c r="N1106" s="67">
        <v>0</v>
      </c>
      <c r="O1106" s="68">
        <v>45219</v>
      </c>
      <c r="P1106" s="68">
        <v>45219</v>
      </c>
      <c r="Q1106" s="57">
        <v>25838843.69137587</v>
      </c>
      <c r="R1106" t="s">
        <v>2968</v>
      </c>
    </row>
    <row r="1107" spans="1:18">
      <c r="A1107">
        <v>2128</v>
      </c>
      <c r="B1107" t="s">
        <v>3342</v>
      </c>
      <c r="C1107" t="s">
        <v>0</v>
      </c>
      <c r="D1107" t="s">
        <v>3341</v>
      </c>
      <c r="I1107" t="s">
        <v>3340</v>
      </c>
      <c r="K1107" t="s">
        <v>313</v>
      </c>
      <c r="L1107" s="67">
        <v>0.25</v>
      </c>
      <c r="N1107" s="67">
        <v>0.03</v>
      </c>
      <c r="O1107" s="68">
        <v>45219</v>
      </c>
      <c r="P1107" s="68">
        <v>45219</v>
      </c>
      <c r="Q1107" s="57">
        <v>203244887.50226289</v>
      </c>
      <c r="R1107" t="s">
        <v>2968</v>
      </c>
    </row>
    <row r="1108" spans="1:18">
      <c r="A1108">
        <v>2129</v>
      </c>
      <c r="B1108" t="s">
        <v>3343</v>
      </c>
      <c r="C1108" t="s">
        <v>0</v>
      </c>
      <c r="D1108" t="s">
        <v>3341</v>
      </c>
      <c r="I1108" t="s">
        <v>3340</v>
      </c>
      <c r="K1108" t="s">
        <v>313</v>
      </c>
      <c r="L1108" s="67">
        <v>0.25</v>
      </c>
      <c r="N1108" s="67">
        <v>0.03</v>
      </c>
      <c r="O1108" s="68">
        <v>45219</v>
      </c>
      <c r="P1108" s="68">
        <v>45219</v>
      </c>
      <c r="Q1108" s="57">
        <v>41770985.359892108</v>
      </c>
      <c r="R1108" t="s">
        <v>2968</v>
      </c>
    </row>
    <row r="1109" spans="1:18">
      <c r="A1109">
        <v>2130</v>
      </c>
      <c r="B1109" t="s">
        <v>3345</v>
      </c>
      <c r="C1109" t="s">
        <v>0</v>
      </c>
      <c r="D1109" t="s">
        <v>3278</v>
      </c>
      <c r="I1109" t="s">
        <v>3344</v>
      </c>
      <c r="K1109" t="s">
        <v>313</v>
      </c>
      <c r="L1109" s="67">
        <v>0.25</v>
      </c>
      <c r="N1109" s="67">
        <v>0</v>
      </c>
      <c r="O1109" s="68">
        <v>45219</v>
      </c>
      <c r="P1109" s="68">
        <v>45219</v>
      </c>
      <c r="Q1109" s="57">
        <v>12872494.172596291</v>
      </c>
      <c r="R1109" t="s">
        <v>2968</v>
      </c>
    </row>
    <row r="1110" spans="1:18">
      <c r="A1110">
        <v>2131</v>
      </c>
      <c r="B1110" t="s">
        <v>3347</v>
      </c>
      <c r="C1110" t="s">
        <v>0</v>
      </c>
      <c r="D1110" t="s">
        <v>3346</v>
      </c>
      <c r="I1110" t="s">
        <v>3276</v>
      </c>
      <c r="K1110" t="s">
        <v>313</v>
      </c>
      <c r="L1110" s="67">
        <v>0.25</v>
      </c>
      <c r="N1110" s="67">
        <v>0</v>
      </c>
      <c r="O1110" s="68">
        <v>45219</v>
      </c>
      <c r="P1110" s="68">
        <v>45219</v>
      </c>
      <c r="Q1110" s="57">
        <v>22387620.609135628</v>
      </c>
      <c r="R1110" t="s">
        <v>2968</v>
      </c>
    </row>
    <row r="1111" spans="1:18">
      <c r="A1111">
        <v>2132</v>
      </c>
      <c r="B1111" t="s">
        <v>3349</v>
      </c>
      <c r="C1111" t="s">
        <v>0</v>
      </c>
      <c r="D1111" t="s">
        <v>3346</v>
      </c>
      <c r="I1111" t="s">
        <v>3348</v>
      </c>
      <c r="K1111" t="s">
        <v>313</v>
      </c>
      <c r="L1111" s="67">
        <v>0.25</v>
      </c>
      <c r="N1111" s="67">
        <v>0</v>
      </c>
      <c r="O1111" s="68">
        <v>45219</v>
      </c>
      <c r="P1111" s="68">
        <v>45219</v>
      </c>
      <c r="Q1111" s="57">
        <v>22086008.017141692</v>
      </c>
      <c r="R1111" t="s">
        <v>2968</v>
      </c>
    </row>
    <row r="1112" spans="1:18">
      <c r="A1112">
        <v>2133</v>
      </c>
      <c r="B1112" t="s">
        <v>3351</v>
      </c>
      <c r="C1112" t="s">
        <v>0</v>
      </c>
      <c r="D1112" t="s">
        <v>3350</v>
      </c>
      <c r="I1112" t="s">
        <v>3348</v>
      </c>
      <c r="K1112" t="s">
        <v>313</v>
      </c>
      <c r="L1112" s="67">
        <v>0.25</v>
      </c>
      <c r="N1112" s="67">
        <v>0</v>
      </c>
      <c r="O1112" s="68">
        <v>45219</v>
      </c>
      <c r="P1112" s="68">
        <v>45219</v>
      </c>
      <c r="Q1112" s="57">
        <v>22086008.017141692</v>
      </c>
      <c r="R1112" t="s">
        <v>2968</v>
      </c>
    </row>
    <row r="1113" spans="1:18">
      <c r="A1113">
        <v>2134</v>
      </c>
      <c r="B1113" t="s">
        <v>3376</v>
      </c>
      <c r="C1113" t="s">
        <v>0</v>
      </c>
      <c r="D1113" t="s">
        <v>3375</v>
      </c>
      <c r="I1113" t="s">
        <v>135</v>
      </c>
      <c r="K1113" t="s">
        <v>313</v>
      </c>
      <c r="L1113" s="67">
        <v>0.25</v>
      </c>
      <c r="N1113" s="67">
        <v>0.03</v>
      </c>
      <c r="O1113" s="68">
        <v>45251</v>
      </c>
      <c r="P1113" s="68">
        <v>45251</v>
      </c>
      <c r="Q1113" s="57">
        <v>23089136.42772558</v>
      </c>
      <c r="R1113" t="s">
        <v>2968</v>
      </c>
    </row>
    <row r="1114" spans="1:18">
      <c r="A1114">
        <v>2135</v>
      </c>
      <c r="B1114" t="s">
        <v>3377</v>
      </c>
      <c r="C1114" t="s">
        <v>0</v>
      </c>
      <c r="D1114" t="s">
        <v>3375</v>
      </c>
      <c r="I1114" t="s">
        <v>135</v>
      </c>
      <c r="K1114" t="s">
        <v>313</v>
      </c>
      <c r="L1114" s="67">
        <v>0.25</v>
      </c>
      <c r="N1114" s="67">
        <v>0.01</v>
      </c>
      <c r="O1114" s="68">
        <v>45251</v>
      </c>
      <c r="P1114" s="68">
        <v>45251</v>
      </c>
      <c r="Q1114" s="57">
        <v>21284380.897233613</v>
      </c>
      <c r="R1114" t="s">
        <v>2968</v>
      </c>
    </row>
    <row r="1115" spans="1:18">
      <c r="A1115">
        <v>2136</v>
      </c>
      <c r="B1115" t="s">
        <v>3379</v>
      </c>
      <c r="C1115" t="s">
        <v>0</v>
      </c>
      <c r="D1115" t="s">
        <v>3378</v>
      </c>
      <c r="I1115" t="s">
        <v>779</v>
      </c>
      <c r="K1115" t="s">
        <v>313</v>
      </c>
      <c r="L1115" s="67">
        <v>0.25</v>
      </c>
      <c r="N1115" s="67">
        <v>0.01</v>
      </c>
      <c r="O1115" s="68">
        <v>45251</v>
      </c>
      <c r="P1115" s="68">
        <v>45251</v>
      </c>
      <c r="Q1115" s="57">
        <v>21284380.897233613</v>
      </c>
      <c r="R1115" t="s">
        <v>2968</v>
      </c>
    </row>
    <row r="1116" spans="1:18">
      <c r="A1116">
        <v>2137</v>
      </c>
      <c r="B1116" t="s">
        <v>3381</v>
      </c>
      <c r="C1116" t="s">
        <v>0</v>
      </c>
      <c r="D1116" t="s">
        <v>3380</v>
      </c>
      <c r="I1116" t="s">
        <v>133</v>
      </c>
      <c r="K1116" t="s">
        <v>313</v>
      </c>
      <c r="L1116" s="67">
        <v>0.25</v>
      </c>
      <c r="N1116" s="67">
        <v>0</v>
      </c>
      <c r="O1116" s="68">
        <v>45251</v>
      </c>
      <c r="P1116" s="68">
        <v>45251</v>
      </c>
      <c r="Q1116" s="57">
        <v>22758619.735447004</v>
      </c>
      <c r="R1116" t="s">
        <v>2968</v>
      </c>
    </row>
    <row r="1117" spans="1:18">
      <c r="A1117">
        <v>2138</v>
      </c>
      <c r="B1117" t="s">
        <v>3383</v>
      </c>
      <c r="C1117" t="s">
        <v>0</v>
      </c>
      <c r="D1117" t="s">
        <v>3382</v>
      </c>
      <c r="I1117" t="s">
        <v>3348</v>
      </c>
      <c r="K1117" t="s">
        <v>313</v>
      </c>
      <c r="L1117" s="67">
        <v>0.25</v>
      </c>
      <c r="N1117" s="67">
        <v>0</v>
      </c>
      <c r="O1117" s="68">
        <v>45253</v>
      </c>
      <c r="P1117" s="68">
        <v>45253</v>
      </c>
      <c r="Q1117" s="57">
        <v>92539318.364636838</v>
      </c>
      <c r="R1117" t="s">
        <v>2968</v>
      </c>
    </row>
    <row r="1118" spans="1:18">
      <c r="A1118">
        <v>2139</v>
      </c>
      <c r="B1118" t="s">
        <v>3384</v>
      </c>
      <c r="C1118" t="s">
        <v>0</v>
      </c>
      <c r="D1118" t="s">
        <v>3382</v>
      </c>
      <c r="I1118" t="s">
        <v>3348</v>
      </c>
      <c r="K1118" t="s">
        <v>313</v>
      </c>
      <c r="L1118" s="67">
        <v>0.25</v>
      </c>
      <c r="N1118" s="67">
        <v>0</v>
      </c>
      <c r="O1118" s="68">
        <v>45253</v>
      </c>
      <c r="P1118" s="68">
        <v>45253</v>
      </c>
      <c r="Q1118" s="57">
        <v>20458470.861236468</v>
      </c>
      <c r="R1118" t="s">
        <v>2968</v>
      </c>
    </row>
    <row r="1119" spans="1:18">
      <c r="A1119">
        <v>2140</v>
      </c>
      <c r="B1119" t="s">
        <v>3385</v>
      </c>
      <c r="C1119" t="s">
        <v>0</v>
      </c>
      <c r="D1119" t="s">
        <v>3382</v>
      </c>
      <c r="I1119" t="s">
        <v>3348</v>
      </c>
      <c r="K1119" t="s">
        <v>313</v>
      </c>
      <c r="L1119" s="67">
        <v>0.25</v>
      </c>
      <c r="N1119" s="67">
        <v>0</v>
      </c>
      <c r="O1119" s="68">
        <v>45253</v>
      </c>
      <c r="P1119" s="68">
        <v>45253</v>
      </c>
      <c r="Q1119" s="57">
        <v>20458470.861236468</v>
      </c>
      <c r="R1119" t="s">
        <v>2968</v>
      </c>
    </row>
    <row r="1120" spans="1:18">
      <c r="A1120">
        <v>2141</v>
      </c>
      <c r="B1120" t="s">
        <v>3386</v>
      </c>
      <c r="C1120" t="s">
        <v>0</v>
      </c>
      <c r="D1120" t="s">
        <v>3382</v>
      </c>
      <c r="I1120" t="s">
        <v>3348</v>
      </c>
      <c r="K1120" t="s">
        <v>313</v>
      </c>
      <c r="L1120" s="67">
        <v>0.25</v>
      </c>
      <c r="N1120" s="67">
        <v>0</v>
      </c>
      <c r="O1120" s="68">
        <v>45253</v>
      </c>
      <c r="P1120" s="68">
        <v>45253</v>
      </c>
      <c r="Q1120" s="57">
        <v>92539318.364636838</v>
      </c>
      <c r="R1120" t="s">
        <v>2968</v>
      </c>
    </row>
    <row r="1121" spans="1:18">
      <c r="A1121">
        <v>2142</v>
      </c>
      <c r="B1121" t="s">
        <v>3387</v>
      </c>
      <c r="C1121" t="s">
        <v>0</v>
      </c>
      <c r="D1121" t="s">
        <v>3382</v>
      </c>
      <c r="I1121" t="s">
        <v>3348</v>
      </c>
      <c r="K1121" t="s">
        <v>313</v>
      </c>
      <c r="L1121" s="67">
        <v>0.25</v>
      </c>
      <c r="N1121" s="67">
        <v>0</v>
      </c>
      <c r="O1121" s="68">
        <v>45253</v>
      </c>
      <c r="P1121" s="68">
        <v>45253</v>
      </c>
      <c r="Q1121" s="57">
        <v>16560501.653402505</v>
      </c>
      <c r="R1121" t="s">
        <v>2968</v>
      </c>
    </row>
    <row r="1122" spans="1:18">
      <c r="A1122">
        <v>2143</v>
      </c>
      <c r="B1122" t="s">
        <v>3388</v>
      </c>
      <c r="C1122" t="s">
        <v>0</v>
      </c>
      <c r="D1122" t="s">
        <v>3382</v>
      </c>
      <c r="I1122" t="s">
        <v>3348</v>
      </c>
      <c r="K1122" t="s">
        <v>313</v>
      </c>
      <c r="L1122" s="67">
        <v>0.25</v>
      </c>
      <c r="N1122" s="67">
        <v>0</v>
      </c>
      <c r="O1122" s="68">
        <v>45253</v>
      </c>
      <c r="P1122" s="68">
        <v>45253</v>
      </c>
      <c r="Q1122" s="57">
        <v>23830705.769027982</v>
      </c>
      <c r="R1122" t="s">
        <v>2968</v>
      </c>
    </row>
    <row r="1123" spans="1:18">
      <c r="A1123">
        <v>2144</v>
      </c>
      <c r="B1123" t="s">
        <v>3390</v>
      </c>
      <c r="C1123" t="s">
        <v>0</v>
      </c>
      <c r="D1123" t="s">
        <v>3389</v>
      </c>
      <c r="I1123" t="s">
        <v>3030</v>
      </c>
      <c r="K1123" t="s">
        <v>313</v>
      </c>
      <c r="L1123" s="67">
        <v>0.25</v>
      </c>
      <c r="N1123" s="67">
        <v>0</v>
      </c>
      <c r="O1123" s="68">
        <v>45253</v>
      </c>
      <c r="P1123" s="68">
        <v>45253</v>
      </c>
      <c r="Q1123" s="57">
        <v>20627518.302272424</v>
      </c>
      <c r="R1123" t="s">
        <v>2968</v>
      </c>
    </row>
    <row r="1124" spans="1:18">
      <c r="A1124">
        <v>2145</v>
      </c>
      <c r="B1124" t="s">
        <v>3392</v>
      </c>
      <c r="C1124" t="s">
        <v>0</v>
      </c>
      <c r="D1124" t="s">
        <v>3391</v>
      </c>
      <c r="I1124" t="s">
        <v>3042</v>
      </c>
      <c r="K1124" t="s">
        <v>313</v>
      </c>
      <c r="L1124" s="67">
        <v>0.25</v>
      </c>
      <c r="N1124" s="67">
        <v>0</v>
      </c>
      <c r="O1124" s="68">
        <v>45254</v>
      </c>
      <c r="P1124" s="68">
        <v>45254</v>
      </c>
      <c r="Q1124" s="57">
        <v>57180745.822666027</v>
      </c>
      <c r="R1124" t="s">
        <v>2968</v>
      </c>
    </row>
    <row r="1125" spans="1:18">
      <c r="A1125">
        <v>2146</v>
      </c>
      <c r="B1125" t="s">
        <v>3394</v>
      </c>
      <c r="C1125" t="s">
        <v>0</v>
      </c>
      <c r="D1125" t="s">
        <v>3393</v>
      </c>
      <c r="I1125" t="s">
        <v>1505</v>
      </c>
      <c r="K1125" t="s">
        <v>313</v>
      </c>
      <c r="L1125" s="67">
        <v>0.25</v>
      </c>
      <c r="N1125" s="67">
        <v>0</v>
      </c>
      <c r="O1125" s="68">
        <v>45257</v>
      </c>
      <c r="P1125" s="68">
        <v>45257</v>
      </c>
      <c r="Q1125" s="57">
        <v>14878201.896166282</v>
      </c>
      <c r="R1125" t="s">
        <v>2968</v>
      </c>
    </row>
    <row r="1126" spans="1:18">
      <c r="A1126">
        <v>2147</v>
      </c>
      <c r="B1126" t="s">
        <v>3396</v>
      </c>
      <c r="C1126" t="s">
        <v>0</v>
      </c>
      <c r="D1126" t="s">
        <v>3395</v>
      </c>
      <c r="I1126" t="s">
        <v>879</v>
      </c>
      <c r="K1126" t="s">
        <v>313</v>
      </c>
      <c r="L1126" s="67">
        <v>0.25</v>
      </c>
      <c r="N1126" s="67">
        <v>0.02</v>
      </c>
      <c r="O1126" s="68">
        <v>45257</v>
      </c>
      <c r="P1126" s="68">
        <v>45257</v>
      </c>
      <c r="Q1126" s="57">
        <v>52091305.694977544</v>
      </c>
      <c r="R1126" t="s">
        <v>2968</v>
      </c>
    </row>
    <row r="1127" spans="1:18">
      <c r="A1127">
        <v>2148</v>
      </c>
      <c r="B1127" t="s">
        <v>3399</v>
      </c>
      <c r="C1127" t="s">
        <v>0</v>
      </c>
      <c r="D1127" t="s">
        <v>3397</v>
      </c>
      <c r="I1127" t="s">
        <v>3398</v>
      </c>
      <c r="K1127" t="s">
        <v>313</v>
      </c>
      <c r="L1127" s="67">
        <v>0.25</v>
      </c>
      <c r="N1127" s="67">
        <v>0.02</v>
      </c>
      <c r="O1127" s="68">
        <v>45258</v>
      </c>
      <c r="P1127" s="68">
        <v>45258</v>
      </c>
      <c r="Q1127" s="57">
        <v>31300044.720189642</v>
      </c>
      <c r="R1127" t="s">
        <v>2968</v>
      </c>
    </row>
    <row r="1128" spans="1:18">
      <c r="A1128">
        <v>2149</v>
      </c>
      <c r="B1128" t="s">
        <v>3401</v>
      </c>
      <c r="C1128" t="s">
        <v>0</v>
      </c>
      <c r="D1128" t="s">
        <v>3400</v>
      </c>
      <c r="I1128" t="s">
        <v>2970</v>
      </c>
      <c r="K1128" t="s">
        <v>313</v>
      </c>
      <c r="L1128" s="67">
        <v>0.25</v>
      </c>
      <c r="N1128" s="67">
        <v>0.04</v>
      </c>
      <c r="O1128" s="68">
        <v>45259</v>
      </c>
      <c r="P1128" s="68">
        <v>45259</v>
      </c>
      <c r="Q1128" s="57">
        <v>69519808.028009325</v>
      </c>
      <c r="R1128" t="s">
        <v>2968</v>
      </c>
    </row>
    <row r="1129" spans="1:18">
      <c r="A1129">
        <v>2150</v>
      </c>
      <c r="B1129" t="s">
        <v>3403</v>
      </c>
      <c r="C1129" t="s">
        <v>0</v>
      </c>
      <c r="D1129" t="s">
        <v>3402</v>
      </c>
      <c r="I1129" t="s">
        <v>135</v>
      </c>
      <c r="K1129" t="s">
        <v>313</v>
      </c>
      <c r="L1129" s="67">
        <v>0.25</v>
      </c>
      <c r="N1129" s="67">
        <v>0</v>
      </c>
      <c r="O1129" s="68">
        <v>45260</v>
      </c>
      <c r="P1129" s="68">
        <v>45260</v>
      </c>
      <c r="Q1129" s="57">
        <v>21327479.824821904</v>
      </c>
      <c r="R1129" t="s">
        <v>2968</v>
      </c>
    </row>
    <row r="1130" spans="1:18">
      <c r="A1130">
        <v>2151</v>
      </c>
      <c r="B1130" t="s">
        <v>3405</v>
      </c>
      <c r="C1130" t="s">
        <v>0</v>
      </c>
      <c r="D1130" t="s">
        <v>3404</v>
      </c>
      <c r="I1130" t="s">
        <v>135</v>
      </c>
      <c r="K1130" t="s">
        <v>313</v>
      </c>
      <c r="L1130" s="67">
        <v>0.25</v>
      </c>
      <c r="N1130" s="67">
        <v>0</v>
      </c>
      <c r="O1130" s="68">
        <v>45261</v>
      </c>
      <c r="P1130" s="68">
        <v>45261</v>
      </c>
      <c r="Q1130" s="57">
        <v>87381331.870975688</v>
      </c>
      <c r="R1130" t="s">
        <v>2968</v>
      </c>
    </row>
    <row r="1131" spans="1:18">
      <c r="A1131">
        <v>2152</v>
      </c>
      <c r="B1131" t="s">
        <v>3407</v>
      </c>
      <c r="C1131" t="s">
        <v>0</v>
      </c>
      <c r="D1131" t="s">
        <v>3406</v>
      </c>
      <c r="I1131" t="s">
        <v>24</v>
      </c>
      <c r="K1131" t="s">
        <v>313</v>
      </c>
      <c r="L1131" s="67">
        <v>0.25</v>
      </c>
      <c r="N1131" s="67">
        <v>0.01</v>
      </c>
      <c r="O1131" s="68">
        <v>45261</v>
      </c>
      <c r="P1131" s="68">
        <v>45261</v>
      </c>
      <c r="Q1131" s="57">
        <v>175083664.19892195</v>
      </c>
      <c r="R1131" t="s">
        <v>2968</v>
      </c>
    </row>
    <row r="1132" spans="1:18">
      <c r="A1132">
        <v>2153</v>
      </c>
      <c r="B1132" t="s">
        <v>3408</v>
      </c>
      <c r="C1132" t="s">
        <v>0</v>
      </c>
      <c r="D1132" t="s">
        <v>3406</v>
      </c>
      <c r="I1132" t="s">
        <v>24</v>
      </c>
      <c r="K1132" t="s">
        <v>313</v>
      </c>
      <c r="L1132" s="67">
        <v>0.25</v>
      </c>
      <c r="N1132" s="67">
        <v>0.01</v>
      </c>
      <c r="O1132" s="68">
        <v>45261</v>
      </c>
      <c r="P1132" s="68">
        <v>45261</v>
      </c>
      <c r="Q1132" s="57">
        <v>30950681.668100461</v>
      </c>
      <c r="R1132" t="s">
        <v>2968</v>
      </c>
    </row>
    <row r="1133" spans="1:18">
      <c r="A1133">
        <v>2154</v>
      </c>
      <c r="B1133" t="s">
        <v>3409</v>
      </c>
      <c r="C1133" t="s">
        <v>0</v>
      </c>
      <c r="D1133" t="s">
        <v>3406</v>
      </c>
      <c r="I1133" t="s">
        <v>24</v>
      </c>
      <c r="K1133" t="s">
        <v>313</v>
      </c>
      <c r="L1133" s="67">
        <v>0.25</v>
      </c>
      <c r="N1133" s="67">
        <v>0.01</v>
      </c>
      <c r="O1133" s="68">
        <v>45261</v>
      </c>
      <c r="P1133" s="68">
        <v>45261</v>
      </c>
      <c r="Q1133" s="57">
        <v>34920690.428463735</v>
      </c>
      <c r="R1133" t="s">
        <v>2968</v>
      </c>
    </row>
    <row r="1134" spans="1:18">
      <c r="A1134">
        <v>2155</v>
      </c>
      <c r="B1134" t="s">
        <v>3410</v>
      </c>
      <c r="C1134" t="s">
        <v>0</v>
      </c>
      <c r="D1134" t="s">
        <v>3406</v>
      </c>
      <c r="I1134" t="s">
        <v>24</v>
      </c>
      <c r="K1134" t="s">
        <v>313</v>
      </c>
      <c r="L1134" s="67">
        <v>0.25</v>
      </c>
      <c r="N1134" s="67">
        <v>0.01</v>
      </c>
      <c r="O1134" s="68">
        <v>45261</v>
      </c>
      <c r="P1134" s="68">
        <v>45261</v>
      </c>
      <c r="Q1134" s="57">
        <v>45475348.693160102</v>
      </c>
      <c r="R1134" t="s">
        <v>2968</v>
      </c>
    </row>
    <row r="1135" spans="1:18">
      <c r="A1135">
        <v>2156</v>
      </c>
      <c r="B1135" t="s">
        <v>3411</v>
      </c>
      <c r="C1135" t="s">
        <v>0</v>
      </c>
      <c r="D1135" t="s">
        <v>3406</v>
      </c>
      <c r="I1135" t="s">
        <v>24</v>
      </c>
      <c r="K1135" t="s">
        <v>313</v>
      </c>
      <c r="L1135" s="67">
        <v>0.25</v>
      </c>
      <c r="N1135" s="67">
        <v>0.01</v>
      </c>
      <c r="O1135" s="68">
        <v>45261</v>
      </c>
      <c r="P1135" s="68">
        <v>45261</v>
      </c>
      <c r="Q1135" s="57">
        <v>53834622.047617331</v>
      </c>
      <c r="R1135" t="s">
        <v>2968</v>
      </c>
    </row>
    <row r="1136" spans="1:18">
      <c r="A1136">
        <v>2157</v>
      </c>
      <c r="B1136" t="s">
        <v>3414</v>
      </c>
      <c r="C1136" t="s">
        <v>0</v>
      </c>
      <c r="D1136" t="s">
        <v>3412</v>
      </c>
      <c r="I1136" t="s">
        <v>3413</v>
      </c>
      <c r="K1136" t="s">
        <v>313</v>
      </c>
      <c r="L1136" s="67">
        <v>0.25</v>
      </c>
      <c r="N1136" s="67">
        <v>0</v>
      </c>
      <c r="O1136" s="68">
        <v>45264</v>
      </c>
      <c r="P1136" s="68">
        <v>45264</v>
      </c>
      <c r="Q1136" s="57">
        <v>16846557.451721836</v>
      </c>
      <c r="R1136" t="s">
        <v>2968</v>
      </c>
    </row>
    <row r="1137" spans="1:18">
      <c r="A1137">
        <v>2158</v>
      </c>
      <c r="B1137" t="s">
        <v>3417</v>
      </c>
      <c r="C1137" t="s">
        <v>0</v>
      </c>
      <c r="D1137" t="s">
        <v>3415</v>
      </c>
      <c r="I1137" t="s">
        <v>3416</v>
      </c>
      <c r="K1137" t="s">
        <v>313</v>
      </c>
      <c r="L1137" s="67">
        <v>0.25</v>
      </c>
      <c r="N1137" s="67">
        <v>0</v>
      </c>
      <c r="O1137" s="68">
        <v>45264</v>
      </c>
      <c r="P1137" s="68">
        <v>45264</v>
      </c>
      <c r="Q1137" s="57">
        <v>10067654.661963316</v>
      </c>
      <c r="R1137" t="s">
        <v>2968</v>
      </c>
    </row>
    <row r="1138" spans="1:18">
      <c r="A1138">
        <v>2159</v>
      </c>
      <c r="B1138" t="s">
        <v>3419</v>
      </c>
      <c r="C1138" t="s">
        <v>0</v>
      </c>
      <c r="D1138" t="s">
        <v>3418</v>
      </c>
      <c r="I1138" t="s">
        <v>135</v>
      </c>
      <c r="K1138" t="s">
        <v>313</v>
      </c>
      <c r="L1138" s="67">
        <v>0.25</v>
      </c>
      <c r="N1138" s="67">
        <v>0</v>
      </c>
      <c r="O1138" s="68">
        <v>45264</v>
      </c>
      <c r="P1138" s="68">
        <v>45264</v>
      </c>
      <c r="Q1138" s="57">
        <v>33880214.597131893</v>
      </c>
      <c r="R1138" t="s">
        <v>2968</v>
      </c>
    </row>
    <row r="1139" spans="1:18">
      <c r="A1139">
        <v>2160</v>
      </c>
      <c r="B1139" t="s">
        <v>3421</v>
      </c>
      <c r="C1139" t="s">
        <v>0</v>
      </c>
      <c r="D1139" t="s">
        <v>3420</v>
      </c>
      <c r="I1139" t="s">
        <v>135</v>
      </c>
      <c r="K1139" t="s">
        <v>313</v>
      </c>
      <c r="L1139" s="67">
        <v>0.25</v>
      </c>
      <c r="N1139" s="67">
        <v>0</v>
      </c>
      <c r="O1139" s="68">
        <v>45264</v>
      </c>
      <c r="P1139" s="68">
        <v>45264</v>
      </c>
      <c r="Q1139" s="57">
        <v>22728756.386889596</v>
      </c>
      <c r="R1139" t="s">
        <v>2968</v>
      </c>
    </row>
    <row r="1140" spans="1:18">
      <c r="A1140">
        <v>2161</v>
      </c>
      <c r="B1140" t="s">
        <v>3422</v>
      </c>
      <c r="C1140" t="s">
        <v>0</v>
      </c>
      <c r="D1140" t="s">
        <v>3420</v>
      </c>
      <c r="I1140" t="s">
        <v>135</v>
      </c>
      <c r="K1140" t="s">
        <v>313</v>
      </c>
      <c r="L1140" s="67">
        <v>0.25</v>
      </c>
      <c r="N1140" s="67">
        <v>0</v>
      </c>
      <c r="O1140" s="68">
        <v>45264</v>
      </c>
      <c r="P1140" s="68">
        <v>45264</v>
      </c>
      <c r="Q1140" s="57">
        <v>32956499.392900176</v>
      </c>
      <c r="R1140" t="s">
        <v>2968</v>
      </c>
    </row>
    <row r="1141" spans="1:18">
      <c r="A1141">
        <v>2162</v>
      </c>
      <c r="B1141" t="s">
        <v>3424</v>
      </c>
      <c r="C1141" t="s">
        <v>0</v>
      </c>
      <c r="D1141" t="s">
        <v>3423</v>
      </c>
      <c r="I1141" t="s">
        <v>24</v>
      </c>
      <c r="K1141" t="s">
        <v>313</v>
      </c>
      <c r="L1141" s="67">
        <v>0.25</v>
      </c>
      <c r="N1141" s="67">
        <v>0</v>
      </c>
      <c r="O1141" s="68">
        <v>45264</v>
      </c>
      <c r="P1141" s="68">
        <v>45264</v>
      </c>
      <c r="Q1141" s="57">
        <v>52184103.91331403</v>
      </c>
      <c r="R1141" t="s">
        <v>2968</v>
      </c>
    </row>
    <row r="1142" spans="1:18">
      <c r="A1142">
        <v>2163</v>
      </c>
      <c r="B1142" t="s">
        <v>3426</v>
      </c>
      <c r="C1142" t="s">
        <v>0</v>
      </c>
      <c r="D1142" t="s">
        <v>3425</v>
      </c>
      <c r="I1142" t="s">
        <v>24</v>
      </c>
      <c r="K1142" t="s">
        <v>313</v>
      </c>
      <c r="L1142" s="67">
        <v>0.25</v>
      </c>
      <c r="N1142" s="67">
        <v>0</v>
      </c>
      <c r="O1142" s="68">
        <v>45265</v>
      </c>
      <c r="P1142" s="68">
        <v>45265</v>
      </c>
      <c r="Q1142" s="57">
        <v>100988059.19686285</v>
      </c>
      <c r="R1142" t="s">
        <v>2968</v>
      </c>
    </row>
    <row r="1143" spans="1:18">
      <c r="A1143">
        <v>2164</v>
      </c>
      <c r="B1143" t="s">
        <v>3428</v>
      </c>
      <c r="C1143" t="s">
        <v>0</v>
      </c>
      <c r="D1143" t="s">
        <v>3427</v>
      </c>
      <c r="I1143" t="s">
        <v>135</v>
      </c>
      <c r="K1143" t="s">
        <v>313</v>
      </c>
      <c r="L1143" s="67">
        <v>0.25</v>
      </c>
      <c r="N1143" s="67">
        <v>0</v>
      </c>
      <c r="O1143" s="68">
        <v>45265</v>
      </c>
      <c r="P1143" s="68">
        <v>45265</v>
      </c>
      <c r="Q1143" s="57">
        <v>60188987.8791674</v>
      </c>
      <c r="R1143" t="s">
        <v>2968</v>
      </c>
    </row>
    <row r="1144" spans="1:18">
      <c r="A1144">
        <v>2165</v>
      </c>
      <c r="B1144" t="s">
        <v>3430</v>
      </c>
      <c r="C1144" t="s">
        <v>0</v>
      </c>
      <c r="D1144" t="s">
        <v>3429</v>
      </c>
      <c r="I1144" t="s">
        <v>135</v>
      </c>
      <c r="K1144" t="s">
        <v>313</v>
      </c>
      <c r="L1144" s="67">
        <v>0.25</v>
      </c>
      <c r="N1144" s="67">
        <v>0</v>
      </c>
      <c r="O1144" s="68">
        <v>45265</v>
      </c>
      <c r="P1144" s="68">
        <v>45265</v>
      </c>
      <c r="Q1144" s="57">
        <v>26348645.620685153</v>
      </c>
      <c r="R1144" t="s">
        <v>2968</v>
      </c>
    </row>
    <row r="1145" spans="1:18">
      <c r="A1145">
        <v>2166</v>
      </c>
      <c r="B1145" t="s">
        <v>3432</v>
      </c>
      <c r="C1145" t="s">
        <v>0</v>
      </c>
      <c r="D1145" t="s">
        <v>3431</v>
      </c>
      <c r="I1145" t="s">
        <v>135</v>
      </c>
      <c r="K1145" t="s">
        <v>313</v>
      </c>
      <c r="L1145" s="67">
        <v>0.25</v>
      </c>
      <c r="N1145" s="67">
        <v>0</v>
      </c>
      <c r="O1145" s="68">
        <v>45265</v>
      </c>
      <c r="P1145" s="68">
        <v>45265</v>
      </c>
      <c r="Q1145" s="57">
        <v>15260896.753625393</v>
      </c>
      <c r="R1145" t="s">
        <v>2968</v>
      </c>
    </row>
    <row r="1146" spans="1:18">
      <c r="A1146">
        <v>2167</v>
      </c>
      <c r="B1146" t="s">
        <v>3434</v>
      </c>
      <c r="C1146" t="s">
        <v>0</v>
      </c>
      <c r="D1146" t="s">
        <v>3433</v>
      </c>
      <c r="I1146" t="s">
        <v>135</v>
      </c>
      <c r="K1146" t="s">
        <v>313</v>
      </c>
      <c r="L1146" s="67">
        <v>0.25</v>
      </c>
      <c r="N1146" s="67">
        <v>0</v>
      </c>
      <c r="O1146" s="68">
        <v>45266</v>
      </c>
      <c r="P1146" s="68">
        <v>45266</v>
      </c>
      <c r="Q1146" s="57">
        <v>76683180.972553849</v>
      </c>
      <c r="R1146" t="s">
        <v>2968</v>
      </c>
    </row>
    <row r="1147" spans="1:18">
      <c r="A1147">
        <v>2168</v>
      </c>
      <c r="B1147" t="s">
        <v>3436</v>
      </c>
      <c r="C1147" t="s">
        <v>0</v>
      </c>
      <c r="D1147" t="s">
        <v>3435</v>
      </c>
      <c r="I1147" t="s">
        <v>2970</v>
      </c>
      <c r="K1147" t="s">
        <v>313</v>
      </c>
      <c r="L1147" s="67">
        <v>0.25</v>
      </c>
      <c r="N1147" s="67">
        <v>0</v>
      </c>
      <c r="O1147" s="68">
        <v>45266</v>
      </c>
      <c r="P1147" s="68">
        <v>45266</v>
      </c>
      <c r="Q1147" s="57">
        <v>19654733.409609135</v>
      </c>
      <c r="R1147" t="s">
        <v>2968</v>
      </c>
    </row>
    <row r="1148" spans="1:18">
      <c r="A1148">
        <v>2169</v>
      </c>
      <c r="B1148" t="s">
        <v>3437</v>
      </c>
      <c r="C1148" t="s">
        <v>0</v>
      </c>
      <c r="D1148" t="s">
        <v>3435</v>
      </c>
      <c r="I1148" t="s">
        <v>2970</v>
      </c>
      <c r="K1148" t="s">
        <v>313</v>
      </c>
      <c r="L1148" s="67">
        <v>0.25</v>
      </c>
      <c r="N1148" s="67">
        <v>0</v>
      </c>
      <c r="O1148" s="68">
        <v>45266</v>
      </c>
      <c r="P1148" s="68">
        <v>45266</v>
      </c>
      <c r="Q1148" s="57">
        <v>19654733.409609135</v>
      </c>
      <c r="R1148" t="s">
        <v>2968</v>
      </c>
    </row>
    <row r="1149" spans="1:18">
      <c r="A1149">
        <v>2170</v>
      </c>
      <c r="B1149" t="s">
        <v>3439</v>
      </c>
      <c r="C1149" t="s">
        <v>0</v>
      </c>
      <c r="D1149" t="s">
        <v>3438</v>
      </c>
      <c r="I1149" t="s">
        <v>135</v>
      </c>
      <c r="K1149" t="s">
        <v>313</v>
      </c>
      <c r="L1149" s="67">
        <v>0.25</v>
      </c>
      <c r="N1149" s="67">
        <v>0</v>
      </c>
      <c r="O1149" s="68">
        <v>45266</v>
      </c>
      <c r="P1149" s="68">
        <v>45266</v>
      </c>
      <c r="Q1149" s="57">
        <v>61962218.736582235</v>
      </c>
      <c r="R1149" t="s">
        <v>2968</v>
      </c>
    </row>
    <row r="1150" spans="1:18">
      <c r="A1150">
        <v>2171</v>
      </c>
      <c r="B1150" t="s">
        <v>3441</v>
      </c>
      <c r="C1150" t="s">
        <v>0</v>
      </c>
      <c r="D1150" t="s">
        <v>3440</v>
      </c>
      <c r="I1150" t="s">
        <v>135</v>
      </c>
      <c r="K1150" t="s">
        <v>313</v>
      </c>
      <c r="L1150" s="67">
        <v>0.25</v>
      </c>
      <c r="N1150" s="67">
        <v>0</v>
      </c>
      <c r="O1150" s="68">
        <v>45266</v>
      </c>
      <c r="P1150" s="68">
        <v>45266</v>
      </c>
      <c r="Q1150" s="57">
        <v>20498537.527903136</v>
      </c>
      <c r="R1150" t="s">
        <v>2968</v>
      </c>
    </row>
    <row r="1151" spans="1:18">
      <c r="A1151">
        <v>2172</v>
      </c>
      <c r="B1151" t="s">
        <v>3442</v>
      </c>
      <c r="C1151" t="s">
        <v>0</v>
      </c>
      <c r="D1151" t="s">
        <v>3440</v>
      </c>
      <c r="I1151" t="s">
        <v>135</v>
      </c>
      <c r="K1151" t="s">
        <v>313</v>
      </c>
      <c r="L1151" s="67">
        <v>0.25</v>
      </c>
      <c r="N1151" s="67">
        <v>0</v>
      </c>
      <c r="O1151" s="68">
        <v>45266</v>
      </c>
      <c r="P1151" s="68">
        <v>45266</v>
      </c>
      <c r="Q1151" s="57">
        <v>20498537.527903136</v>
      </c>
      <c r="R1151" t="s">
        <v>2968</v>
      </c>
    </row>
    <row r="1152" spans="1:18">
      <c r="A1152">
        <v>2173</v>
      </c>
      <c r="B1152" t="s">
        <v>3444</v>
      </c>
      <c r="C1152" t="s">
        <v>0</v>
      </c>
      <c r="D1152" t="s">
        <v>3443</v>
      </c>
      <c r="I1152" t="s">
        <v>135</v>
      </c>
      <c r="K1152" t="s">
        <v>313</v>
      </c>
      <c r="L1152" s="67">
        <v>0.25</v>
      </c>
      <c r="N1152" s="67">
        <v>0</v>
      </c>
      <c r="O1152" s="68">
        <v>45266</v>
      </c>
      <c r="P1152" s="68">
        <v>45266</v>
      </c>
      <c r="Q1152" s="57">
        <v>24374390.977277067</v>
      </c>
      <c r="R1152" t="s">
        <v>2968</v>
      </c>
    </row>
    <row r="1153" spans="1:18">
      <c r="A1153">
        <v>2174</v>
      </c>
      <c r="B1153" t="s">
        <v>3447</v>
      </c>
      <c r="C1153" t="s">
        <v>0</v>
      </c>
      <c r="D1153" t="s">
        <v>3445</v>
      </c>
      <c r="I1153" t="s">
        <v>3446</v>
      </c>
      <c r="K1153" t="s">
        <v>313</v>
      </c>
      <c r="L1153" s="67">
        <v>0.25</v>
      </c>
      <c r="N1153" s="67">
        <v>0</v>
      </c>
      <c r="O1153" s="68">
        <v>45266</v>
      </c>
      <c r="P1153" s="68">
        <v>45266</v>
      </c>
      <c r="Q1153" s="57">
        <v>630934534.56080365</v>
      </c>
      <c r="R1153" t="s">
        <v>2968</v>
      </c>
    </row>
    <row r="1154" spans="1:18">
      <c r="A1154">
        <v>2175</v>
      </c>
      <c r="B1154" t="s">
        <v>3449</v>
      </c>
      <c r="C1154" t="s">
        <v>0</v>
      </c>
      <c r="D1154" t="s">
        <v>3448</v>
      </c>
      <c r="I1154" t="s">
        <v>135</v>
      </c>
      <c r="K1154" t="s">
        <v>313</v>
      </c>
      <c r="L1154" s="67">
        <v>0.25</v>
      </c>
      <c r="N1154" s="67">
        <v>0</v>
      </c>
      <c r="O1154" s="68">
        <v>45266</v>
      </c>
      <c r="P1154" s="68">
        <v>45266</v>
      </c>
      <c r="Q1154" s="57">
        <v>20498537.527903136</v>
      </c>
      <c r="R1154" t="s">
        <v>2968</v>
      </c>
    </row>
    <row r="1155" spans="1:18">
      <c r="A1155">
        <v>2176</v>
      </c>
      <c r="B1155" t="s">
        <v>3452</v>
      </c>
      <c r="C1155" t="s">
        <v>0</v>
      </c>
      <c r="D1155" t="s">
        <v>3450</v>
      </c>
      <c r="I1155" t="s">
        <v>3451</v>
      </c>
      <c r="J1155">
        <v>110</v>
      </c>
      <c r="K1155" t="s">
        <v>554</v>
      </c>
      <c r="M1155">
        <v>0</v>
      </c>
      <c r="O1155" s="68">
        <v>45267</v>
      </c>
      <c r="P1155" s="68">
        <v>45267</v>
      </c>
      <c r="R1155" t="s">
        <v>2968</v>
      </c>
    </row>
    <row r="1156" spans="1:18">
      <c r="A1156">
        <v>2177</v>
      </c>
      <c r="B1156" t="s">
        <v>3455</v>
      </c>
      <c r="C1156" t="s">
        <v>0</v>
      </c>
      <c r="D1156" t="s">
        <v>3454</v>
      </c>
      <c r="I1156" t="s">
        <v>3453</v>
      </c>
      <c r="K1156" t="s">
        <v>313</v>
      </c>
      <c r="L1156" s="67">
        <v>0.25</v>
      </c>
      <c r="N1156" s="67">
        <v>0</v>
      </c>
      <c r="O1156" s="68">
        <v>45267</v>
      </c>
      <c r="P1156" s="68">
        <v>45267</v>
      </c>
      <c r="Q1156" s="57">
        <v>17209851.009144809</v>
      </c>
      <c r="R1156" t="s">
        <v>2968</v>
      </c>
    </row>
    <row r="1157" spans="1:18">
      <c r="A1157">
        <v>2178</v>
      </c>
      <c r="B1157" t="s">
        <v>3457</v>
      </c>
      <c r="C1157" t="s">
        <v>0</v>
      </c>
      <c r="D1157" t="s">
        <v>3249</v>
      </c>
      <c r="I1157" t="s">
        <v>3456</v>
      </c>
      <c r="K1157" t="s">
        <v>313</v>
      </c>
      <c r="L1157" s="67">
        <v>0.25</v>
      </c>
      <c r="N1157" s="67">
        <v>0</v>
      </c>
      <c r="O1157" s="68">
        <v>45267</v>
      </c>
      <c r="P1157" s="68">
        <v>45267</v>
      </c>
      <c r="Q1157" s="57">
        <v>57180745.822666027</v>
      </c>
      <c r="R1157" t="s">
        <v>2968</v>
      </c>
    </row>
    <row r="1158" spans="1:18">
      <c r="A1158">
        <v>2179</v>
      </c>
      <c r="B1158" t="s">
        <v>3459</v>
      </c>
      <c r="C1158" t="s">
        <v>0</v>
      </c>
      <c r="D1158" t="s">
        <v>3458</v>
      </c>
      <c r="I1158" t="s">
        <v>3026</v>
      </c>
      <c r="J1158">
        <v>110</v>
      </c>
      <c r="K1158" t="s">
        <v>554</v>
      </c>
      <c r="M1158">
        <v>0</v>
      </c>
      <c r="O1158" s="68">
        <v>45267</v>
      </c>
      <c r="P1158" s="68">
        <v>45267</v>
      </c>
      <c r="R1158" t="s">
        <v>2968</v>
      </c>
    </row>
    <row r="1159" spans="1:18">
      <c r="A1159">
        <v>2180</v>
      </c>
      <c r="B1159" t="s">
        <v>3461</v>
      </c>
      <c r="C1159" t="s">
        <v>0</v>
      </c>
      <c r="D1159" t="s">
        <v>3460</v>
      </c>
      <c r="I1159" t="s">
        <v>715</v>
      </c>
      <c r="K1159" t="s">
        <v>313</v>
      </c>
      <c r="L1159" s="67">
        <v>0.25</v>
      </c>
      <c r="N1159" s="67">
        <v>0.03</v>
      </c>
      <c r="O1159" s="68">
        <v>45267</v>
      </c>
      <c r="P1159" s="68">
        <v>45267</v>
      </c>
      <c r="Q1159" s="57">
        <v>24318848.886788405</v>
      </c>
      <c r="R1159" t="s">
        <v>2968</v>
      </c>
    </row>
    <row r="1160" spans="1:18">
      <c r="A1160">
        <v>2181</v>
      </c>
      <c r="B1160" t="s">
        <v>3462</v>
      </c>
      <c r="C1160" t="s">
        <v>0</v>
      </c>
      <c r="D1160" t="s">
        <v>3460</v>
      </c>
      <c r="I1160" t="s">
        <v>715</v>
      </c>
      <c r="K1160" t="s">
        <v>313</v>
      </c>
      <c r="L1160" s="67">
        <v>0.25</v>
      </c>
      <c r="N1160" s="67">
        <v>0.03</v>
      </c>
      <c r="O1160" s="68">
        <v>45267</v>
      </c>
      <c r="P1160" s="68">
        <v>45267</v>
      </c>
      <c r="Q1160" s="57">
        <v>40480353.668714419</v>
      </c>
      <c r="R1160" t="s">
        <v>2968</v>
      </c>
    </row>
    <row r="1161" spans="1:18">
      <c r="A1161">
        <v>2182</v>
      </c>
      <c r="B1161" t="s">
        <v>3463</v>
      </c>
      <c r="C1161" t="s">
        <v>0</v>
      </c>
      <c r="D1161" t="s">
        <v>3460</v>
      </c>
      <c r="I1161" t="s">
        <v>715</v>
      </c>
      <c r="K1161" t="s">
        <v>313</v>
      </c>
      <c r="L1161" s="67">
        <v>0.25</v>
      </c>
      <c r="N1161" s="67">
        <v>0</v>
      </c>
      <c r="O1161" s="68">
        <v>45267</v>
      </c>
      <c r="P1161" s="68">
        <v>45267</v>
      </c>
      <c r="Q1161" s="57">
        <v>23000000.000000004</v>
      </c>
      <c r="R1161" t="s">
        <v>2968</v>
      </c>
    </row>
    <row r="1162" spans="1:18">
      <c r="A1162">
        <v>2183</v>
      </c>
      <c r="B1162" t="s">
        <v>3464</v>
      </c>
      <c r="C1162" t="s">
        <v>0</v>
      </c>
      <c r="D1162" t="s">
        <v>3454</v>
      </c>
      <c r="I1162" t="s">
        <v>3453</v>
      </c>
      <c r="K1162" t="s">
        <v>313</v>
      </c>
      <c r="L1162" s="67">
        <v>0.25</v>
      </c>
      <c r="N1162" s="67">
        <v>0</v>
      </c>
      <c r="O1162" s="68">
        <v>45267</v>
      </c>
      <c r="P1162" s="68">
        <v>45267</v>
      </c>
      <c r="Q1162" s="57">
        <v>86879516.278611019</v>
      </c>
      <c r="R1162" t="s">
        <v>2968</v>
      </c>
    </row>
    <row r="1163" spans="1:18">
      <c r="A1163">
        <v>2184</v>
      </c>
      <c r="B1163" t="s">
        <v>3465</v>
      </c>
      <c r="C1163" t="s">
        <v>0</v>
      </c>
      <c r="D1163" t="s">
        <v>3454</v>
      </c>
      <c r="I1163" t="s">
        <v>3453</v>
      </c>
      <c r="K1163" t="s">
        <v>313</v>
      </c>
      <c r="L1163" s="67">
        <v>0.25</v>
      </c>
      <c r="N1163" s="67">
        <v>0</v>
      </c>
      <c r="O1163" s="68">
        <v>45267</v>
      </c>
      <c r="P1163" s="68">
        <v>45267</v>
      </c>
      <c r="Q1163" s="57">
        <v>31008659.422926638</v>
      </c>
      <c r="R1163" t="s">
        <v>2968</v>
      </c>
    </row>
    <row r="1164" spans="1:18">
      <c r="A1164">
        <v>2185</v>
      </c>
      <c r="B1164" t="s">
        <v>3467</v>
      </c>
      <c r="C1164" t="s">
        <v>0</v>
      </c>
      <c r="D1164" t="s">
        <v>3466</v>
      </c>
      <c r="I1164" t="s">
        <v>1046</v>
      </c>
      <c r="K1164" t="s">
        <v>313</v>
      </c>
      <c r="L1164" s="67">
        <v>0.25</v>
      </c>
      <c r="N1164" s="67">
        <v>0.02</v>
      </c>
      <c r="O1164" s="68">
        <v>45271</v>
      </c>
      <c r="P1164" s="68">
        <v>45271</v>
      </c>
      <c r="Q1164" s="57">
        <v>22752005.735381335</v>
      </c>
      <c r="R1164" t="s">
        <v>2968</v>
      </c>
    </row>
    <row r="1165" spans="1:18">
      <c r="A1165">
        <v>2186</v>
      </c>
      <c r="B1165" t="s">
        <v>3469</v>
      </c>
      <c r="C1165" t="s">
        <v>0</v>
      </c>
      <c r="D1165" t="s">
        <v>3458</v>
      </c>
      <c r="I1165" t="s">
        <v>3026</v>
      </c>
      <c r="J1165">
        <v>110</v>
      </c>
      <c r="K1165" t="s">
        <v>554</v>
      </c>
      <c r="M1165">
        <v>0</v>
      </c>
      <c r="O1165" s="68">
        <v>45271</v>
      </c>
      <c r="P1165" s="68">
        <v>45271</v>
      </c>
      <c r="R1165" t="s">
        <v>2968</v>
      </c>
    </row>
    <row r="1166" spans="1:18">
      <c r="A1166">
        <v>2187</v>
      </c>
      <c r="B1166" t="s">
        <v>3470</v>
      </c>
      <c r="C1166" t="s">
        <v>0</v>
      </c>
      <c r="D1166" t="s">
        <v>3458</v>
      </c>
      <c r="I1166" t="s">
        <v>3026</v>
      </c>
      <c r="J1166">
        <v>110</v>
      </c>
      <c r="K1166" t="s">
        <v>554</v>
      </c>
      <c r="M1166">
        <v>0</v>
      </c>
      <c r="O1166" s="68">
        <v>45271</v>
      </c>
      <c r="P1166" s="68">
        <v>45271</v>
      </c>
      <c r="R1166" t="s">
        <v>2968</v>
      </c>
    </row>
    <row r="1167" spans="1:18">
      <c r="A1167">
        <v>2188</v>
      </c>
      <c r="B1167" t="s">
        <v>3471</v>
      </c>
      <c r="C1167" t="s">
        <v>0</v>
      </c>
      <c r="D1167" t="s">
        <v>2352</v>
      </c>
      <c r="I1167" t="s">
        <v>133</v>
      </c>
      <c r="K1167" t="s">
        <v>313</v>
      </c>
      <c r="L1167" s="67">
        <v>0.25</v>
      </c>
      <c r="N1167" s="67">
        <v>0</v>
      </c>
      <c r="O1167" s="68">
        <v>45271</v>
      </c>
      <c r="P1167" s="68">
        <v>45271</v>
      </c>
      <c r="Q1167" s="57">
        <v>14878201.896166282</v>
      </c>
      <c r="R1167" t="s">
        <v>2968</v>
      </c>
    </row>
    <row r="1168" spans="1:18">
      <c r="A1168">
        <v>2189</v>
      </c>
      <c r="B1168" t="s">
        <v>3473</v>
      </c>
      <c r="C1168" t="s">
        <v>0</v>
      </c>
      <c r="D1168" t="s">
        <v>3472</v>
      </c>
      <c r="I1168" t="s">
        <v>135</v>
      </c>
      <c r="K1168" t="s">
        <v>313</v>
      </c>
      <c r="L1168" s="67">
        <v>0.25</v>
      </c>
      <c r="N1168" s="67">
        <v>0</v>
      </c>
      <c r="O1168" s="68">
        <v>45271</v>
      </c>
      <c r="P1168" s="68">
        <v>45271</v>
      </c>
      <c r="Q1168" s="57">
        <v>79007830.8976015</v>
      </c>
      <c r="R1168" t="s">
        <v>2968</v>
      </c>
    </row>
    <row r="1169" spans="1:18">
      <c r="A1169">
        <v>2190</v>
      </c>
      <c r="B1169" t="s">
        <v>3474</v>
      </c>
      <c r="C1169" t="s">
        <v>0</v>
      </c>
      <c r="D1169" t="s">
        <v>3458</v>
      </c>
      <c r="I1169" t="s">
        <v>3026</v>
      </c>
      <c r="J1169">
        <v>110</v>
      </c>
      <c r="K1169" t="s">
        <v>554</v>
      </c>
      <c r="M1169">
        <v>0</v>
      </c>
      <c r="O1169" s="68">
        <v>45271</v>
      </c>
      <c r="P1169" s="68">
        <v>45271</v>
      </c>
      <c r="R1169" t="s">
        <v>2968</v>
      </c>
    </row>
    <row r="1170" spans="1:18">
      <c r="A1170">
        <v>2191</v>
      </c>
      <c r="B1170" t="s">
        <v>3476</v>
      </c>
      <c r="C1170" t="s">
        <v>0</v>
      </c>
      <c r="D1170" t="s">
        <v>777</v>
      </c>
      <c r="I1170" t="s">
        <v>3475</v>
      </c>
      <c r="J1170">
        <v>110</v>
      </c>
      <c r="K1170" t="s">
        <v>554</v>
      </c>
      <c r="M1170">
        <v>0</v>
      </c>
      <c r="O1170" s="68">
        <v>45271</v>
      </c>
      <c r="P1170" s="68">
        <v>45271</v>
      </c>
      <c r="R1170" t="s">
        <v>2968</v>
      </c>
    </row>
    <row r="1171" spans="1:18">
      <c r="A1171">
        <v>2192</v>
      </c>
      <c r="B1171" t="s">
        <v>3478</v>
      </c>
      <c r="C1171" t="s">
        <v>0</v>
      </c>
      <c r="D1171" t="s">
        <v>3477</v>
      </c>
      <c r="I1171" t="s">
        <v>135</v>
      </c>
      <c r="K1171" t="s">
        <v>313</v>
      </c>
      <c r="L1171" s="67">
        <v>0.25</v>
      </c>
      <c r="N1171" s="67">
        <v>0.01</v>
      </c>
      <c r="O1171" s="68">
        <v>45271</v>
      </c>
      <c r="P1171" s="68">
        <v>45271</v>
      </c>
      <c r="Q1171" s="57">
        <v>24602455.219074298</v>
      </c>
      <c r="R1171" t="s">
        <v>2968</v>
      </c>
    </row>
    <row r="1172" spans="1:18">
      <c r="A1172">
        <v>2193</v>
      </c>
      <c r="B1172" t="s">
        <v>3480</v>
      </c>
      <c r="C1172" t="s">
        <v>0</v>
      </c>
      <c r="D1172" t="s">
        <v>3479</v>
      </c>
      <c r="I1172" t="s">
        <v>1915</v>
      </c>
      <c r="K1172" t="s">
        <v>313</v>
      </c>
      <c r="L1172" s="67">
        <v>0.25</v>
      </c>
      <c r="N1172" s="67">
        <v>0</v>
      </c>
      <c r="O1172" s="68">
        <v>45271</v>
      </c>
      <c r="P1172" s="68">
        <v>45271</v>
      </c>
      <c r="Q1172" s="57">
        <v>105230656.91440871</v>
      </c>
      <c r="R1172" t="s">
        <v>2968</v>
      </c>
    </row>
    <row r="1173" spans="1:18">
      <c r="A1173">
        <v>2194</v>
      </c>
      <c r="B1173" t="s">
        <v>3482</v>
      </c>
      <c r="C1173" t="s">
        <v>0</v>
      </c>
      <c r="D1173" t="s">
        <v>3481</v>
      </c>
      <c r="I1173" t="s">
        <v>1915</v>
      </c>
      <c r="K1173" t="s">
        <v>313</v>
      </c>
      <c r="L1173" s="67">
        <v>0.25</v>
      </c>
      <c r="N1173" s="67">
        <v>0</v>
      </c>
      <c r="O1173" s="68">
        <v>45272</v>
      </c>
      <c r="P1173" s="68">
        <v>45272</v>
      </c>
      <c r="Q1173" s="57">
        <v>27055802.870836414</v>
      </c>
      <c r="R1173" t="s">
        <v>2968</v>
      </c>
    </row>
    <row r="1174" spans="1:18">
      <c r="A1174">
        <v>2195</v>
      </c>
      <c r="B1174" t="s">
        <v>3483</v>
      </c>
      <c r="C1174" t="s">
        <v>0</v>
      </c>
      <c r="D1174" t="s">
        <v>1370</v>
      </c>
      <c r="I1174" t="s">
        <v>3453</v>
      </c>
      <c r="K1174" t="s">
        <v>313</v>
      </c>
      <c r="L1174" s="67">
        <v>0.25</v>
      </c>
      <c r="N1174" s="67">
        <v>0</v>
      </c>
      <c r="O1174" s="68">
        <v>45272</v>
      </c>
      <c r="P1174" s="68">
        <v>45272</v>
      </c>
      <c r="Q1174" s="57">
        <v>55339688.402380317</v>
      </c>
      <c r="R1174" t="s">
        <v>2968</v>
      </c>
    </row>
    <row r="1175" spans="1:18">
      <c r="A1175">
        <v>2196</v>
      </c>
      <c r="B1175" t="s">
        <v>3486</v>
      </c>
      <c r="C1175" t="s">
        <v>0</v>
      </c>
      <c r="D1175" t="s">
        <v>3485</v>
      </c>
      <c r="I1175" t="s">
        <v>3484</v>
      </c>
      <c r="K1175" t="s">
        <v>313</v>
      </c>
      <c r="L1175" s="67">
        <v>0.25</v>
      </c>
      <c r="N1175" s="67">
        <v>0</v>
      </c>
      <c r="O1175" s="68">
        <v>45272</v>
      </c>
      <c r="P1175" s="68">
        <v>45272</v>
      </c>
      <c r="Q1175" s="57">
        <v>14803934.736818669</v>
      </c>
      <c r="R1175" t="s">
        <v>2968</v>
      </c>
    </row>
    <row r="1176" spans="1:18">
      <c r="A1176">
        <v>2197</v>
      </c>
      <c r="B1176" t="s">
        <v>3489</v>
      </c>
      <c r="C1176" t="s">
        <v>0</v>
      </c>
      <c r="D1176" t="s">
        <v>3488</v>
      </c>
      <c r="I1176" t="s">
        <v>3487</v>
      </c>
      <c r="K1176" t="s">
        <v>313</v>
      </c>
      <c r="L1176" s="67">
        <v>0.25</v>
      </c>
      <c r="N1176" s="67">
        <v>0</v>
      </c>
      <c r="O1176" s="68">
        <v>45272</v>
      </c>
      <c r="P1176" s="68">
        <v>45272</v>
      </c>
      <c r="Q1176" s="57">
        <v>52074613.743308201</v>
      </c>
      <c r="R1176" t="s">
        <v>2968</v>
      </c>
    </row>
    <row r="1177" spans="1:18">
      <c r="A1177">
        <v>2198</v>
      </c>
      <c r="B1177" t="s">
        <v>3491</v>
      </c>
      <c r="C1177" t="s">
        <v>0</v>
      </c>
      <c r="D1177" t="s">
        <v>3490</v>
      </c>
      <c r="I1177" t="s">
        <v>135</v>
      </c>
      <c r="K1177" t="s">
        <v>313</v>
      </c>
      <c r="L1177" s="67">
        <v>0.25</v>
      </c>
      <c r="N1177" s="67">
        <v>0</v>
      </c>
      <c r="O1177" s="68">
        <v>45272</v>
      </c>
      <c r="P1177" s="68">
        <v>45272</v>
      </c>
      <c r="Q1177" s="57">
        <v>58311035.101324864</v>
      </c>
      <c r="R1177" t="s">
        <v>2968</v>
      </c>
    </row>
    <row r="1178" spans="1:18">
      <c r="A1178">
        <v>2199</v>
      </c>
      <c r="B1178" t="s">
        <v>3493</v>
      </c>
      <c r="C1178" t="s">
        <v>0</v>
      </c>
      <c r="D1178" t="s">
        <v>3492</v>
      </c>
      <c r="I1178" t="s">
        <v>1046</v>
      </c>
      <c r="K1178" t="s">
        <v>313</v>
      </c>
      <c r="L1178" s="67">
        <v>0.25</v>
      </c>
      <c r="N1178" s="67">
        <v>0.02</v>
      </c>
      <c r="O1178" s="68">
        <v>45273</v>
      </c>
      <c r="P1178" s="68">
        <v>45273</v>
      </c>
      <c r="Q1178" s="57">
        <v>22752005.735381335</v>
      </c>
      <c r="R1178" t="s">
        <v>2968</v>
      </c>
    </row>
    <row r="1179" spans="1:18">
      <c r="A1179">
        <v>2200</v>
      </c>
      <c r="B1179" t="s">
        <v>3495</v>
      </c>
      <c r="C1179" t="s">
        <v>0</v>
      </c>
      <c r="D1179" t="s">
        <v>3494</v>
      </c>
      <c r="I1179" t="s">
        <v>135</v>
      </c>
      <c r="K1179" t="s">
        <v>313</v>
      </c>
      <c r="L1179" s="67">
        <v>0.25</v>
      </c>
      <c r="N1179" s="67">
        <v>0</v>
      </c>
      <c r="O1179" s="68">
        <v>45273</v>
      </c>
      <c r="P1179" s="68">
        <v>45273</v>
      </c>
      <c r="Q1179" s="57">
        <v>24334324.310610402</v>
      </c>
      <c r="R1179" t="s">
        <v>2968</v>
      </c>
    </row>
    <row r="1180" spans="1:18">
      <c r="A1180">
        <v>2201</v>
      </c>
      <c r="B1180" t="s">
        <v>3497</v>
      </c>
      <c r="C1180" t="s">
        <v>0</v>
      </c>
      <c r="D1180" t="s">
        <v>3496</v>
      </c>
      <c r="I1180" t="s">
        <v>135</v>
      </c>
      <c r="K1180" t="s">
        <v>313</v>
      </c>
      <c r="L1180" s="67">
        <v>0.25</v>
      </c>
      <c r="N1180" s="67">
        <v>0</v>
      </c>
      <c r="O1180" s="68">
        <v>45273</v>
      </c>
      <c r="P1180" s="68">
        <v>45273</v>
      </c>
      <c r="Q1180" s="57">
        <v>31786042.579400372</v>
      </c>
      <c r="R1180" t="s">
        <v>2968</v>
      </c>
    </row>
    <row r="1181" spans="1:18">
      <c r="A1181">
        <v>2202</v>
      </c>
      <c r="B1181" t="s">
        <v>3499</v>
      </c>
      <c r="C1181" t="s">
        <v>0</v>
      </c>
      <c r="D1181" t="s">
        <v>3498</v>
      </c>
      <c r="I1181" t="s">
        <v>1610</v>
      </c>
      <c r="K1181" t="s">
        <v>313</v>
      </c>
      <c r="L1181" s="67">
        <v>0.25</v>
      </c>
      <c r="N1181" s="67">
        <v>0</v>
      </c>
      <c r="O1181" s="68">
        <v>45273</v>
      </c>
      <c r="P1181" s="68">
        <v>45273</v>
      </c>
      <c r="Q1181" s="57">
        <v>22259606.022743937</v>
      </c>
      <c r="R1181" t="s">
        <v>2968</v>
      </c>
    </row>
    <row r="1182" spans="1:18">
      <c r="A1182">
        <v>2203</v>
      </c>
      <c r="B1182" t="s">
        <v>3501</v>
      </c>
      <c r="C1182" t="s">
        <v>0</v>
      </c>
      <c r="D1182" t="s">
        <v>3500</v>
      </c>
      <c r="I1182" t="s">
        <v>135</v>
      </c>
      <c r="K1182" t="s">
        <v>313</v>
      </c>
      <c r="L1182" s="67">
        <v>0.25</v>
      </c>
      <c r="N1182" s="67">
        <v>0</v>
      </c>
      <c r="O1182" s="68">
        <v>45274</v>
      </c>
      <c r="P1182" s="68">
        <v>45274</v>
      </c>
      <c r="Q1182" s="57">
        <v>31786042.579400372</v>
      </c>
      <c r="R1182" t="s">
        <v>2968</v>
      </c>
    </row>
    <row r="1183" spans="1:18">
      <c r="A1183">
        <v>2204</v>
      </c>
      <c r="B1183" t="s">
        <v>3503</v>
      </c>
      <c r="C1183" t="s">
        <v>0</v>
      </c>
      <c r="D1183" t="s">
        <v>3502</v>
      </c>
      <c r="I1183" t="s">
        <v>1069</v>
      </c>
      <c r="K1183" t="s">
        <v>313</v>
      </c>
      <c r="L1183" s="67">
        <v>0.25</v>
      </c>
      <c r="N1183" s="67">
        <v>0</v>
      </c>
      <c r="O1183" s="68">
        <v>45274</v>
      </c>
      <c r="P1183" s="68">
        <v>45274</v>
      </c>
      <c r="Q1183" s="57">
        <v>17169784.342478141</v>
      </c>
      <c r="R1183" t="s">
        <v>2968</v>
      </c>
    </row>
    <row r="1184" spans="1:18">
      <c r="A1184">
        <v>2205</v>
      </c>
      <c r="B1184" t="s">
        <v>3504</v>
      </c>
      <c r="C1184" t="s">
        <v>0</v>
      </c>
      <c r="D1184" t="s">
        <v>3502</v>
      </c>
      <c r="I1184" t="s">
        <v>1069</v>
      </c>
      <c r="K1184" t="s">
        <v>313</v>
      </c>
      <c r="L1184" s="67">
        <v>0.25</v>
      </c>
      <c r="N1184" s="67">
        <v>0</v>
      </c>
      <c r="O1184" s="68">
        <v>45274</v>
      </c>
      <c r="P1184" s="68">
        <v>45274</v>
      </c>
      <c r="Q1184" s="57">
        <v>17209851.009144809</v>
      </c>
      <c r="R1184" t="s">
        <v>2968</v>
      </c>
    </row>
    <row r="1185" spans="1:18">
      <c r="A1185">
        <v>2206</v>
      </c>
      <c r="B1185" t="s">
        <v>3506</v>
      </c>
      <c r="C1185" t="s">
        <v>0</v>
      </c>
      <c r="D1185" t="s">
        <v>3505</v>
      </c>
      <c r="I1185" t="s">
        <v>2215</v>
      </c>
      <c r="K1185" t="s">
        <v>313</v>
      </c>
      <c r="L1185" s="67">
        <v>0.25</v>
      </c>
      <c r="N1185" s="67">
        <v>0</v>
      </c>
      <c r="O1185" s="68">
        <v>45280</v>
      </c>
      <c r="P1185" s="68">
        <v>45280</v>
      </c>
      <c r="Q1185" s="57">
        <v>31763833.77660856</v>
      </c>
      <c r="R1185" t="s">
        <v>2968</v>
      </c>
    </row>
    <row r="1186" spans="1:18">
      <c r="A1186">
        <v>2207</v>
      </c>
      <c r="B1186" t="s">
        <v>3508</v>
      </c>
      <c r="C1186" t="s">
        <v>0</v>
      </c>
      <c r="D1186" t="s">
        <v>3507</v>
      </c>
      <c r="I1186" t="s">
        <v>1069</v>
      </c>
      <c r="K1186" t="s">
        <v>313</v>
      </c>
      <c r="L1186" s="67">
        <v>0.25</v>
      </c>
      <c r="N1186" s="67">
        <v>0</v>
      </c>
      <c r="O1186" s="68">
        <v>45281</v>
      </c>
      <c r="P1186" s="68">
        <v>45281</v>
      </c>
      <c r="Q1186" s="57">
        <v>17209851.009144809</v>
      </c>
      <c r="R1186" t="s">
        <v>2968</v>
      </c>
    </row>
    <row r="1187" spans="1:18">
      <c r="A1187">
        <v>2208</v>
      </c>
      <c r="B1187" t="s">
        <v>3510</v>
      </c>
      <c r="C1187" t="s">
        <v>0</v>
      </c>
      <c r="D1187" t="s">
        <v>3509</v>
      </c>
      <c r="I1187" t="s">
        <v>1915</v>
      </c>
      <c r="K1187" t="s">
        <v>313</v>
      </c>
      <c r="L1187" s="67">
        <v>0.25</v>
      </c>
      <c r="N1187" s="67">
        <v>0</v>
      </c>
      <c r="O1187" s="68">
        <v>45281</v>
      </c>
      <c r="P1187" s="68">
        <v>45281</v>
      </c>
      <c r="Q1187" s="57">
        <v>24708969.013576999</v>
      </c>
      <c r="R1187" t="s">
        <v>2968</v>
      </c>
    </row>
    <row r="1188" spans="1:18">
      <c r="A1188">
        <v>2209</v>
      </c>
      <c r="B1188" t="s">
        <v>3511</v>
      </c>
      <c r="C1188" t="s">
        <v>0</v>
      </c>
      <c r="D1188" t="s">
        <v>3509</v>
      </c>
      <c r="I1188" t="s">
        <v>1915</v>
      </c>
      <c r="K1188" t="s">
        <v>313</v>
      </c>
      <c r="L1188" s="67">
        <v>0.25</v>
      </c>
      <c r="N1188" s="67">
        <v>0</v>
      </c>
      <c r="O1188" s="68">
        <v>45281</v>
      </c>
      <c r="P1188" s="68">
        <v>45281</v>
      </c>
      <c r="Q1188" s="57">
        <v>1828655001.8407142</v>
      </c>
      <c r="R1188" t="s">
        <v>2968</v>
      </c>
    </row>
    <row r="1189" spans="1:18">
      <c r="A1189">
        <v>2210</v>
      </c>
      <c r="B1189" t="s">
        <v>3513</v>
      </c>
      <c r="C1189" t="s">
        <v>0</v>
      </c>
      <c r="D1189" t="s">
        <v>3512</v>
      </c>
      <c r="I1189" t="s">
        <v>135</v>
      </c>
      <c r="K1189" t="s">
        <v>313</v>
      </c>
      <c r="L1189" s="67">
        <v>0.25</v>
      </c>
      <c r="N1189" s="67">
        <v>0</v>
      </c>
      <c r="O1189" s="68">
        <v>45281</v>
      </c>
      <c r="P1189" s="68">
        <v>45281</v>
      </c>
      <c r="Q1189" s="57">
        <v>23870772.435694646</v>
      </c>
      <c r="R1189" t="s">
        <v>2968</v>
      </c>
    </row>
    <row r="1190" spans="1:18">
      <c r="A1190">
        <v>2211</v>
      </c>
      <c r="B1190" t="s">
        <v>3514</v>
      </c>
      <c r="C1190" t="s">
        <v>0</v>
      </c>
      <c r="D1190" t="s">
        <v>3512</v>
      </c>
      <c r="I1190" t="s">
        <v>135</v>
      </c>
      <c r="K1190" t="s">
        <v>313</v>
      </c>
      <c r="L1190" s="67">
        <v>0.25</v>
      </c>
      <c r="N1190" s="67">
        <v>0</v>
      </c>
      <c r="O1190" s="68">
        <v>45281</v>
      </c>
      <c r="P1190" s="68">
        <v>45281</v>
      </c>
      <c r="Q1190" s="57">
        <v>155450352.0651553</v>
      </c>
      <c r="R1190" t="s">
        <v>2968</v>
      </c>
    </row>
    <row r="1191" spans="1:18">
      <c r="A1191">
        <v>2212</v>
      </c>
      <c r="B1191" t="s">
        <v>3516</v>
      </c>
      <c r="C1191" t="s">
        <v>0</v>
      </c>
      <c r="D1191" t="s">
        <v>3515</v>
      </c>
      <c r="I1191" t="s">
        <v>817</v>
      </c>
      <c r="K1191" t="s">
        <v>313</v>
      </c>
      <c r="L1191" s="67">
        <v>0.25</v>
      </c>
      <c r="N1191" s="67">
        <v>0.05</v>
      </c>
      <c r="O1191" s="68">
        <v>45281</v>
      </c>
      <c r="P1191" s="68">
        <v>45281</v>
      </c>
      <c r="Q1191" s="57">
        <v>151496237.45253992</v>
      </c>
      <c r="R1191" t="s">
        <v>2968</v>
      </c>
    </row>
    <row r="1192" spans="1:18">
      <c r="A1192">
        <v>2213</v>
      </c>
      <c r="B1192" t="s">
        <v>3518</v>
      </c>
      <c r="C1192" t="s">
        <v>0</v>
      </c>
      <c r="D1192" t="s">
        <v>3517</v>
      </c>
      <c r="I1192" t="s">
        <v>135</v>
      </c>
      <c r="K1192" t="s">
        <v>313</v>
      </c>
      <c r="L1192" s="67">
        <v>0.25</v>
      </c>
      <c r="N1192" s="67">
        <v>0</v>
      </c>
      <c r="O1192" s="68">
        <v>45281</v>
      </c>
      <c r="P1192" s="68">
        <v>45281</v>
      </c>
      <c r="Q1192" s="57">
        <v>25547046.08408431</v>
      </c>
      <c r="R1192" t="s">
        <v>2968</v>
      </c>
    </row>
    <row r="1193" spans="1:18">
      <c r="A1193">
        <v>2214</v>
      </c>
      <c r="B1193" t="s">
        <v>3519</v>
      </c>
      <c r="C1193" t="s">
        <v>0</v>
      </c>
      <c r="D1193" t="s">
        <v>3517</v>
      </c>
      <c r="I1193" t="s">
        <v>135</v>
      </c>
      <c r="K1193" t="s">
        <v>313</v>
      </c>
      <c r="L1193" s="67">
        <v>0.25</v>
      </c>
      <c r="N1193" s="67">
        <v>0</v>
      </c>
      <c r="O1193" s="68">
        <v>45281</v>
      </c>
      <c r="P1193" s="68">
        <v>45281</v>
      </c>
      <c r="Q1193" s="57">
        <v>24144441.930179104</v>
      </c>
      <c r="R1193" t="s">
        <v>2968</v>
      </c>
    </row>
    <row r="1194" spans="1:18">
      <c r="A1194">
        <v>2215</v>
      </c>
      <c r="B1194" t="s">
        <v>3521</v>
      </c>
      <c r="C1194" t="s">
        <v>0</v>
      </c>
      <c r="D1194" t="s">
        <v>3520</v>
      </c>
      <c r="I1194" t="s">
        <v>135</v>
      </c>
      <c r="K1194" t="s">
        <v>313</v>
      </c>
      <c r="L1194" s="67">
        <v>0.25</v>
      </c>
      <c r="N1194" s="67">
        <v>0</v>
      </c>
      <c r="O1194" s="68">
        <v>45281</v>
      </c>
      <c r="P1194" s="68">
        <v>45281</v>
      </c>
      <c r="Q1194" s="57">
        <v>25634317.344588511</v>
      </c>
      <c r="R1194" t="s">
        <v>2968</v>
      </c>
    </row>
    <row r="1195" spans="1:18">
      <c r="A1195">
        <v>2216</v>
      </c>
      <c r="B1195" t="s">
        <v>3522</v>
      </c>
      <c r="C1195" t="s">
        <v>0</v>
      </c>
      <c r="D1195" t="s">
        <v>3520</v>
      </c>
      <c r="I1195" t="s">
        <v>135</v>
      </c>
      <c r="K1195" t="s">
        <v>313</v>
      </c>
      <c r="L1195" s="67">
        <v>0.25</v>
      </c>
      <c r="N1195" s="67">
        <v>0</v>
      </c>
      <c r="O1195" s="68">
        <v>45281</v>
      </c>
      <c r="P1195" s="68">
        <v>45281</v>
      </c>
      <c r="Q1195" s="57">
        <v>24217918.232700113</v>
      </c>
      <c r="R1195" t="s">
        <v>2968</v>
      </c>
    </row>
    <row r="1196" spans="1:18">
      <c r="A1196">
        <v>2217</v>
      </c>
      <c r="B1196" t="s">
        <v>3525</v>
      </c>
      <c r="C1196" t="s">
        <v>0</v>
      </c>
      <c r="D1196" t="s">
        <v>3523</v>
      </c>
      <c r="I1196" t="s">
        <v>3524</v>
      </c>
      <c r="K1196" t="s">
        <v>313</v>
      </c>
      <c r="L1196" s="67">
        <v>0.25</v>
      </c>
      <c r="N1196" s="67">
        <v>0</v>
      </c>
      <c r="O1196" s="68">
        <v>45281</v>
      </c>
      <c r="P1196" s="68">
        <v>45281</v>
      </c>
      <c r="Q1196" s="57">
        <v>24551561.957669221</v>
      </c>
      <c r="R1196" t="s">
        <v>2968</v>
      </c>
    </row>
    <row r="1197" spans="1:18">
      <c r="A1197">
        <v>2218</v>
      </c>
      <c r="B1197" t="s">
        <v>3526</v>
      </c>
      <c r="C1197" t="s">
        <v>0</v>
      </c>
      <c r="D1197" t="s">
        <v>3520</v>
      </c>
      <c r="I1197" t="s">
        <v>135</v>
      </c>
      <c r="K1197" t="s">
        <v>313</v>
      </c>
      <c r="L1197" s="67">
        <v>0.25</v>
      </c>
      <c r="N1197" s="67">
        <v>0</v>
      </c>
      <c r="O1197" s="68">
        <v>45281</v>
      </c>
      <c r="P1197" s="68">
        <v>45281</v>
      </c>
      <c r="Q1197" s="57">
        <v>24976906.378321614</v>
      </c>
      <c r="R1197" t="s">
        <v>2968</v>
      </c>
    </row>
    <row r="1198" spans="1:18">
      <c r="A1198">
        <v>2219</v>
      </c>
      <c r="B1198" t="s">
        <v>3527</v>
      </c>
      <c r="C1198" t="s">
        <v>0</v>
      </c>
      <c r="D1198" t="s">
        <v>3520</v>
      </c>
      <c r="I1198" t="s">
        <v>135</v>
      </c>
      <c r="K1198" t="s">
        <v>313</v>
      </c>
      <c r="L1198" s="67">
        <v>0.25</v>
      </c>
      <c r="N1198" s="67">
        <v>0</v>
      </c>
      <c r="O1198" s="68">
        <v>45281</v>
      </c>
      <c r="P1198" s="68">
        <v>45281</v>
      </c>
      <c r="Q1198" s="57">
        <v>30310477.460006442</v>
      </c>
      <c r="R1198" t="s">
        <v>2968</v>
      </c>
    </row>
    <row r="1199" spans="1:18">
      <c r="A1199">
        <v>2220</v>
      </c>
      <c r="B1199" t="s">
        <v>3529</v>
      </c>
      <c r="C1199" t="s">
        <v>0</v>
      </c>
      <c r="D1199" t="s">
        <v>3528</v>
      </c>
      <c r="I1199" t="s">
        <v>1915</v>
      </c>
      <c r="K1199" t="s">
        <v>313</v>
      </c>
      <c r="L1199" s="67">
        <v>0.25</v>
      </c>
      <c r="N1199" s="67">
        <v>0</v>
      </c>
      <c r="O1199" s="68">
        <v>45282</v>
      </c>
      <c r="P1199" s="68">
        <v>45282</v>
      </c>
      <c r="Q1199" s="57">
        <v>61453157.883434065</v>
      </c>
      <c r="R1199" t="s">
        <v>2968</v>
      </c>
    </row>
    <row r="1200" spans="1:18">
      <c r="A1200">
        <v>2221</v>
      </c>
      <c r="B1200" t="s">
        <v>3531</v>
      </c>
      <c r="C1200" t="s">
        <v>0</v>
      </c>
      <c r="D1200" t="s">
        <v>3530</v>
      </c>
      <c r="I1200" t="s">
        <v>135</v>
      </c>
      <c r="K1200" t="s">
        <v>313</v>
      </c>
      <c r="L1200" s="67">
        <v>0.25</v>
      </c>
      <c r="N1200" s="67">
        <v>0</v>
      </c>
      <c r="O1200" s="68">
        <v>45282</v>
      </c>
      <c r="P1200" s="68">
        <v>45282</v>
      </c>
      <c r="Q1200" s="57">
        <v>34881585.353448816</v>
      </c>
      <c r="R1200" t="s">
        <v>2968</v>
      </c>
    </row>
    <row r="1201" spans="1:18">
      <c r="A1201">
        <v>2222</v>
      </c>
      <c r="B1201" t="s">
        <v>3532</v>
      </c>
      <c r="C1201" t="s">
        <v>0</v>
      </c>
      <c r="D1201" t="s">
        <v>3530</v>
      </c>
      <c r="I1201" t="s">
        <v>135</v>
      </c>
      <c r="K1201" t="s">
        <v>313</v>
      </c>
      <c r="L1201" s="67">
        <v>0.25</v>
      </c>
      <c r="N1201" s="67">
        <v>0</v>
      </c>
      <c r="O1201" s="68">
        <v>45282</v>
      </c>
      <c r="P1201" s="68">
        <v>45282</v>
      </c>
      <c r="Q1201" s="57">
        <v>34881585.353448816</v>
      </c>
      <c r="R1201" t="s">
        <v>2968</v>
      </c>
    </row>
    <row r="1202" spans="1:18">
      <c r="A1202">
        <v>2223</v>
      </c>
      <c r="B1202" t="s">
        <v>3534</v>
      </c>
      <c r="C1202" t="s">
        <v>0</v>
      </c>
      <c r="D1202" t="s">
        <v>3533</v>
      </c>
      <c r="I1202" t="s">
        <v>135</v>
      </c>
      <c r="K1202" t="s">
        <v>313</v>
      </c>
      <c r="L1202" s="67">
        <v>0.25</v>
      </c>
      <c r="N1202" s="67">
        <v>0</v>
      </c>
      <c r="O1202" s="68">
        <v>45282</v>
      </c>
      <c r="P1202" s="68">
        <v>45282</v>
      </c>
      <c r="Q1202" s="57">
        <v>23602657.64102798</v>
      </c>
      <c r="R1202" t="s">
        <v>2968</v>
      </c>
    </row>
    <row r="1203" spans="1:18">
      <c r="A1203">
        <v>2224</v>
      </c>
      <c r="B1203" t="s">
        <v>3537</v>
      </c>
      <c r="C1203" t="s">
        <v>0</v>
      </c>
      <c r="D1203" t="s">
        <v>3535</v>
      </c>
      <c r="I1203" t="s">
        <v>3536</v>
      </c>
      <c r="K1203" t="s">
        <v>313</v>
      </c>
      <c r="L1203" s="67">
        <v>0.25</v>
      </c>
      <c r="N1203" s="67">
        <v>0</v>
      </c>
      <c r="O1203" s="68">
        <v>45282</v>
      </c>
      <c r="P1203" s="68">
        <v>45282</v>
      </c>
      <c r="Q1203" s="57">
        <v>13252544.462985914</v>
      </c>
      <c r="R1203" t="s">
        <v>2968</v>
      </c>
    </row>
    <row r="1204" spans="1:18">
      <c r="A1204">
        <v>2225</v>
      </c>
      <c r="B1204" t="s">
        <v>3539</v>
      </c>
      <c r="C1204" t="s">
        <v>0</v>
      </c>
      <c r="D1204" t="s">
        <v>3538</v>
      </c>
      <c r="I1204" t="s">
        <v>715</v>
      </c>
      <c r="K1204" t="s">
        <v>313</v>
      </c>
      <c r="L1204" s="67">
        <v>0.25</v>
      </c>
      <c r="N1204" s="67">
        <v>0</v>
      </c>
      <c r="O1204" s="68">
        <v>45293</v>
      </c>
      <c r="P1204" s="68">
        <v>45293</v>
      </c>
      <c r="Q1204" s="57">
        <v>13046036.585558167</v>
      </c>
      <c r="R1204" t="s">
        <v>2968</v>
      </c>
    </row>
    <row r="1205" spans="1:18">
      <c r="A1205">
        <v>2226</v>
      </c>
      <c r="B1205" t="s">
        <v>3541</v>
      </c>
      <c r="C1205" t="s">
        <v>0</v>
      </c>
      <c r="D1205" t="s">
        <v>3540</v>
      </c>
      <c r="I1205" t="s">
        <v>135</v>
      </c>
      <c r="K1205" t="s">
        <v>313</v>
      </c>
      <c r="L1205" s="67">
        <v>0.25</v>
      </c>
      <c r="N1205" s="67">
        <v>0</v>
      </c>
      <c r="O1205" s="68">
        <v>45293</v>
      </c>
      <c r="P1205" s="68">
        <v>45293</v>
      </c>
      <c r="Q1205" s="57">
        <v>16560501.653402505</v>
      </c>
      <c r="R1205" t="s">
        <v>2968</v>
      </c>
    </row>
    <row r="1206" spans="1:18">
      <c r="A1206">
        <v>2227</v>
      </c>
      <c r="B1206" t="s">
        <v>3543</v>
      </c>
      <c r="C1206" t="s">
        <v>0</v>
      </c>
      <c r="D1206" t="s">
        <v>3542</v>
      </c>
      <c r="I1206" t="s">
        <v>1272</v>
      </c>
      <c r="J1206">
        <v>110</v>
      </c>
      <c r="K1206" t="s">
        <v>554</v>
      </c>
      <c r="M1206">
        <v>0</v>
      </c>
      <c r="O1206" s="68">
        <v>45293</v>
      </c>
      <c r="P1206" s="68">
        <v>45293</v>
      </c>
      <c r="R1206" t="s">
        <v>2968</v>
      </c>
    </row>
    <row r="1207" spans="1:18">
      <c r="A1207">
        <v>2228</v>
      </c>
      <c r="B1207" t="s">
        <v>3546</v>
      </c>
      <c r="C1207" t="s">
        <v>0</v>
      </c>
      <c r="D1207" t="s">
        <v>3544</v>
      </c>
      <c r="I1207" t="s">
        <v>3545</v>
      </c>
      <c r="K1207" t="s">
        <v>313</v>
      </c>
      <c r="L1207" s="67">
        <v>0.25</v>
      </c>
      <c r="N1207" s="67">
        <v>0.01</v>
      </c>
      <c r="O1207" s="68">
        <v>45293</v>
      </c>
      <c r="P1207" s="68">
        <v>45293</v>
      </c>
      <c r="Q1207" s="57">
        <v>109570315.83228177</v>
      </c>
      <c r="R1207" t="s">
        <v>2968</v>
      </c>
    </row>
    <row r="1208" spans="1:18">
      <c r="A1208">
        <v>2229</v>
      </c>
      <c r="B1208" t="s">
        <v>3548</v>
      </c>
      <c r="C1208" t="s">
        <v>0</v>
      </c>
      <c r="D1208" t="s">
        <v>3547</v>
      </c>
      <c r="I1208" t="s">
        <v>3545</v>
      </c>
      <c r="K1208" t="s">
        <v>313</v>
      </c>
      <c r="L1208" s="67">
        <v>0.25</v>
      </c>
      <c r="N1208" s="67">
        <v>0.01</v>
      </c>
      <c r="O1208" s="68">
        <v>45293</v>
      </c>
      <c r="P1208" s="68">
        <v>45293</v>
      </c>
      <c r="Q1208" s="57">
        <v>20704633.672197625</v>
      </c>
      <c r="R1208" t="s">
        <v>2968</v>
      </c>
    </row>
    <row r="1209" spans="1:18">
      <c r="A1209">
        <v>2230</v>
      </c>
      <c r="B1209" t="s">
        <v>3551</v>
      </c>
      <c r="C1209" t="s">
        <v>0</v>
      </c>
      <c r="D1209" t="s">
        <v>3550</v>
      </c>
      <c r="I1209" t="s">
        <v>3549</v>
      </c>
      <c r="K1209" t="s">
        <v>313</v>
      </c>
      <c r="L1209" s="67">
        <v>0.25</v>
      </c>
      <c r="N1209" s="67">
        <v>0</v>
      </c>
      <c r="O1209" s="68">
        <v>45294</v>
      </c>
      <c r="P1209" s="68">
        <v>45294</v>
      </c>
      <c r="Q1209" s="57">
        <v>13177162.665821252</v>
      </c>
      <c r="R1209" t="s">
        <v>2968</v>
      </c>
    </row>
    <row r="1210" spans="1:18">
      <c r="A1210">
        <v>2231</v>
      </c>
      <c r="B1210" t="s">
        <v>3554</v>
      </c>
      <c r="C1210" t="s">
        <v>0</v>
      </c>
      <c r="D1210" t="s">
        <v>3552</v>
      </c>
      <c r="E1210" t="s">
        <v>3553</v>
      </c>
      <c r="I1210" t="s">
        <v>3549</v>
      </c>
      <c r="K1210" t="s">
        <v>313</v>
      </c>
      <c r="L1210" s="67">
        <v>0.25</v>
      </c>
      <c r="N1210" s="67">
        <v>0</v>
      </c>
      <c r="O1210" s="68">
        <v>45294</v>
      </c>
      <c r="P1210" s="68">
        <v>45294</v>
      </c>
      <c r="Q1210" s="57">
        <v>20648369.720222924</v>
      </c>
      <c r="R1210" t="s">
        <v>2968</v>
      </c>
    </row>
    <row r="1211" spans="1:18">
      <c r="A1211">
        <v>2232</v>
      </c>
      <c r="B1211" t="s">
        <v>3556</v>
      </c>
      <c r="C1211" t="s">
        <v>0</v>
      </c>
      <c r="D1211" t="s">
        <v>3555</v>
      </c>
      <c r="I1211" t="s">
        <v>135</v>
      </c>
      <c r="K1211" t="s">
        <v>313</v>
      </c>
      <c r="L1211" s="67">
        <v>0.25</v>
      </c>
      <c r="N1211" s="67">
        <v>0</v>
      </c>
      <c r="O1211" s="68">
        <v>45294</v>
      </c>
      <c r="P1211" s="68">
        <v>45294</v>
      </c>
      <c r="Q1211" s="57">
        <v>20498537.527903136</v>
      </c>
      <c r="R1211" t="s">
        <v>2968</v>
      </c>
    </row>
    <row r="1212" spans="1:18">
      <c r="A1212">
        <v>2233</v>
      </c>
      <c r="B1212" t="s">
        <v>3558</v>
      </c>
      <c r="C1212" t="s">
        <v>0</v>
      </c>
      <c r="D1212" t="s">
        <v>3557</v>
      </c>
      <c r="I1212" t="s">
        <v>24</v>
      </c>
      <c r="K1212" t="s">
        <v>313</v>
      </c>
      <c r="L1212" s="67">
        <v>0.25</v>
      </c>
      <c r="N1212" s="67">
        <v>0.03</v>
      </c>
      <c r="O1212" s="68">
        <v>45294</v>
      </c>
      <c r="P1212" s="68">
        <v>45294</v>
      </c>
      <c r="Q1212" s="57">
        <v>67117638.31696704</v>
      </c>
      <c r="R1212" t="s">
        <v>2968</v>
      </c>
    </row>
    <row r="1213" spans="1:18">
      <c r="A1213">
        <v>2234</v>
      </c>
      <c r="B1213" t="s">
        <v>3560</v>
      </c>
      <c r="C1213" t="s">
        <v>0</v>
      </c>
      <c r="D1213" t="s">
        <v>3559</v>
      </c>
      <c r="I1213" t="s">
        <v>1272</v>
      </c>
      <c r="K1213" t="s">
        <v>313</v>
      </c>
      <c r="L1213" s="67">
        <v>0.25</v>
      </c>
      <c r="N1213" s="67">
        <v>0.01</v>
      </c>
      <c r="O1213" s="68">
        <v>45294</v>
      </c>
      <c r="P1213" s="68">
        <v>45294</v>
      </c>
      <c r="Q1213" s="57">
        <v>21547595.260371033</v>
      </c>
      <c r="R1213" t="s">
        <v>2968</v>
      </c>
    </row>
    <row r="1214" spans="1:18">
      <c r="A1214">
        <v>2235</v>
      </c>
      <c r="B1214" t="s">
        <v>3561</v>
      </c>
      <c r="C1214" t="s">
        <v>0</v>
      </c>
      <c r="D1214" t="s">
        <v>3559</v>
      </c>
      <c r="I1214" t="s">
        <v>1272</v>
      </c>
      <c r="K1214" t="s">
        <v>313</v>
      </c>
      <c r="L1214" s="67">
        <v>0.25</v>
      </c>
      <c r="N1214" s="67">
        <v>0.01</v>
      </c>
      <c r="O1214" s="68">
        <v>45294</v>
      </c>
      <c r="P1214" s="68">
        <v>45294</v>
      </c>
      <c r="Q1214" s="57">
        <v>29853754.442500457</v>
      </c>
      <c r="R1214" t="s">
        <v>2968</v>
      </c>
    </row>
    <row r="1215" spans="1:18">
      <c r="A1215">
        <v>2236</v>
      </c>
      <c r="B1215" t="s">
        <v>3562</v>
      </c>
      <c r="C1215" t="s">
        <v>0</v>
      </c>
      <c r="D1215" t="s">
        <v>3559</v>
      </c>
      <c r="I1215" t="s">
        <v>1272</v>
      </c>
      <c r="K1215" t="s">
        <v>313</v>
      </c>
      <c r="L1215" s="67">
        <v>0.25</v>
      </c>
      <c r="N1215" s="67">
        <v>0.01</v>
      </c>
      <c r="O1215" s="68">
        <v>45294</v>
      </c>
      <c r="P1215" s="68">
        <v>45294</v>
      </c>
      <c r="Q1215" s="57">
        <v>31837034.549863096</v>
      </c>
      <c r="R1215" t="s">
        <v>2968</v>
      </c>
    </row>
    <row r="1216" spans="1:18">
      <c r="A1216">
        <v>2237</v>
      </c>
      <c r="B1216" t="s">
        <v>3564</v>
      </c>
      <c r="C1216" t="s">
        <v>0</v>
      </c>
      <c r="D1216" t="s">
        <v>3563</v>
      </c>
      <c r="I1216" t="s">
        <v>1055</v>
      </c>
      <c r="K1216" t="s">
        <v>313</v>
      </c>
      <c r="L1216" s="67">
        <v>0.25</v>
      </c>
      <c r="N1216" s="67">
        <v>0</v>
      </c>
      <c r="O1216" s="68">
        <v>45295</v>
      </c>
      <c r="P1216" s="68">
        <v>45295</v>
      </c>
      <c r="Q1216" s="57">
        <v>19018396.44480323</v>
      </c>
      <c r="R1216" t="s">
        <v>2968</v>
      </c>
    </row>
    <row r="1217" spans="1:18">
      <c r="A1217">
        <v>2238</v>
      </c>
      <c r="B1217" t="s">
        <v>3566</v>
      </c>
      <c r="C1217" t="s">
        <v>0</v>
      </c>
      <c r="D1217" t="s">
        <v>3565</v>
      </c>
      <c r="I1217" t="s">
        <v>1134</v>
      </c>
      <c r="K1217" t="s">
        <v>313</v>
      </c>
      <c r="L1217" s="67">
        <v>0.25</v>
      </c>
      <c r="N1217" s="67">
        <v>0</v>
      </c>
      <c r="O1217" s="68">
        <v>45296</v>
      </c>
      <c r="P1217" s="68">
        <v>45296</v>
      </c>
      <c r="Q1217" s="57">
        <v>20411561.720222924</v>
      </c>
      <c r="R1217" t="s">
        <v>2968</v>
      </c>
    </row>
    <row r="1218" spans="1:18">
      <c r="A1218">
        <v>2239</v>
      </c>
      <c r="B1218" t="s">
        <v>3567</v>
      </c>
      <c r="C1218" t="s">
        <v>0</v>
      </c>
      <c r="D1218" t="s">
        <v>3565</v>
      </c>
      <c r="I1218" t="s">
        <v>1046</v>
      </c>
      <c r="K1218" t="s">
        <v>313</v>
      </c>
      <c r="L1218" s="67">
        <v>0.25</v>
      </c>
      <c r="N1218" s="67">
        <v>0</v>
      </c>
      <c r="O1218" s="68">
        <v>45296</v>
      </c>
      <c r="P1218" s="68">
        <v>45296</v>
      </c>
      <c r="Q1218" s="57">
        <v>15201428.786922585</v>
      </c>
      <c r="R1218" t="s">
        <v>2968</v>
      </c>
    </row>
    <row r="1219" spans="1:18">
      <c r="A1219">
        <v>2240</v>
      </c>
      <c r="B1219" t="s">
        <v>3569</v>
      </c>
      <c r="C1219" t="s">
        <v>0</v>
      </c>
      <c r="D1219" t="s">
        <v>3568</v>
      </c>
      <c r="I1219" t="s">
        <v>1046</v>
      </c>
      <c r="K1219" t="s">
        <v>313</v>
      </c>
      <c r="L1219" s="67">
        <v>0.25</v>
      </c>
      <c r="N1219" s="67">
        <v>0</v>
      </c>
      <c r="O1219" s="68">
        <v>45296</v>
      </c>
      <c r="P1219" s="68">
        <v>45296</v>
      </c>
      <c r="Q1219" s="57">
        <v>15201428.786922585</v>
      </c>
      <c r="R1219" t="s">
        <v>2968</v>
      </c>
    </row>
    <row r="1220" spans="1:18">
      <c r="A1220">
        <v>2241</v>
      </c>
      <c r="B1220" t="s">
        <v>3570</v>
      </c>
      <c r="C1220" t="s">
        <v>0</v>
      </c>
      <c r="D1220" t="s">
        <v>3568</v>
      </c>
      <c r="I1220" t="s">
        <v>1434</v>
      </c>
      <c r="K1220" t="s">
        <v>313</v>
      </c>
      <c r="L1220" s="67">
        <v>0.25</v>
      </c>
      <c r="N1220" s="67">
        <v>0</v>
      </c>
      <c r="O1220" s="68">
        <v>45296</v>
      </c>
      <c r="P1220" s="68">
        <v>45296</v>
      </c>
      <c r="Q1220" s="57">
        <v>13508896.483565722</v>
      </c>
      <c r="R1220" t="s">
        <v>2968</v>
      </c>
    </row>
    <row r="1221" spans="1:18">
      <c r="A1221">
        <v>2242</v>
      </c>
      <c r="B1221" t="s">
        <v>3572</v>
      </c>
      <c r="C1221" t="s">
        <v>0</v>
      </c>
      <c r="D1221" t="s">
        <v>3571</v>
      </c>
      <c r="I1221" t="s">
        <v>1434</v>
      </c>
      <c r="K1221" t="s">
        <v>313</v>
      </c>
      <c r="L1221" s="67">
        <v>0.25</v>
      </c>
      <c r="N1221" s="67">
        <v>0</v>
      </c>
      <c r="O1221" s="68">
        <v>45296</v>
      </c>
      <c r="P1221" s="68">
        <v>45296</v>
      </c>
      <c r="Q1221" s="57">
        <v>13508896.483565722</v>
      </c>
      <c r="R1221" t="s">
        <v>2968</v>
      </c>
    </row>
    <row r="1222" spans="1:18">
      <c r="A1222">
        <v>2243</v>
      </c>
      <c r="B1222" t="s">
        <v>3575</v>
      </c>
      <c r="C1222" t="s">
        <v>0</v>
      </c>
      <c r="D1222" t="s">
        <v>3573</v>
      </c>
      <c r="I1222" t="s">
        <v>3574</v>
      </c>
      <c r="K1222" t="s">
        <v>313</v>
      </c>
      <c r="L1222" s="67">
        <v>0.25</v>
      </c>
      <c r="N1222" s="67">
        <v>0</v>
      </c>
      <c r="O1222" s="68">
        <v>45296</v>
      </c>
      <c r="P1222" s="68">
        <v>45296</v>
      </c>
      <c r="Q1222" s="57">
        <v>87005981.274525389</v>
      </c>
      <c r="R1222" t="s">
        <v>2968</v>
      </c>
    </row>
    <row r="1223" spans="1:18">
      <c r="A1223">
        <v>2244</v>
      </c>
      <c r="B1223" t="s">
        <v>3576</v>
      </c>
      <c r="C1223" t="s">
        <v>0</v>
      </c>
      <c r="D1223" t="s">
        <v>3573</v>
      </c>
      <c r="I1223" t="s">
        <v>3574</v>
      </c>
      <c r="K1223" t="s">
        <v>313</v>
      </c>
      <c r="L1223" s="67">
        <v>0.25</v>
      </c>
      <c r="N1223" s="67">
        <v>0</v>
      </c>
      <c r="O1223" s="68">
        <v>45296</v>
      </c>
      <c r="P1223" s="68">
        <v>45296</v>
      </c>
      <c r="Q1223" s="57">
        <v>88788592.535325393</v>
      </c>
      <c r="R1223" t="s">
        <v>2968</v>
      </c>
    </row>
    <row r="1224" spans="1:18">
      <c r="A1224">
        <v>2245</v>
      </c>
      <c r="B1224" t="s">
        <v>3578</v>
      </c>
      <c r="C1224" t="s">
        <v>0</v>
      </c>
      <c r="D1224" t="s">
        <v>3577</v>
      </c>
      <c r="I1224" t="s">
        <v>135</v>
      </c>
      <c r="K1224" t="s">
        <v>313</v>
      </c>
      <c r="L1224" s="67">
        <v>0.25</v>
      </c>
      <c r="N1224" s="67">
        <v>0</v>
      </c>
      <c r="O1224" s="68">
        <v>45301</v>
      </c>
      <c r="P1224" s="68">
        <v>45301</v>
      </c>
      <c r="Q1224" s="57">
        <v>42485233.169651084</v>
      </c>
      <c r="R1224" t="s">
        <v>2968</v>
      </c>
    </row>
    <row r="1225" spans="1:18">
      <c r="A1225">
        <v>2246</v>
      </c>
      <c r="B1225" t="s">
        <v>3580</v>
      </c>
      <c r="C1225" t="s">
        <v>0</v>
      </c>
      <c r="D1225" t="s">
        <v>3579</v>
      </c>
      <c r="I1225" t="s">
        <v>24</v>
      </c>
      <c r="K1225" t="s">
        <v>313</v>
      </c>
      <c r="L1225" s="67">
        <v>0.25</v>
      </c>
      <c r="N1225" s="67">
        <v>7.0000000000000007E-2</v>
      </c>
      <c r="O1225" s="68">
        <v>45301</v>
      </c>
      <c r="P1225" s="68">
        <v>45301</v>
      </c>
      <c r="Q1225" s="57">
        <v>23367977.238329072</v>
      </c>
      <c r="R1225" t="s">
        <v>2968</v>
      </c>
    </row>
    <row r="1226" spans="1:18">
      <c r="A1226">
        <v>2247</v>
      </c>
      <c r="B1226" t="s">
        <v>3581</v>
      </c>
      <c r="C1226" t="s">
        <v>0</v>
      </c>
      <c r="D1226" t="s">
        <v>3579</v>
      </c>
      <c r="I1226" t="s">
        <v>24</v>
      </c>
      <c r="K1226" t="s">
        <v>313</v>
      </c>
      <c r="L1226" s="67">
        <v>0.25</v>
      </c>
      <c r="N1226" s="67">
        <v>7.0000000000000007E-2</v>
      </c>
      <c r="O1226" s="68">
        <v>45301</v>
      </c>
      <c r="P1226" s="68">
        <v>45301</v>
      </c>
      <c r="Q1226" s="57">
        <v>18711266.616279639</v>
      </c>
      <c r="R1226" t="s">
        <v>2968</v>
      </c>
    </row>
    <row r="1227" spans="1:18">
      <c r="A1227">
        <v>2248</v>
      </c>
      <c r="B1227" t="s">
        <v>3583</v>
      </c>
      <c r="C1227" t="s">
        <v>0</v>
      </c>
      <c r="D1227" t="s">
        <v>3582</v>
      </c>
      <c r="I1227" t="s">
        <v>2362</v>
      </c>
      <c r="K1227" t="s">
        <v>313</v>
      </c>
      <c r="L1227" s="67">
        <v>0.25</v>
      </c>
      <c r="N1227" s="67">
        <v>0</v>
      </c>
      <c r="O1227" s="68">
        <v>45301</v>
      </c>
      <c r="P1227" s="68">
        <v>45301</v>
      </c>
      <c r="Q1227" s="57">
        <v>12292850.751439143</v>
      </c>
      <c r="R1227" t="s">
        <v>2968</v>
      </c>
    </row>
    <row r="1228" spans="1:18">
      <c r="A1228">
        <v>2249</v>
      </c>
      <c r="B1228" t="s">
        <v>3585</v>
      </c>
      <c r="C1228" t="s">
        <v>0</v>
      </c>
      <c r="D1228" t="s">
        <v>3584</v>
      </c>
      <c r="I1228" t="s">
        <v>135</v>
      </c>
      <c r="K1228" t="s">
        <v>313</v>
      </c>
      <c r="L1228" s="67">
        <v>0.25</v>
      </c>
      <c r="N1228" s="67">
        <v>0</v>
      </c>
      <c r="O1228" s="68">
        <v>45301</v>
      </c>
      <c r="P1228" s="68">
        <v>45301</v>
      </c>
      <c r="Q1228" s="57">
        <v>24098114.977277067</v>
      </c>
      <c r="R1228" t="s">
        <v>2968</v>
      </c>
    </row>
    <row r="1229" spans="1:18">
      <c r="A1229">
        <v>2250</v>
      </c>
      <c r="B1229" t="s">
        <v>3587</v>
      </c>
      <c r="C1229" t="s">
        <v>0</v>
      </c>
      <c r="D1229" t="s">
        <v>3586</v>
      </c>
      <c r="I1229" t="s">
        <v>3092</v>
      </c>
      <c r="K1229" t="s">
        <v>313</v>
      </c>
      <c r="L1229" s="67">
        <v>0.25</v>
      </c>
      <c r="N1229" s="67">
        <v>0</v>
      </c>
      <c r="O1229" s="68">
        <v>45301</v>
      </c>
      <c r="P1229" s="68">
        <v>45301</v>
      </c>
      <c r="Q1229" s="57">
        <v>30313614.180011287</v>
      </c>
      <c r="R1229" t="s">
        <v>2968</v>
      </c>
    </row>
    <row r="1230" spans="1:18">
      <c r="A1230">
        <v>2251</v>
      </c>
      <c r="B1230" t="s">
        <v>3588</v>
      </c>
      <c r="C1230" t="s">
        <v>0</v>
      </c>
      <c r="D1230" t="s">
        <v>3586</v>
      </c>
      <c r="I1230" t="s">
        <v>3092</v>
      </c>
      <c r="K1230" t="s">
        <v>313</v>
      </c>
      <c r="L1230" s="67">
        <v>0.25</v>
      </c>
      <c r="N1230" s="67">
        <v>0</v>
      </c>
      <c r="O1230" s="68">
        <v>45301</v>
      </c>
      <c r="P1230" s="68">
        <v>45301</v>
      </c>
      <c r="Q1230" s="57">
        <v>44465074.574924991</v>
      </c>
      <c r="R1230" t="s">
        <v>2968</v>
      </c>
    </row>
    <row r="1231" spans="1:18">
      <c r="A1231">
        <v>2252</v>
      </c>
      <c r="B1231" t="s">
        <v>3591</v>
      </c>
      <c r="C1231" t="s">
        <v>0</v>
      </c>
      <c r="D1231" t="s">
        <v>3589</v>
      </c>
      <c r="I1231" t="s">
        <v>3590</v>
      </c>
      <c r="K1231" t="s">
        <v>313</v>
      </c>
      <c r="L1231" s="67">
        <v>0.25</v>
      </c>
      <c r="N1231" s="67">
        <v>0.01</v>
      </c>
      <c r="O1231" s="68">
        <v>45301</v>
      </c>
      <c r="P1231" s="68">
        <v>45301</v>
      </c>
      <c r="Q1231" s="57">
        <v>66220118.172362536</v>
      </c>
      <c r="R1231" t="s">
        <v>2968</v>
      </c>
    </row>
    <row r="1232" spans="1:18">
      <c r="A1232">
        <v>2253</v>
      </c>
      <c r="B1232" t="s">
        <v>3592</v>
      </c>
      <c r="C1232" t="s">
        <v>0</v>
      </c>
      <c r="D1232" t="s">
        <v>3589</v>
      </c>
      <c r="I1232" t="s">
        <v>3590</v>
      </c>
      <c r="K1232" t="s">
        <v>313</v>
      </c>
      <c r="L1232" s="67">
        <v>0.25</v>
      </c>
      <c r="N1232" s="67">
        <v>0.01</v>
      </c>
      <c r="O1232" s="68">
        <v>45301</v>
      </c>
      <c r="P1232" s="68">
        <v>45301</v>
      </c>
      <c r="Q1232" s="57">
        <v>107522696.26925656</v>
      </c>
      <c r="R1232" t="s">
        <v>2968</v>
      </c>
    </row>
    <row r="1233" spans="1:18">
      <c r="A1233">
        <v>2254</v>
      </c>
      <c r="B1233" t="s">
        <v>3594</v>
      </c>
      <c r="C1233" t="s">
        <v>0</v>
      </c>
      <c r="D1233" t="s">
        <v>3593</v>
      </c>
      <c r="I1233" t="s">
        <v>135</v>
      </c>
      <c r="K1233" t="s">
        <v>313</v>
      </c>
      <c r="L1233" s="67">
        <v>0.25</v>
      </c>
      <c r="N1233" s="67">
        <v>0</v>
      </c>
      <c r="O1233" s="68">
        <v>45301</v>
      </c>
      <c r="P1233" s="68">
        <v>45301</v>
      </c>
      <c r="Q1233" s="57">
        <v>56473336.204434887</v>
      </c>
      <c r="R1233" t="s">
        <v>2968</v>
      </c>
    </row>
    <row r="1234" spans="1:18">
      <c r="A1234">
        <v>2255</v>
      </c>
      <c r="B1234" t="s">
        <v>3595</v>
      </c>
      <c r="C1234" t="s">
        <v>0</v>
      </c>
      <c r="I1234" t="s">
        <v>2353</v>
      </c>
      <c r="J1234">
        <v>110</v>
      </c>
      <c r="K1234" t="s">
        <v>554</v>
      </c>
      <c r="M1234">
        <v>0</v>
      </c>
      <c r="O1234" s="68">
        <v>45302</v>
      </c>
      <c r="P1234" s="68">
        <v>45302</v>
      </c>
      <c r="R1234" t="s">
        <v>2968</v>
      </c>
    </row>
    <row r="1235" spans="1:18">
      <c r="A1235">
        <v>2256</v>
      </c>
      <c r="B1235" t="s">
        <v>3597</v>
      </c>
      <c r="C1235" t="s">
        <v>0</v>
      </c>
      <c r="D1235" t="s">
        <v>3596</v>
      </c>
      <c r="I1235" t="s">
        <v>135</v>
      </c>
      <c r="K1235" t="s">
        <v>313</v>
      </c>
      <c r="L1235" s="67">
        <v>0.25</v>
      </c>
      <c r="N1235" s="67">
        <v>0</v>
      </c>
      <c r="O1235" s="68">
        <v>45302</v>
      </c>
      <c r="P1235" s="68">
        <v>45302</v>
      </c>
      <c r="Q1235" s="57">
        <v>211139787.49995762</v>
      </c>
      <c r="R1235" t="s">
        <v>2968</v>
      </c>
    </row>
    <row r="1236" spans="1:18">
      <c r="A1236">
        <v>2257</v>
      </c>
      <c r="B1236" t="s">
        <v>3599</v>
      </c>
      <c r="C1236" t="s">
        <v>0</v>
      </c>
      <c r="D1236" t="s">
        <v>3598</v>
      </c>
      <c r="I1236" t="s">
        <v>135</v>
      </c>
      <c r="K1236" t="s">
        <v>313</v>
      </c>
      <c r="L1236" s="67">
        <v>0.25</v>
      </c>
      <c r="N1236" s="67">
        <v>0</v>
      </c>
      <c r="O1236" s="68">
        <v>45302</v>
      </c>
      <c r="P1236" s="68">
        <v>45302</v>
      </c>
      <c r="Q1236" s="57">
        <v>27731829.665503077</v>
      </c>
      <c r="R1236" t="s">
        <v>2968</v>
      </c>
    </row>
    <row r="1237" spans="1:18">
      <c r="A1237">
        <v>2258</v>
      </c>
      <c r="B1237" t="s">
        <v>3600</v>
      </c>
      <c r="C1237" t="s">
        <v>0</v>
      </c>
      <c r="D1237" t="s">
        <v>3598</v>
      </c>
      <c r="I1237" t="s">
        <v>135</v>
      </c>
      <c r="K1237" t="s">
        <v>313</v>
      </c>
      <c r="L1237" s="67">
        <v>0.25</v>
      </c>
      <c r="N1237" s="67">
        <v>0</v>
      </c>
      <c r="O1237" s="68">
        <v>45302</v>
      </c>
      <c r="P1237" s="68">
        <v>45302</v>
      </c>
      <c r="Q1237" s="57">
        <v>21346160.889247674</v>
      </c>
      <c r="R1237" t="s">
        <v>2968</v>
      </c>
    </row>
    <row r="1238" spans="1:18">
      <c r="A1238">
        <v>2259</v>
      </c>
      <c r="B1238" t="s">
        <v>3602</v>
      </c>
      <c r="C1238" t="s">
        <v>0</v>
      </c>
      <c r="D1238" t="s">
        <v>3601</v>
      </c>
      <c r="I1238" t="s">
        <v>135</v>
      </c>
      <c r="K1238" t="s">
        <v>313</v>
      </c>
      <c r="L1238" s="67">
        <v>0.25</v>
      </c>
      <c r="N1238" s="67">
        <v>0</v>
      </c>
      <c r="O1238" s="68">
        <v>45302</v>
      </c>
      <c r="P1238" s="68">
        <v>45302</v>
      </c>
      <c r="Q1238" s="57">
        <v>21346160.889247674</v>
      </c>
      <c r="R1238" t="s">
        <v>2968</v>
      </c>
    </row>
    <row r="1239" spans="1:18">
      <c r="A1239">
        <v>2260</v>
      </c>
      <c r="B1239" t="s">
        <v>3604</v>
      </c>
      <c r="C1239" t="s">
        <v>0</v>
      </c>
      <c r="D1239" t="s">
        <v>3603</v>
      </c>
      <c r="I1239" t="s">
        <v>135</v>
      </c>
      <c r="K1239" t="s">
        <v>313</v>
      </c>
      <c r="L1239" s="67">
        <v>0.25</v>
      </c>
      <c r="N1239" s="67">
        <v>0</v>
      </c>
      <c r="O1239" s="68">
        <v>45302</v>
      </c>
      <c r="P1239" s="68">
        <v>45302</v>
      </c>
      <c r="Q1239" s="57">
        <v>25644722.349826086</v>
      </c>
      <c r="R1239" t="s">
        <v>2968</v>
      </c>
    </row>
    <row r="1240" spans="1:18">
      <c r="A1240">
        <v>2261</v>
      </c>
      <c r="B1240" t="s">
        <v>3606</v>
      </c>
      <c r="C1240" t="s">
        <v>0</v>
      </c>
      <c r="D1240" t="s">
        <v>3605</v>
      </c>
      <c r="I1240" t="s">
        <v>135</v>
      </c>
      <c r="K1240" t="s">
        <v>313</v>
      </c>
      <c r="L1240" s="67">
        <v>0.25</v>
      </c>
      <c r="N1240" s="67">
        <v>0</v>
      </c>
      <c r="O1240" s="68">
        <v>45302</v>
      </c>
      <c r="P1240" s="68">
        <v>45302</v>
      </c>
      <c r="Q1240" s="57">
        <v>15757456.817625392</v>
      </c>
      <c r="R1240" t="s">
        <v>2968</v>
      </c>
    </row>
    <row r="1241" spans="1:18">
      <c r="A1241">
        <v>2262</v>
      </c>
      <c r="B1241" t="s">
        <v>3608</v>
      </c>
      <c r="C1241" t="s">
        <v>0</v>
      </c>
      <c r="D1241" t="s">
        <v>3607</v>
      </c>
      <c r="I1241" t="s">
        <v>135</v>
      </c>
      <c r="K1241" t="s">
        <v>313</v>
      </c>
      <c r="L1241" s="67">
        <v>0.25</v>
      </c>
      <c r="N1241" s="67">
        <v>0</v>
      </c>
      <c r="O1241" s="68">
        <v>45302</v>
      </c>
      <c r="P1241" s="68">
        <v>45302</v>
      </c>
      <c r="Q1241" s="57">
        <v>41813049.70097027</v>
      </c>
      <c r="R1241" t="s">
        <v>2968</v>
      </c>
    </row>
    <row r="1242" spans="1:18">
      <c r="A1242">
        <v>2263</v>
      </c>
      <c r="B1242" t="s">
        <v>3610</v>
      </c>
      <c r="C1242" t="s">
        <v>0</v>
      </c>
      <c r="D1242" t="s">
        <v>3609</v>
      </c>
      <c r="I1242" t="s">
        <v>135</v>
      </c>
      <c r="K1242" t="s">
        <v>313</v>
      </c>
      <c r="L1242" s="67">
        <v>0.25</v>
      </c>
      <c r="N1242" s="67">
        <v>0</v>
      </c>
      <c r="O1242" s="68">
        <v>45302</v>
      </c>
      <c r="P1242" s="68">
        <v>45302</v>
      </c>
      <c r="Q1242" s="57">
        <v>25220377.141577002</v>
      </c>
      <c r="R1242" t="s">
        <v>2968</v>
      </c>
    </row>
    <row r="1243" spans="1:18">
      <c r="A1243">
        <v>2264</v>
      </c>
      <c r="B1243" t="s">
        <v>3612</v>
      </c>
      <c r="C1243" t="s">
        <v>0</v>
      </c>
      <c r="D1243" t="s">
        <v>3611</v>
      </c>
      <c r="I1243" t="s">
        <v>135</v>
      </c>
      <c r="K1243" t="s">
        <v>313</v>
      </c>
      <c r="L1243" s="67">
        <v>0.25</v>
      </c>
      <c r="N1243" s="67">
        <v>0</v>
      </c>
      <c r="O1243" s="68">
        <v>45302</v>
      </c>
      <c r="P1243" s="68">
        <v>45302</v>
      </c>
      <c r="Q1243" s="57">
        <v>36553171.331388287</v>
      </c>
      <c r="R1243" t="s">
        <v>2968</v>
      </c>
    </row>
    <row r="1244" spans="1:18">
      <c r="A1244">
        <v>2265</v>
      </c>
      <c r="B1244" t="s">
        <v>3614</v>
      </c>
      <c r="C1244" t="s">
        <v>0</v>
      </c>
      <c r="D1244" t="s">
        <v>3613</v>
      </c>
      <c r="I1244" t="s">
        <v>135</v>
      </c>
      <c r="K1244" t="s">
        <v>313</v>
      </c>
      <c r="L1244" s="67">
        <v>0.25</v>
      </c>
      <c r="N1244" s="67">
        <v>0</v>
      </c>
      <c r="O1244" s="68">
        <v>45302</v>
      </c>
      <c r="P1244" s="68">
        <v>45302</v>
      </c>
      <c r="Q1244" s="57">
        <v>41813049.70097027</v>
      </c>
      <c r="R1244" t="s">
        <v>2968</v>
      </c>
    </row>
    <row r="1245" spans="1:18">
      <c r="A1245">
        <v>2266</v>
      </c>
      <c r="B1245" t="s">
        <v>3616</v>
      </c>
      <c r="C1245" t="s">
        <v>0</v>
      </c>
      <c r="D1245" t="s">
        <v>3615</v>
      </c>
      <c r="I1245" t="s">
        <v>1610</v>
      </c>
      <c r="K1245" t="s">
        <v>313</v>
      </c>
      <c r="L1245" s="67">
        <v>0.25</v>
      </c>
      <c r="N1245" s="67">
        <v>0.01</v>
      </c>
      <c r="O1245" s="68">
        <v>45302</v>
      </c>
      <c r="P1245" s="68">
        <v>45302</v>
      </c>
      <c r="Q1245" s="57">
        <v>834740569.14511764</v>
      </c>
      <c r="R1245" t="s">
        <v>2968</v>
      </c>
    </row>
    <row r="1246" spans="1:18">
      <c r="A1246">
        <v>2267</v>
      </c>
      <c r="B1246" t="s">
        <v>3617</v>
      </c>
      <c r="C1246" t="s">
        <v>0</v>
      </c>
      <c r="D1246" t="s">
        <v>3615</v>
      </c>
      <c r="I1246" t="s">
        <v>1610</v>
      </c>
      <c r="K1246" t="s">
        <v>313</v>
      </c>
      <c r="L1246" s="67">
        <v>0.25</v>
      </c>
      <c r="N1246" s="67">
        <v>0.01</v>
      </c>
      <c r="O1246" s="68">
        <v>45302</v>
      </c>
      <c r="P1246" s="68">
        <v>45302</v>
      </c>
      <c r="Q1246" s="57">
        <v>355266017.59568208</v>
      </c>
      <c r="R1246" t="s">
        <v>2968</v>
      </c>
    </row>
    <row r="1247" spans="1:18">
      <c r="A1247">
        <v>2268</v>
      </c>
      <c r="B1247" t="s">
        <v>3622</v>
      </c>
      <c r="C1247" t="s">
        <v>0</v>
      </c>
      <c r="D1247" t="s">
        <v>3621</v>
      </c>
      <c r="I1247" t="s">
        <v>3620</v>
      </c>
      <c r="J1247">
        <v>110</v>
      </c>
      <c r="K1247" t="s">
        <v>554</v>
      </c>
      <c r="M1247">
        <v>0</v>
      </c>
      <c r="O1247" s="68">
        <v>45303</v>
      </c>
      <c r="P1247" s="68">
        <v>45303</v>
      </c>
      <c r="R1247" t="s">
        <v>2968</v>
      </c>
    </row>
    <row r="1248" spans="1:18">
      <c r="A1248">
        <v>2269</v>
      </c>
      <c r="B1248" t="s">
        <v>3623</v>
      </c>
      <c r="C1248" t="s">
        <v>0</v>
      </c>
      <c r="D1248" t="s">
        <v>3621</v>
      </c>
      <c r="I1248" t="s">
        <v>3620</v>
      </c>
      <c r="J1248">
        <v>110</v>
      </c>
      <c r="K1248" t="s">
        <v>554</v>
      </c>
      <c r="M1248">
        <v>0</v>
      </c>
      <c r="O1248" s="68">
        <v>45303</v>
      </c>
      <c r="P1248" s="68">
        <v>45303</v>
      </c>
      <c r="R1248" t="s">
        <v>2968</v>
      </c>
    </row>
    <row r="1249" spans="1:18">
      <c r="A1249">
        <v>2270</v>
      </c>
      <c r="B1249" t="s">
        <v>3625</v>
      </c>
      <c r="C1249" t="s">
        <v>0</v>
      </c>
      <c r="D1249" t="s">
        <v>3624</v>
      </c>
      <c r="I1249" t="s">
        <v>2970</v>
      </c>
      <c r="K1249" t="s">
        <v>313</v>
      </c>
      <c r="L1249" s="67">
        <v>0.25</v>
      </c>
      <c r="N1249" s="67">
        <v>0</v>
      </c>
      <c r="O1249" s="68">
        <v>45303</v>
      </c>
      <c r="P1249" s="68">
        <v>45303</v>
      </c>
      <c r="Q1249" s="57">
        <v>12455778.071691498</v>
      </c>
      <c r="R1249" t="s">
        <v>2968</v>
      </c>
    </row>
    <row r="1250" spans="1:18">
      <c r="A1250">
        <v>2271</v>
      </c>
      <c r="B1250" t="s">
        <v>3628</v>
      </c>
      <c r="C1250" t="s">
        <v>0</v>
      </c>
      <c r="D1250" t="s">
        <v>3626</v>
      </c>
      <c r="I1250" t="s">
        <v>3627</v>
      </c>
      <c r="K1250" t="s">
        <v>313</v>
      </c>
      <c r="L1250" s="67">
        <v>0.25</v>
      </c>
      <c r="N1250" s="67">
        <v>0</v>
      </c>
      <c r="O1250" s="68">
        <v>45303</v>
      </c>
      <c r="P1250" s="68">
        <v>45303</v>
      </c>
      <c r="Q1250" s="57">
        <v>11980214.673459793</v>
      </c>
      <c r="R1250" t="s">
        <v>2968</v>
      </c>
    </row>
    <row r="1251" spans="1:18">
      <c r="A1251">
        <v>2272</v>
      </c>
      <c r="B1251" t="s">
        <v>3631</v>
      </c>
      <c r="C1251" t="s">
        <v>0</v>
      </c>
      <c r="D1251" t="s">
        <v>3629</v>
      </c>
      <c r="I1251" t="s">
        <v>3630</v>
      </c>
      <c r="J1251">
        <v>110</v>
      </c>
      <c r="K1251" t="s">
        <v>554</v>
      </c>
      <c r="M1251">
        <v>0</v>
      </c>
      <c r="O1251" s="68">
        <v>45303</v>
      </c>
      <c r="P1251" s="68">
        <v>45303</v>
      </c>
      <c r="R1251" t="s">
        <v>2968</v>
      </c>
    </row>
    <row r="1252" spans="1:18">
      <c r="A1252">
        <v>2273</v>
      </c>
      <c r="B1252" t="s">
        <v>3633</v>
      </c>
      <c r="C1252" t="s">
        <v>0</v>
      </c>
      <c r="D1252" t="s">
        <v>3632</v>
      </c>
      <c r="I1252" t="s">
        <v>3590</v>
      </c>
      <c r="K1252" t="s">
        <v>313</v>
      </c>
      <c r="L1252" s="67">
        <v>0.25</v>
      </c>
      <c r="N1252" s="67">
        <v>0</v>
      </c>
      <c r="O1252" s="68">
        <v>45303</v>
      </c>
      <c r="P1252" s="68">
        <v>45303</v>
      </c>
      <c r="Q1252" s="57">
        <v>37584715.136524744</v>
      </c>
      <c r="R1252" t="s">
        <v>2968</v>
      </c>
    </row>
    <row r="1253" spans="1:18">
      <c r="A1253">
        <v>2274</v>
      </c>
      <c r="B1253" t="s">
        <v>3635</v>
      </c>
      <c r="C1253" t="s">
        <v>0</v>
      </c>
      <c r="D1253" t="s">
        <v>3634</v>
      </c>
      <c r="I1253" t="s">
        <v>884</v>
      </c>
      <c r="K1253" t="s">
        <v>313</v>
      </c>
      <c r="L1253" s="67">
        <v>0.25</v>
      </c>
      <c r="N1253" s="67">
        <v>0</v>
      </c>
      <c r="O1253" s="68">
        <v>45303</v>
      </c>
      <c r="P1253" s="68">
        <v>45303</v>
      </c>
      <c r="Q1253" s="57">
        <v>13324932.715632947</v>
      </c>
      <c r="R1253" t="s">
        <v>2968</v>
      </c>
    </row>
    <row r="1254" spans="1:18">
      <c r="A1254">
        <v>2275</v>
      </c>
      <c r="B1254" t="s">
        <v>3636</v>
      </c>
      <c r="C1254" t="s">
        <v>0</v>
      </c>
      <c r="D1254" t="s">
        <v>3634</v>
      </c>
      <c r="I1254" t="s">
        <v>884</v>
      </c>
      <c r="K1254" t="s">
        <v>313</v>
      </c>
      <c r="L1254" s="67">
        <v>0.25</v>
      </c>
      <c r="N1254" s="67">
        <v>0</v>
      </c>
      <c r="O1254" s="68">
        <v>45303</v>
      </c>
      <c r="P1254" s="68">
        <v>45303</v>
      </c>
      <c r="Q1254" s="57">
        <v>13786404.715632947</v>
      </c>
      <c r="R1254" t="s">
        <v>2968</v>
      </c>
    </row>
    <row r="1255" spans="1:18">
      <c r="A1255">
        <v>2276</v>
      </c>
      <c r="B1255" t="s">
        <v>3639</v>
      </c>
      <c r="C1255" t="s">
        <v>0</v>
      </c>
      <c r="D1255" t="s">
        <v>3637</v>
      </c>
      <c r="I1255" t="s">
        <v>3638</v>
      </c>
      <c r="K1255" t="s">
        <v>313</v>
      </c>
      <c r="L1255" s="67">
        <v>0.25</v>
      </c>
      <c r="N1255" s="67">
        <v>0.01</v>
      </c>
      <c r="O1255" s="68">
        <v>45306</v>
      </c>
      <c r="P1255" s="68">
        <v>45306</v>
      </c>
      <c r="Q1255" s="57">
        <v>31123257.81547628</v>
      </c>
      <c r="R1255" t="s">
        <v>2968</v>
      </c>
    </row>
    <row r="1256" spans="1:18">
      <c r="A1256">
        <v>2277</v>
      </c>
      <c r="B1256" t="s">
        <v>3642</v>
      </c>
      <c r="C1256" t="s">
        <v>0</v>
      </c>
      <c r="D1256" t="s">
        <v>3640</v>
      </c>
      <c r="I1256" t="s">
        <v>3641</v>
      </c>
      <c r="K1256" t="s">
        <v>313</v>
      </c>
      <c r="L1256" s="67">
        <v>0.25</v>
      </c>
      <c r="N1256" s="67">
        <v>0</v>
      </c>
      <c r="O1256" s="68">
        <v>45307</v>
      </c>
      <c r="P1256" s="68">
        <v>45307</v>
      </c>
      <c r="Q1256" s="57">
        <v>14627234.161846951</v>
      </c>
      <c r="R1256" t="s">
        <v>2968</v>
      </c>
    </row>
    <row r="1257" spans="1:18">
      <c r="A1257">
        <v>2278</v>
      </c>
      <c r="B1257" t="s">
        <v>3644</v>
      </c>
      <c r="C1257" t="s">
        <v>0</v>
      </c>
      <c r="D1257" t="s">
        <v>3643</v>
      </c>
      <c r="I1257" t="s">
        <v>24</v>
      </c>
      <c r="K1257" t="s">
        <v>313</v>
      </c>
      <c r="L1257" s="67">
        <v>0.25</v>
      </c>
      <c r="N1257" s="67">
        <v>0</v>
      </c>
      <c r="O1257" s="68">
        <v>45307</v>
      </c>
      <c r="P1257" s="68">
        <v>45307</v>
      </c>
      <c r="Q1257" s="57">
        <v>101485997.68508323</v>
      </c>
      <c r="R1257" t="s">
        <v>2968</v>
      </c>
    </row>
    <row r="1258" spans="1:18">
      <c r="A1258">
        <v>2279</v>
      </c>
      <c r="B1258" t="s">
        <v>3645</v>
      </c>
      <c r="C1258" t="s">
        <v>0</v>
      </c>
      <c r="D1258" t="s">
        <v>3643</v>
      </c>
      <c r="I1258" t="s">
        <v>24</v>
      </c>
      <c r="K1258" t="s">
        <v>313</v>
      </c>
      <c r="L1258" s="67">
        <v>0.25</v>
      </c>
      <c r="N1258" s="67">
        <v>0</v>
      </c>
      <c r="O1258" s="68">
        <v>45307</v>
      </c>
      <c r="P1258" s="68">
        <v>45307</v>
      </c>
      <c r="Q1258" s="57">
        <v>105233170.36238891</v>
      </c>
      <c r="R1258" t="s">
        <v>2968</v>
      </c>
    </row>
    <row r="1259" spans="1:18">
      <c r="A1259">
        <v>2280</v>
      </c>
      <c r="B1259" t="s">
        <v>3647</v>
      </c>
      <c r="C1259" t="s">
        <v>0</v>
      </c>
      <c r="D1259" t="s">
        <v>3646</v>
      </c>
      <c r="I1259" t="s">
        <v>24</v>
      </c>
      <c r="K1259" t="s">
        <v>313</v>
      </c>
      <c r="L1259" s="67">
        <v>0.25</v>
      </c>
      <c r="N1259" s="67">
        <v>0</v>
      </c>
      <c r="O1259" s="68">
        <v>45307</v>
      </c>
      <c r="P1259" s="68">
        <v>45307</v>
      </c>
      <c r="Q1259" s="57">
        <v>13786404.715632947</v>
      </c>
      <c r="R1259" t="s">
        <v>2968</v>
      </c>
    </row>
    <row r="1260" spans="1:18">
      <c r="A1260">
        <v>2281</v>
      </c>
      <c r="B1260" t="s">
        <v>3649</v>
      </c>
      <c r="C1260" t="s">
        <v>0</v>
      </c>
      <c r="D1260" t="s">
        <v>3648</v>
      </c>
      <c r="I1260" t="s">
        <v>715</v>
      </c>
      <c r="K1260" t="s">
        <v>313</v>
      </c>
      <c r="L1260" s="67">
        <v>0.25</v>
      </c>
      <c r="N1260" s="67">
        <v>0</v>
      </c>
      <c r="O1260" s="68">
        <v>45307</v>
      </c>
      <c r="P1260" s="68">
        <v>45307</v>
      </c>
      <c r="Q1260" s="57">
        <v>29269188.648026597</v>
      </c>
      <c r="R1260" t="s">
        <v>2968</v>
      </c>
    </row>
    <row r="1261" spans="1:18">
      <c r="A1261">
        <v>2282</v>
      </c>
      <c r="B1261" t="s">
        <v>3650</v>
      </c>
      <c r="C1261" t="s">
        <v>0</v>
      </c>
      <c r="D1261" t="s">
        <v>2823</v>
      </c>
      <c r="I1261" t="s">
        <v>24</v>
      </c>
      <c r="K1261" t="s">
        <v>313</v>
      </c>
      <c r="L1261" s="67">
        <v>0.25</v>
      </c>
      <c r="N1261" s="67">
        <v>0.01</v>
      </c>
      <c r="O1261" s="68">
        <v>45308</v>
      </c>
      <c r="P1261" s="68">
        <v>45308</v>
      </c>
      <c r="Q1261" s="57">
        <v>290645441.56152326</v>
      </c>
      <c r="R1261" t="s">
        <v>2968</v>
      </c>
    </row>
    <row r="1262" spans="1:18">
      <c r="A1262">
        <v>2283</v>
      </c>
      <c r="B1262" t="s">
        <v>3652</v>
      </c>
      <c r="C1262" t="s">
        <v>0</v>
      </c>
      <c r="D1262" t="s">
        <v>3651</v>
      </c>
      <c r="I1262" t="s">
        <v>24</v>
      </c>
      <c r="K1262" t="s">
        <v>313</v>
      </c>
      <c r="L1262" s="67">
        <v>0.25</v>
      </c>
      <c r="N1262" s="67">
        <v>0.01</v>
      </c>
      <c r="O1262" s="68">
        <v>45309</v>
      </c>
      <c r="P1262" s="68">
        <v>45309</v>
      </c>
      <c r="Q1262" s="57">
        <v>15869422.999999998</v>
      </c>
      <c r="R1262" t="s">
        <v>2968</v>
      </c>
    </row>
    <row r="1263" spans="1:18">
      <c r="A1263">
        <v>2284</v>
      </c>
      <c r="B1263" t="s">
        <v>3654</v>
      </c>
      <c r="C1263" t="s">
        <v>0</v>
      </c>
      <c r="D1263" t="s">
        <v>3653</v>
      </c>
      <c r="I1263" t="s">
        <v>3398</v>
      </c>
      <c r="K1263" t="s">
        <v>313</v>
      </c>
      <c r="L1263" s="67">
        <v>0.25</v>
      </c>
      <c r="N1263" s="67">
        <v>0.01</v>
      </c>
      <c r="O1263" s="68">
        <v>45310</v>
      </c>
      <c r="P1263" s="68">
        <v>45310</v>
      </c>
      <c r="Q1263" s="57">
        <v>23812298.849450942</v>
      </c>
      <c r="R1263" t="s">
        <v>2968</v>
      </c>
    </row>
    <row r="1264" spans="1:18">
      <c r="A1264">
        <v>2285</v>
      </c>
      <c r="B1264" t="s">
        <v>3655</v>
      </c>
      <c r="C1264" t="s">
        <v>0</v>
      </c>
      <c r="D1264" t="s">
        <v>1362</v>
      </c>
      <c r="I1264" t="s">
        <v>2279</v>
      </c>
      <c r="J1264">
        <v>110</v>
      </c>
      <c r="K1264" t="s">
        <v>554</v>
      </c>
      <c r="M1264">
        <v>0</v>
      </c>
      <c r="O1264" s="68">
        <v>45310</v>
      </c>
      <c r="P1264" s="68">
        <v>45310</v>
      </c>
      <c r="R1264" t="s">
        <v>2968</v>
      </c>
    </row>
    <row r="1265" spans="1:18">
      <c r="A1265">
        <v>2286</v>
      </c>
      <c r="B1265" t="s">
        <v>3657</v>
      </c>
      <c r="C1265" t="s">
        <v>0</v>
      </c>
      <c r="D1265" t="s">
        <v>3656</v>
      </c>
      <c r="I1265" t="s">
        <v>24</v>
      </c>
      <c r="K1265" t="s">
        <v>313</v>
      </c>
      <c r="L1265" s="67">
        <v>0.25</v>
      </c>
      <c r="N1265" s="67">
        <v>0</v>
      </c>
      <c r="O1265" s="68">
        <v>45310</v>
      </c>
      <c r="P1265" s="68">
        <v>45310</v>
      </c>
      <c r="Q1265" s="57">
        <v>62957923.580469079</v>
      </c>
      <c r="R1265" t="s">
        <v>2968</v>
      </c>
    </row>
    <row r="1266" spans="1:18">
      <c r="A1266">
        <v>2287</v>
      </c>
      <c r="B1266" t="s">
        <v>3658</v>
      </c>
      <c r="C1266" t="s">
        <v>0</v>
      </c>
      <c r="D1266" t="s">
        <v>3656</v>
      </c>
      <c r="I1266" t="s">
        <v>24</v>
      </c>
      <c r="K1266" t="s">
        <v>313</v>
      </c>
      <c r="L1266" s="67">
        <v>0.25</v>
      </c>
      <c r="N1266" s="67">
        <v>0</v>
      </c>
      <c r="O1266" s="68">
        <v>45313</v>
      </c>
      <c r="P1266" s="68">
        <v>45313</v>
      </c>
      <c r="Q1266" s="57">
        <v>37964850.77415926</v>
      </c>
      <c r="R1266" t="s">
        <v>2968</v>
      </c>
    </row>
    <row r="1267" spans="1:18">
      <c r="A1267">
        <v>2288</v>
      </c>
      <c r="B1267" t="s">
        <v>3660</v>
      </c>
      <c r="C1267" t="s">
        <v>0</v>
      </c>
      <c r="D1267" t="s">
        <v>3659</v>
      </c>
      <c r="I1267" t="s">
        <v>24</v>
      </c>
      <c r="K1267" t="s">
        <v>313</v>
      </c>
      <c r="L1267" s="67">
        <v>0.25</v>
      </c>
      <c r="N1267" s="67">
        <v>0</v>
      </c>
      <c r="O1267" s="68">
        <v>45313</v>
      </c>
      <c r="P1267" s="68">
        <v>45313</v>
      </c>
      <c r="Q1267" s="57">
        <v>37964850.77415926</v>
      </c>
      <c r="R1267" t="s">
        <v>2968</v>
      </c>
    </row>
    <row r="1268" spans="1:18">
      <c r="A1268">
        <v>2289</v>
      </c>
      <c r="B1268" t="s">
        <v>3661</v>
      </c>
      <c r="C1268" t="s">
        <v>0</v>
      </c>
      <c r="D1268" t="s">
        <v>1401</v>
      </c>
      <c r="I1268" t="s">
        <v>24</v>
      </c>
      <c r="K1268" t="s">
        <v>313</v>
      </c>
      <c r="L1268" s="67">
        <v>0.25</v>
      </c>
      <c r="N1268" s="67">
        <v>0</v>
      </c>
      <c r="O1268" s="68">
        <v>45313</v>
      </c>
      <c r="P1268" s="68">
        <v>45313</v>
      </c>
      <c r="Q1268" s="57">
        <v>30126133.417176556</v>
      </c>
      <c r="R1268" t="s">
        <v>2968</v>
      </c>
    </row>
    <row r="1269" spans="1:18">
      <c r="A1269">
        <v>2290</v>
      </c>
      <c r="B1269" t="s">
        <v>3663</v>
      </c>
      <c r="C1269" t="s">
        <v>0</v>
      </c>
      <c r="D1269" t="s">
        <v>1401</v>
      </c>
      <c r="I1269" t="s">
        <v>3662</v>
      </c>
      <c r="K1269" t="s">
        <v>313</v>
      </c>
      <c r="L1269" s="67">
        <v>0.25</v>
      </c>
      <c r="N1269" s="67">
        <v>0</v>
      </c>
      <c r="O1269" s="68">
        <v>45313</v>
      </c>
      <c r="P1269" s="68">
        <v>45313</v>
      </c>
      <c r="Q1269" s="57">
        <v>26829008.287351817</v>
      </c>
      <c r="R1269" t="s">
        <v>2968</v>
      </c>
    </row>
    <row r="1270" spans="1:18">
      <c r="A1270">
        <v>2291</v>
      </c>
      <c r="B1270" t="s">
        <v>3665</v>
      </c>
      <c r="C1270" t="s">
        <v>0</v>
      </c>
      <c r="D1270" t="s">
        <v>3664</v>
      </c>
      <c r="I1270" t="s">
        <v>3662</v>
      </c>
      <c r="K1270" t="s">
        <v>313</v>
      </c>
      <c r="L1270" s="67">
        <v>0.25</v>
      </c>
      <c r="N1270" s="67">
        <v>0</v>
      </c>
      <c r="O1270" s="68">
        <v>45313</v>
      </c>
      <c r="P1270" s="68">
        <v>45313</v>
      </c>
      <c r="Q1270" s="57">
        <v>26829008.287351817</v>
      </c>
      <c r="R1270" t="s">
        <v>2968</v>
      </c>
    </row>
    <row r="1271" spans="1:18">
      <c r="A1271">
        <v>2292</v>
      </c>
      <c r="B1271" t="s">
        <v>3666</v>
      </c>
      <c r="C1271" t="s">
        <v>0</v>
      </c>
      <c r="D1271" t="s">
        <v>3664</v>
      </c>
      <c r="I1271" t="s">
        <v>135</v>
      </c>
      <c r="K1271" t="s">
        <v>313</v>
      </c>
      <c r="L1271" s="67">
        <v>0.25</v>
      </c>
      <c r="N1271" s="67">
        <v>0</v>
      </c>
      <c r="O1271" s="68">
        <v>45313</v>
      </c>
      <c r="P1271" s="68">
        <v>45313</v>
      </c>
      <c r="Q1271" s="57">
        <v>16635656.384069176</v>
      </c>
      <c r="R1271" t="s">
        <v>2968</v>
      </c>
    </row>
    <row r="1272" spans="1:18">
      <c r="A1272">
        <v>2293</v>
      </c>
      <c r="B1272" t="s">
        <v>3668</v>
      </c>
      <c r="C1272" t="s">
        <v>0</v>
      </c>
      <c r="D1272" t="s">
        <v>3667</v>
      </c>
      <c r="I1272" t="s">
        <v>135</v>
      </c>
      <c r="K1272" t="s">
        <v>313</v>
      </c>
      <c r="L1272" s="67">
        <v>0.25</v>
      </c>
      <c r="N1272" s="67">
        <v>0</v>
      </c>
      <c r="O1272" s="68">
        <v>45313</v>
      </c>
      <c r="P1272" s="68">
        <v>45313</v>
      </c>
      <c r="Q1272" s="57">
        <v>16635656.384069176</v>
      </c>
      <c r="R1272" t="s">
        <v>2968</v>
      </c>
    </row>
    <row r="1273" spans="1:18">
      <c r="A1273">
        <v>2294</v>
      </c>
      <c r="B1273" t="s">
        <v>3669</v>
      </c>
      <c r="C1273" t="s">
        <v>0</v>
      </c>
      <c r="D1273" t="s">
        <v>3656</v>
      </c>
      <c r="I1273" t="s">
        <v>3030</v>
      </c>
      <c r="K1273" t="s">
        <v>313</v>
      </c>
      <c r="L1273" s="67">
        <v>0.25</v>
      </c>
      <c r="N1273" s="67">
        <v>0</v>
      </c>
      <c r="O1273" s="68">
        <v>45313</v>
      </c>
      <c r="P1273" s="68">
        <v>45313</v>
      </c>
      <c r="Q1273" s="57">
        <v>54408431.46326898</v>
      </c>
      <c r="R1273" t="s">
        <v>2968</v>
      </c>
    </row>
    <row r="1274" spans="1:18">
      <c r="A1274">
        <v>2295</v>
      </c>
      <c r="B1274" t="s">
        <v>3671</v>
      </c>
      <c r="C1274" t="s">
        <v>0</v>
      </c>
      <c r="D1274" t="s">
        <v>3670</v>
      </c>
      <c r="I1274" t="s">
        <v>135</v>
      </c>
      <c r="K1274" t="s">
        <v>313</v>
      </c>
      <c r="L1274" s="67">
        <v>0.25</v>
      </c>
      <c r="N1274" s="67">
        <v>0.03</v>
      </c>
      <c r="O1274" s="68">
        <v>45314</v>
      </c>
      <c r="P1274" s="68">
        <v>45314</v>
      </c>
      <c r="Q1274" s="57">
        <v>34193253.479150116</v>
      </c>
      <c r="R1274" t="s">
        <v>2968</v>
      </c>
    </row>
    <row r="1275" spans="1:18">
      <c r="A1275">
        <v>2296</v>
      </c>
      <c r="B1275" t="s">
        <v>3673</v>
      </c>
      <c r="C1275" t="s">
        <v>0</v>
      </c>
      <c r="D1275" t="s">
        <v>3672</v>
      </c>
      <c r="I1275" t="s">
        <v>3536</v>
      </c>
      <c r="K1275" t="s">
        <v>313</v>
      </c>
      <c r="L1275" s="67">
        <v>0.25</v>
      </c>
      <c r="N1275" s="67">
        <v>0</v>
      </c>
      <c r="O1275" s="68">
        <v>45314</v>
      </c>
      <c r="P1275" s="68">
        <v>45314</v>
      </c>
      <c r="Q1275" s="57">
        <v>31529960.592865221</v>
      </c>
      <c r="R1275" t="s">
        <v>2968</v>
      </c>
    </row>
    <row r="1276" spans="1:18">
      <c r="A1276">
        <v>2297</v>
      </c>
      <c r="B1276" t="s">
        <v>3674</v>
      </c>
      <c r="C1276" t="s">
        <v>0</v>
      </c>
      <c r="D1276" t="s">
        <v>3672</v>
      </c>
      <c r="I1276" t="s">
        <v>3456</v>
      </c>
      <c r="K1276" t="s">
        <v>313</v>
      </c>
      <c r="L1276" s="67">
        <v>0.25</v>
      </c>
      <c r="N1276" s="67">
        <v>0</v>
      </c>
      <c r="O1276" s="68">
        <v>45314</v>
      </c>
      <c r="P1276" s="68">
        <v>45314</v>
      </c>
      <c r="Q1276" s="57">
        <v>55374839.335713647</v>
      </c>
      <c r="R1276" t="s">
        <v>2968</v>
      </c>
    </row>
    <row r="1277" spans="1:18">
      <c r="A1277">
        <v>2298</v>
      </c>
      <c r="B1277" t="s">
        <v>3676</v>
      </c>
      <c r="C1277" t="s">
        <v>0</v>
      </c>
      <c r="D1277" t="s">
        <v>3675</v>
      </c>
      <c r="I1277" t="s">
        <v>3456</v>
      </c>
      <c r="K1277" t="s">
        <v>313</v>
      </c>
      <c r="L1277" s="67">
        <v>0.25</v>
      </c>
      <c r="N1277" s="67">
        <v>0</v>
      </c>
      <c r="O1277" s="68">
        <v>45314</v>
      </c>
      <c r="P1277" s="68">
        <v>45314</v>
      </c>
      <c r="Q1277" s="57">
        <v>55374839.335713647</v>
      </c>
      <c r="R1277" t="s">
        <v>2968</v>
      </c>
    </row>
    <row r="1278" spans="1:18">
      <c r="A1278">
        <v>2299</v>
      </c>
      <c r="B1278" t="s">
        <v>3679</v>
      </c>
      <c r="C1278" t="s">
        <v>0</v>
      </c>
      <c r="D1278" t="s">
        <v>3677</v>
      </c>
      <c r="I1278" t="s">
        <v>3678</v>
      </c>
      <c r="K1278" t="s">
        <v>313</v>
      </c>
      <c r="L1278" s="67">
        <v>0.25</v>
      </c>
      <c r="N1278" s="67">
        <v>0</v>
      </c>
      <c r="O1278" s="68">
        <v>45314</v>
      </c>
      <c r="P1278" s="68">
        <v>45314</v>
      </c>
      <c r="Q1278" s="57">
        <v>14005456.547565721</v>
      </c>
      <c r="R1278" t="s">
        <v>2968</v>
      </c>
    </row>
    <row r="1279" spans="1:18">
      <c r="A1279">
        <v>2300</v>
      </c>
      <c r="B1279" t="s">
        <v>3681</v>
      </c>
      <c r="C1279" t="s">
        <v>0</v>
      </c>
      <c r="D1279" t="s">
        <v>3680</v>
      </c>
      <c r="I1279" t="s">
        <v>1069</v>
      </c>
      <c r="K1279" t="s">
        <v>313</v>
      </c>
      <c r="L1279" s="67">
        <v>0.25</v>
      </c>
      <c r="N1279" s="67">
        <v>0</v>
      </c>
      <c r="O1279" s="68">
        <v>45314</v>
      </c>
      <c r="P1279" s="68">
        <v>45314</v>
      </c>
      <c r="Q1279" s="57">
        <v>33764566.619790941</v>
      </c>
      <c r="R1279" t="s">
        <v>2968</v>
      </c>
    </row>
    <row r="1280" spans="1:18">
      <c r="A1280">
        <v>2301</v>
      </c>
      <c r="B1280" t="s">
        <v>3683</v>
      </c>
      <c r="C1280" t="s">
        <v>0</v>
      </c>
      <c r="D1280" t="s">
        <v>3682</v>
      </c>
      <c r="I1280" t="s">
        <v>3627</v>
      </c>
      <c r="J1280">
        <v>110</v>
      </c>
      <c r="K1280" t="s">
        <v>554</v>
      </c>
      <c r="M1280">
        <v>0</v>
      </c>
      <c r="O1280" s="68">
        <v>45314</v>
      </c>
      <c r="P1280" s="68">
        <v>45314</v>
      </c>
      <c r="R1280" t="s">
        <v>2968</v>
      </c>
    </row>
    <row r="1281" spans="1:18">
      <c r="A1281">
        <v>2302</v>
      </c>
      <c r="B1281" t="s">
        <v>3685</v>
      </c>
      <c r="C1281" t="s">
        <v>0</v>
      </c>
      <c r="D1281" t="s">
        <v>3684</v>
      </c>
      <c r="I1281" t="s">
        <v>3042</v>
      </c>
      <c r="K1281" t="s">
        <v>313</v>
      </c>
      <c r="L1281" s="67">
        <v>0.25</v>
      </c>
      <c r="N1281" s="67">
        <v>0</v>
      </c>
      <c r="O1281" s="68">
        <v>45314</v>
      </c>
      <c r="P1281" s="68">
        <v>45314</v>
      </c>
      <c r="Q1281" s="57">
        <v>45907648.599960148</v>
      </c>
      <c r="R1281" t="s">
        <v>2968</v>
      </c>
    </row>
    <row r="1282" spans="1:18">
      <c r="A1282">
        <v>2303</v>
      </c>
      <c r="B1282" t="s">
        <v>3686</v>
      </c>
      <c r="C1282" t="s">
        <v>0</v>
      </c>
      <c r="D1282" t="s">
        <v>3615</v>
      </c>
      <c r="E1282" t="s">
        <v>1170</v>
      </c>
      <c r="I1282" t="s">
        <v>1610</v>
      </c>
      <c r="K1282" t="s">
        <v>313</v>
      </c>
      <c r="L1282" s="67">
        <v>0.25</v>
      </c>
      <c r="N1282" s="67">
        <v>0.01</v>
      </c>
      <c r="O1282" s="68">
        <v>45314</v>
      </c>
      <c r="P1282" s="68">
        <v>45314</v>
      </c>
      <c r="Q1282" s="57">
        <v>343189043.59568208</v>
      </c>
      <c r="R1282" t="s">
        <v>2968</v>
      </c>
    </row>
    <row r="1283" spans="1:18">
      <c r="A1283">
        <v>2304</v>
      </c>
      <c r="B1283" t="s">
        <v>3689</v>
      </c>
      <c r="C1283" t="s">
        <v>0</v>
      </c>
      <c r="D1283" t="s">
        <v>3688</v>
      </c>
      <c r="I1283" t="s">
        <v>3687</v>
      </c>
      <c r="K1283" t="s">
        <v>313</v>
      </c>
      <c r="L1283" s="67">
        <v>0.25</v>
      </c>
      <c r="N1283" s="67">
        <v>0</v>
      </c>
      <c r="O1283" s="68">
        <v>45314</v>
      </c>
      <c r="P1283" s="68">
        <v>45314</v>
      </c>
      <c r="Q1283" s="57">
        <v>31614868.001426943</v>
      </c>
      <c r="R1283" t="s">
        <v>2968</v>
      </c>
    </row>
    <row r="1284" spans="1:18">
      <c r="A1284">
        <v>2305</v>
      </c>
      <c r="B1284" t="s">
        <v>3692</v>
      </c>
      <c r="C1284" t="s">
        <v>0</v>
      </c>
      <c r="D1284" t="s">
        <v>3690</v>
      </c>
      <c r="I1284" t="s">
        <v>3691</v>
      </c>
      <c r="K1284" t="s">
        <v>313</v>
      </c>
      <c r="L1284" s="67">
        <v>0.25</v>
      </c>
      <c r="N1284" s="67">
        <v>0</v>
      </c>
      <c r="O1284" s="68">
        <v>45314</v>
      </c>
      <c r="P1284" s="68">
        <v>45314</v>
      </c>
      <c r="Q1284" s="57">
        <v>14225224.084772477</v>
      </c>
      <c r="R1284" t="s">
        <v>2968</v>
      </c>
    </row>
    <row r="1285" spans="1:18">
      <c r="A1285">
        <v>2306</v>
      </c>
      <c r="B1285" t="s">
        <v>3693</v>
      </c>
      <c r="C1285" t="s">
        <v>0</v>
      </c>
      <c r="D1285" t="s">
        <v>3690</v>
      </c>
      <c r="I1285" t="s">
        <v>3691</v>
      </c>
      <c r="K1285" t="s">
        <v>313</v>
      </c>
      <c r="L1285" s="67">
        <v>0.25</v>
      </c>
      <c r="N1285" s="67">
        <v>0</v>
      </c>
      <c r="O1285" s="68">
        <v>45314</v>
      </c>
      <c r="P1285" s="68">
        <v>45314</v>
      </c>
      <c r="Q1285" s="57">
        <v>28134995.151439145</v>
      </c>
      <c r="R1285" t="s">
        <v>2968</v>
      </c>
    </row>
    <row r="1286" spans="1:18">
      <c r="A1286">
        <v>2307</v>
      </c>
      <c r="B1286" t="s">
        <v>3696</v>
      </c>
      <c r="C1286" t="s">
        <v>0</v>
      </c>
      <c r="D1286" t="s">
        <v>3694</v>
      </c>
      <c r="I1286" t="s">
        <v>3695</v>
      </c>
      <c r="K1286" t="s">
        <v>313</v>
      </c>
      <c r="L1286" s="67">
        <v>0.25</v>
      </c>
      <c r="N1286" s="67">
        <v>0</v>
      </c>
      <c r="O1286" s="68">
        <v>45315</v>
      </c>
      <c r="P1286" s="68">
        <v>45315</v>
      </c>
      <c r="Q1286" s="57">
        <v>79579303.427257091</v>
      </c>
      <c r="R1286" t="s">
        <v>2968</v>
      </c>
    </row>
    <row r="1287" spans="1:18">
      <c r="A1287">
        <v>2308</v>
      </c>
      <c r="B1287" t="s">
        <v>3697</v>
      </c>
      <c r="C1287" t="s">
        <v>0</v>
      </c>
      <c r="D1287" t="s">
        <v>3694</v>
      </c>
      <c r="I1287" t="s">
        <v>3695</v>
      </c>
      <c r="K1287" t="s">
        <v>313</v>
      </c>
      <c r="L1287" s="67">
        <v>0.25</v>
      </c>
      <c r="N1287" s="67">
        <v>0</v>
      </c>
      <c r="O1287" s="68">
        <v>45315</v>
      </c>
      <c r="P1287" s="68">
        <v>45315</v>
      </c>
      <c r="Q1287" s="57">
        <v>62295271.496223211</v>
      </c>
      <c r="R1287" t="s">
        <v>2968</v>
      </c>
    </row>
    <row r="1288" spans="1:18">
      <c r="A1288">
        <v>2309</v>
      </c>
      <c r="B1288" t="s">
        <v>3700</v>
      </c>
      <c r="C1288" t="s">
        <v>0</v>
      </c>
      <c r="D1288" t="s">
        <v>3698</v>
      </c>
      <c r="I1288" t="s">
        <v>3699</v>
      </c>
      <c r="K1288" t="s">
        <v>313</v>
      </c>
      <c r="L1288" s="67">
        <v>0.25</v>
      </c>
      <c r="N1288" s="67">
        <v>0</v>
      </c>
      <c r="O1288" s="68">
        <v>45315</v>
      </c>
      <c r="P1288" s="68">
        <v>45315</v>
      </c>
      <c r="Q1288" s="57">
        <v>18447430.223588753</v>
      </c>
      <c r="R1288" t="s">
        <v>2968</v>
      </c>
    </row>
    <row r="1289" spans="1:18">
      <c r="A1289">
        <v>2310</v>
      </c>
      <c r="B1289" t="s">
        <v>3702</v>
      </c>
      <c r="C1289" t="s">
        <v>0</v>
      </c>
      <c r="D1289" t="s">
        <v>3701</v>
      </c>
      <c r="I1289" t="s">
        <v>715</v>
      </c>
      <c r="K1289" t="s">
        <v>313</v>
      </c>
      <c r="L1289" s="67">
        <v>0.25</v>
      </c>
      <c r="N1289" s="67">
        <v>0</v>
      </c>
      <c r="O1289" s="68">
        <v>45316</v>
      </c>
      <c r="P1289" s="68">
        <v>45316</v>
      </c>
      <c r="Q1289" s="57">
        <v>92933631.212903053</v>
      </c>
      <c r="R1289" t="s">
        <v>2968</v>
      </c>
    </row>
    <row r="1290" spans="1:18">
      <c r="A1290">
        <v>2311</v>
      </c>
      <c r="B1290" t="s">
        <v>3704</v>
      </c>
      <c r="C1290" t="s">
        <v>0</v>
      </c>
      <c r="D1290" t="s">
        <v>3703</v>
      </c>
      <c r="I1290" t="s">
        <v>3545</v>
      </c>
      <c r="K1290" t="s">
        <v>313</v>
      </c>
      <c r="L1290" s="67">
        <v>0.25</v>
      </c>
      <c r="N1290" s="67">
        <v>0.01</v>
      </c>
      <c r="O1290" s="68">
        <v>45316</v>
      </c>
      <c r="P1290" s="68">
        <v>45316</v>
      </c>
      <c r="Q1290" s="57">
        <v>32918741.05100942</v>
      </c>
      <c r="R1290" t="s">
        <v>2968</v>
      </c>
    </row>
    <row r="1291" spans="1:18">
      <c r="A1291">
        <v>2312</v>
      </c>
      <c r="B1291" t="s">
        <v>3706</v>
      </c>
      <c r="C1291" t="s">
        <v>0</v>
      </c>
      <c r="D1291" t="s">
        <v>3705</v>
      </c>
      <c r="I1291" t="s">
        <v>135</v>
      </c>
      <c r="K1291" t="s">
        <v>313</v>
      </c>
      <c r="L1291" s="67">
        <v>0.25</v>
      </c>
      <c r="N1291" s="67">
        <v>0</v>
      </c>
      <c r="O1291" s="68">
        <v>45316</v>
      </c>
      <c r="P1291" s="68">
        <v>45316</v>
      </c>
      <c r="Q1291" s="57">
        <v>16635656.384069176</v>
      </c>
      <c r="R1291" t="s">
        <v>2968</v>
      </c>
    </row>
    <row r="1292" spans="1:18">
      <c r="A1292">
        <v>2313</v>
      </c>
      <c r="B1292" t="s">
        <v>3708</v>
      </c>
      <c r="C1292" t="s">
        <v>0</v>
      </c>
      <c r="D1292" t="s">
        <v>3707</v>
      </c>
      <c r="I1292" t="s">
        <v>135</v>
      </c>
      <c r="K1292" t="s">
        <v>313</v>
      </c>
      <c r="L1292" s="67">
        <v>0.25</v>
      </c>
      <c r="N1292" s="67">
        <v>0</v>
      </c>
      <c r="O1292" s="68">
        <v>45316</v>
      </c>
      <c r="P1292" s="68">
        <v>45316</v>
      </c>
      <c r="Q1292" s="57">
        <v>16635656.384069176</v>
      </c>
      <c r="R1292" t="s">
        <v>2968</v>
      </c>
    </row>
    <row r="1293" spans="1:18">
      <c r="A1293">
        <v>2314</v>
      </c>
      <c r="B1293" t="s">
        <v>3709</v>
      </c>
      <c r="C1293" t="s">
        <v>0</v>
      </c>
      <c r="D1293" t="s">
        <v>3701</v>
      </c>
      <c r="I1293" t="s">
        <v>715</v>
      </c>
      <c r="K1293" t="s">
        <v>313</v>
      </c>
      <c r="L1293" s="67">
        <v>0.25</v>
      </c>
      <c r="N1293" s="67">
        <v>0</v>
      </c>
      <c r="O1293" s="68">
        <v>45317</v>
      </c>
      <c r="P1293" s="68">
        <v>45317</v>
      </c>
      <c r="Q1293" s="57">
        <v>111990981.81863476</v>
      </c>
      <c r="R1293" t="s">
        <v>2968</v>
      </c>
    </row>
    <row r="1294" spans="1:18">
      <c r="A1294">
        <v>2315</v>
      </c>
      <c r="B1294" t="s">
        <v>3711</v>
      </c>
      <c r="C1294" t="s">
        <v>0</v>
      </c>
      <c r="D1294" t="s">
        <v>3710</v>
      </c>
      <c r="I1294" t="s">
        <v>1610</v>
      </c>
      <c r="K1294" t="s">
        <v>313</v>
      </c>
      <c r="L1294" s="67">
        <v>0.25</v>
      </c>
      <c r="N1294" s="67">
        <v>0</v>
      </c>
      <c r="O1294" s="68">
        <v>45317</v>
      </c>
      <c r="P1294" s="68">
        <v>45317</v>
      </c>
      <c r="Q1294" s="57">
        <v>25188893.620685149</v>
      </c>
      <c r="R1294" t="s">
        <v>2968</v>
      </c>
    </row>
    <row r="1295" spans="1:18">
      <c r="A1295">
        <v>2316</v>
      </c>
      <c r="B1295" t="s">
        <v>3713</v>
      </c>
      <c r="C1295" t="s">
        <v>0</v>
      </c>
      <c r="D1295" t="s">
        <v>3712</v>
      </c>
      <c r="I1295" t="s">
        <v>3042</v>
      </c>
      <c r="K1295" t="s">
        <v>313</v>
      </c>
      <c r="L1295" s="67">
        <v>0.25</v>
      </c>
      <c r="N1295" s="67">
        <v>0</v>
      </c>
      <c r="O1295" s="68">
        <v>45317</v>
      </c>
      <c r="P1295" s="68">
        <v>45317</v>
      </c>
      <c r="Q1295" s="57">
        <v>46391631.937560149</v>
      </c>
      <c r="R1295" t="s">
        <v>2968</v>
      </c>
    </row>
    <row r="1296" spans="1:18">
      <c r="A1296">
        <v>2317</v>
      </c>
      <c r="B1296" t="s">
        <v>3715</v>
      </c>
      <c r="C1296" t="s">
        <v>0</v>
      </c>
      <c r="D1296" t="s">
        <v>3714</v>
      </c>
      <c r="I1296" t="s">
        <v>135</v>
      </c>
      <c r="K1296" t="s">
        <v>313</v>
      </c>
      <c r="L1296" s="67">
        <v>0.25</v>
      </c>
      <c r="N1296" s="67">
        <v>0</v>
      </c>
      <c r="O1296" s="68">
        <v>45317</v>
      </c>
      <c r="P1296" s="68">
        <v>45317</v>
      </c>
      <c r="Q1296" s="57">
        <v>37008409.915236235</v>
      </c>
      <c r="R1296" t="s">
        <v>2968</v>
      </c>
    </row>
    <row r="1297" spans="1:18">
      <c r="A1297">
        <v>2318</v>
      </c>
      <c r="B1297" t="s">
        <v>3717</v>
      </c>
      <c r="C1297" t="s">
        <v>0</v>
      </c>
      <c r="D1297" t="s">
        <v>3716</v>
      </c>
      <c r="I1297" t="s">
        <v>3545</v>
      </c>
      <c r="K1297" t="s">
        <v>313</v>
      </c>
      <c r="L1297" s="67">
        <v>0.25</v>
      </c>
      <c r="N1297" s="67">
        <v>0.01</v>
      </c>
      <c r="O1297" s="68">
        <v>45320</v>
      </c>
      <c r="P1297" s="68">
        <v>45320</v>
      </c>
      <c r="Q1297" s="57">
        <v>45215687.59627302</v>
      </c>
      <c r="R1297" t="s">
        <v>2968</v>
      </c>
    </row>
    <row r="1298" spans="1:18">
      <c r="A1298">
        <v>2319</v>
      </c>
      <c r="B1298" t="s">
        <v>3719</v>
      </c>
      <c r="C1298" t="s">
        <v>0</v>
      </c>
      <c r="D1298" t="s">
        <v>3718</v>
      </c>
      <c r="I1298" t="s">
        <v>3545</v>
      </c>
      <c r="K1298" t="s">
        <v>313</v>
      </c>
      <c r="L1298" s="67">
        <v>0.25</v>
      </c>
      <c r="N1298" s="67">
        <v>0.01</v>
      </c>
      <c r="O1298" s="68">
        <v>45320</v>
      </c>
      <c r="P1298" s="68">
        <v>45320</v>
      </c>
      <c r="Q1298" s="57">
        <v>33137127.82540942</v>
      </c>
      <c r="R1298" t="s">
        <v>2968</v>
      </c>
    </row>
    <row r="1299" spans="1:18">
      <c r="A1299">
        <v>2320</v>
      </c>
      <c r="B1299" t="s">
        <v>3721</v>
      </c>
      <c r="C1299" t="s">
        <v>0</v>
      </c>
      <c r="D1299" t="s">
        <v>3718</v>
      </c>
      <c r="I1299" t="s">
        <v>3720</v>
      </c>
      <c r="K1299" t="s">
        <v>313</v>
      </c>
      <c r="L1299" s="67">
        <v>0.25</v>
      </c>
      <c r="N1299" s="67">
        <v>0.01</v>
      </c>
      <c r="O1299" s="68">
        <v>45320</v>
      </c>
      <c r="P1299" s="68">
        <v>45320</v>
      </c>
      <c r="Q1299" s="57">
        <v>20690035.352869891</v>
      </c>
      <c r="R1299" t="s">
        <v>2968</v>
      </c>
    </row>
    <row r="1300" spans="1:18">
      <c r="A1300">
        <v>2321</v>
      </c>
      <c r="B1300" t="s">
        <v>3723</v>
      </c>
      <c r="C1300" t="s">
        <v>0</v>
      </c>
      <c r="D1300" t="s">
        <v>3722</v>
      </c>
      <c r="I1300" t="s">
        <v>3720</v>
      </c>
      <c r="K1300" t="s">
        <v>313</v>
      </c>
      <c r="L1300" s="67">
        <v>0.25</v>
      </c>
      <c r="N1300" s="67">
        <v>0.01</v>
      </c>
      <c r="O1300" s="68">
        <v>45320</v>
      </c>
      <c r="P1300" s="68">
        <v>45320</v>
      </c>
      <c r="Q1300" s="57">
        <v>20690035.352869891</v>
      </c>
      <c r="R1300" t="s">
        <v>2968</v>
      </c>
    </row>
    <row r="1301" spans="1:18">
      <c r="A1301">
        <v>2322</v>
      </c>
      <c r="B1301" t="s">
        <v>3725</v>
      </c>
      <c r="C1301" t="s">
        <v>0</v>
      </c>
      <c r="D1301" t="s">
        <v>3724</v>
      </c>
      <c r="I1301" t="s">
        <v>3545</v>
      </c>
      <c r="K1301" t="s">
        <v>313</v>
      </c>
      <c r="L1301" s="67">
        <v>0.25</v>
      </c>
      <c r="N1301" s="67">
        <v>0.01</v>
      </c>
      <c r="O1301" s="68">
        <v>45320</v>
      </c>
      <c r="P1301" s="68">
        <v>45320</v>
      </c>
      <c r="Q1301" s="57">
        <v>90316484.5054304</v>
      </c>
      <c r="R1301" t="s">
        <v>2968</v>
      </c>
    </row>
    <row r="1302" spans="1:18">
      <c r="A1302">
        <v>2323</v>
      </c>
      <c r="B1302" t="s">
        <v>3726</v>
      </c>
      <c r="C1302" t="s">
        <v>0</v>
      </c>
      <c r="D1302" t="s">
        <v>3579</v>
      </c>
      <c r="I1302" t="s">
        <v>2970</v>
      </c>
      <c r="K1302" t="s">
        <v>313</v>
      </c>
      <c r="L1302" s="67">
        <v>0.25</v>
      </c>
      <c r="N1302" s="67">
        <v>0</v>
      </c>
      <c r="O1302" s="68">
        <v>45320</v>
      </c>
      <c r="P1302" s="68">
        <v>45320</v>
      </c>
      <c r="Q1302" s="57">
        <v>20136445.409609135</v>
      </c>
      <c r="R1302" t="s">
        <v>2968</v>
      </c>
    </row>
    <row r="1303" spans="1:18">
      <c r="A1303">
        <v>2324</v>
      </c>
      <c r="B1303" t="s">
        <v>3728</v>
      </c>
      <c r="C1303" t="s">
        <v>0</v>
      </c>
      <c r="D1303" t="s">
        <v>3727</v>
      </c>
      <c r="I1303" t="s">
        <v>3453</v>
      </c>
      <c r="K1303" t="s">
        <v>313</v>
      </c>
      <c r="L1303" s="67">
        <v>0.25</v>
      </c>
      <c r="N1303" s="67">
        <v>0</v>
      </c>
      <c r="O1303" s="68">
        <v>45320</v>
      </c>
      <c r="P1303" s="68">
        <v>45320</v>
      </c>
      <c r="Q1303" s="57">
        <v>22299672.689410601</v>
      </c>
      <c r="R1303" t="s">
        <v>2968</v>
      </c>
    </row>
    <row r="1304" spans="1:18">
      <c r="A1304">
        <v>2325</v>
      </c>
      <c r="B1304" t="s">
        <v>3731</v>
      </c>
      <c r="C1304" t="s">
        <v>0</v>
      </c>
      <c r="D1304" t="s">
        <v>3729</v>
      </c>
      <c r="I1304" t="s">
        <v>3730</v>
      </c>
      <c r="K1304" t="s">
        <v>313</v>
      </c>
      <c r="L1304" s="67">
        <v>0.25</v>
      </c>
      <c r="N1304" s="67">
        <v>0</v>
      </c>
      <c r="O1304" s="68">
        <v>45320</v>
      </c>
      <c r="P1304" s="68">
        <v>45320</v>
      </c>
      <c r="Q1304" s="57">
        <v>37479666.397028953</v>
      </c>
      <c r="R1304" t="s">
        <v>2968</v>
      </c>
    </row>
    <row r="1305" spans="1:18">
      <c r="A1305">
        <v>2326</v>
      </c>
      <c r="B1305" t="s">
        <v>3732</v>
      </c>
      <c r="C1305" t="s">
        <v>0</v>
      </c>
      <c r="D1305" t="s">
        <v>3000</v>
      </c>
      <c r="I1305" t="s">
        <v>3001</v>
      </c>
      <c r="K1305" t="s">
        <v>313</v>
      </c>
      <c r="L1305" s="67">
        <v>0.25</v>
      </c>
      <c r="N1305" s="67">
        <v>0</v>
      </c>
      <c r="O1305" s="68">
        <v>45320</v>
      </c>
      <c r="P1305" s="68">
        <v>45320</v>
      </c>
      <c r="Q1305" s="57">
        <v>21589248.689410601</v>
      </c>
      <c r="R1305" t="s">
        <v>2968</v>
      </c>
    </row>
    <row r="1306" spans="1:18">
      <c r="A1306">
        <v>2327</v>
      </c>
      <c r="B1306" t="s">
        <v>3733</v>
      </c>
      <c r="C1306" t="s">
        <v>0</v>
      </c>
      <c r="D1306" t="s">
        <v>3682</v>
      </c>
      <c r="I1306" t="s">
        <v>3627</v>
      </c>
      <c r="J1306">
        <v>110</v>
      </c>
      <c r="K1306" t="s">
        <v>554</v>
      </c>
      <c r="M1306">
        <v>0</v>
      </c>
      <c r="O1306" s="68">
        <v>45320</v>
      </c>
      <c r="P1306" s="68">
        <v>45320</v>
      </c>
      <c r="R1306" t="s">
        <v>2968</v>
      </c>
    </row>
    <row r="1307" spans="1:18">
      <c r="A1307">
        <v>2328</v>
      </c>
      <c r="B1307" t="s">
        <v>3734</v>
      </c>
      <c r="C1307" t="s">
        <v>0</v>
      </c>
      <c r="D1307" t="s">
        <v>3000</v>
      </c>
      <c r="I1307" t="s">
        <v>3001</v>
      </c>
      <c r="K1307" t="s">
        <v>313</v>
      </c>
      <c r="L1307" s="67">
        <v>0.25</v>
      </c>
      <c r="N1307" s="67">
        <v>0</v>
      </c>
      <c r="O1307" s="68">
        <v>45320</v>
      </c>
      <c r="P1307" s="68">
        <v>45320</v>
      </c>
      <c r="Q1307" s="57">
        <v>21589248.689410601</v>
      </c>
      <c r="R1307" t="s">
        <v>2968</v>
      </c>
    </row>
    <row r="1308" spans="1:18">
      <c r="A1308">
        <v>2329</v>
      </c>
      <c r="B1308" t="s">
        <v>3735</v>
      </c>
      <c r="C1308" t="s">
        <v>0</v>
      </c>
      <c r="D1308" t="s">
        <v>3000</v>
      </c>
      <c r="I1308" t="s">
        <v>3001</v>
      </c>
      <c r="K1308" t="s">
        <v>313</v>
      </c>
      <c r="L1308" s="67">
        <v>0.25</v>
      </c>
      <c r="N1308" s="67">
        <v>0</v>
      </c>
      <c r="O1308" s="68">
        <v>45321</v>
      </c>
      <c r="P1308" s="68">
        <v>45321</v>
      </c>
      <c r="Q1308" s="57">
        <v>21589248.689410601</v>
      </c>
      <c r="R1308" t="s">
        <v>2968</v>
      </c>
    </row>
    <row r="1309" spans="1:18">
      <c r="A1309">
        <v>2330</v>
      </c>
      <c r="B1309" t="s">
        <v>3737</v>
      </c>
      <c r="C1309" t="s">
        <v>0</v>
      </c>
      <c r="D1309" t="s">
        <v>3736</v>
      </c>
      <c r="I1309" t="s">
        <v>1134</v>
      </c>
      <c r="K1309" t="s">
        <v>313</v>
      </c>
      <c r="L1309" s="67">
        <v>0.25</v>
      </c>
      <c r="N1309" s="67">
        <v>0</v>
      </c>
      <c r="O1309" s="68">
        <v>45321</v>
      </c>
      <c r="P1309" s="68">
        <v>45321</v>
      </c>
      <c r="Q1309" s="57">
        <v>22374451.10799602</v>
      </c>
      <c r="R1309" t="s">
        <v>2968</v>
      </c>
    </row>
    <row r="1310" spans="1:18">
      <c r="A1310">
        <v>2331</v>
      </c>
      <c r="B1310" t="s">
        <v>3738</v>
      </c>
      <c r="C1310" t="s">
        <v>0</v>
      </c>
      <c r="D1310" t="s">
        <v>3000</v>
      </c>
      <c r="I1310" t="s">
        <v>3001</v>
      </c>
      <c r="K1310" t="s">
        <v>313</v>
      </c>
      <c r="L1310" s="67">
        <v>0.25</v>
      </c>
      <c r="N1310" s="67">
        <v>0</v>
      </c>
      <c r="O1310" s="68">
        <v>45321</v>
      </c>
      <c r="P1310" s="68">
        <v>45321</v>
      </c>
      <c r="Q1310" s="57">
        <v>23821838.977277067</v>
      </c>
      <c r="R1310" t="s">
        <v>2968</v>
      </c>
    </row>
    <row r="1311" spans="1:18">
      <c r="A1311">
        <v>2332</v>
      </c>
      <c r="B1311" t="s">
        <v>3739</v>
      </c>
      <c r="C1311" t="s">
        <v>0</v>
      </c>
      <c r="D1311" t="s">
        <v>3736</v>
      </c>
      <c r="I1311" t="s">
        <v>1134</v>
      </c>
      <c r="K1311" t="s">
        <v>313</v>
      </c>
      <c r="L1311" s="67">
        <v>0.25</v>
      </c>
      <c r="N1311" s="67">
        <v>0</v>
      </c>
      <c r="O1311" s="68">
        <v>45321</v>
      </c>
      <c r="P1311" s="68">
        <v>45321</v>
      </c>
      <c r="Q1311" s="57">
        <v>38629756.132704683</v>
      </c>
      <c r="R1311" t="s">
        <v>2968</v>
      </c>
    </row>
    <row r="1312" spans="1:18">
      <c r="A1312">
        <v>2333</v>
      </c>
      <c r="B1312" t="s">
        <v>3741</v>
      </c>
      <c r="C1312" t="s">
        <v>7</v>
      </c>
      <c r="D1312" t="s">
        <v>3740</v>
      </c>
      <c r="I1312" t="s">
        <v>24</v>
      </c>
      <c r="K1312" t="s">
        <v>313</v>
      </c>
      <c r="L1312" s="67">
        <v>0.25</v>
      </c>
      <c r="N1312" s="67">
        <v>0.03</v>
      </c>
      <c r="O1312" s="68">
        <v>45324</v>
      </c>
      <c r="P1312" s="68">
        <v>45324</v>
      </c>
      <c r="Q1312" s="57">
        <v>94010172.068298683</v>
      </c>
      <c r="R1312" t="s">
        <v>2968</v>
      </c>
    </row>
    <row r="1313" spans="1:18">
      <c r="A1313">
        <v>2334</v>
      </c>
      <c r="B1313" t="s">
        <v>3742</v>
      </c>
      <c r="C1313" t="s">
        <v>7</v>
      </c>
      <c r="D1313" t="s">
        <v>3740</v>
      </c>
      <c r="I1313" t="s">
        <v>24</v>
      </c>
      <c r="K1313" t="s">
        <v>313</v>
      </c>
      <c r="L1313" s="67">
        <v>0.25</v>
      </c>
      <c r="N1313" s="67">
        <v>0.03</v>
      </c>
      <c r="O1313" s="68">
        <v>45324</v>
      </c>
      <c r="P1313" s="68">
        <v>45324</v>
      </c>
      <c r="Q1313" s="57">
        <v>94010172.068298683</v>
      </c>
      <c r="R1313" t="s">
        <v>2968</v>
      </c>
    </row>
    <row r="1314" spans="1:18">
      <c r="A1314">
        <v>2335</v>
      </c>
      <c r="B1314" t="s">
        <v>3743</v>
      </c>
      <c r="C1314" t="s">
        <v>7</v>
      </c>
      <c r="D1314" t="s">
        <v>3740</v>
      </c>
      <c r="I1314" t="s">
        <v>24</v>
      </c>
      <c r="K1314" t="s">
        <v>313</v>
      </c>
      <c r="L1314" s="67">
        <v>0.25</v>
      </c>
      <c r="N1314" s="67">
        <v>0.03</v>
      </c>
      <c r="O1314" s="68">
        <v>45329</v>
      </c>
      <c r="P1314" s="68">
        <v>45329</v>
      </c>
      <c r="Q1314" s="57">
        <v>94010172.068298683</v>
      </c>
      <c r="R1314" t="s">
        <v>623</v>
      </c>
    </row>
    <row r="1315" spans="1:18">
      <c r="A1315">
        <v>2336</v>
      </c>
      <c r="B1315" t="s">
        <v>3744</v>
      </c>
      <c r="C1315" t="s">
        <v>7</v>
      </c>
      <c r="D1315" t="s">
        <v>3740</v>
      </c>
      <c r="I1315" t="s">
        <v>24</v>
      </c>
      <c r="K1315" t="s">
        <v>313</v>
      </c>
      <c r="L1315" s="67">
        <v>0.25</v>
      </c>
      <c r="N1315" s="67">
        <v>0.03</v>
      </c>
      <c r="O1315" s="68">
        <v>45329</v>
      </c>
      <c r="P1315" s="68">
        <v>45329</v>
      </c>
      <c r="Q1315" s="57">
        <v>138913528.70133868</v>
      </c>
      <c r="R1315" t="s">
        <v>623</v>
      </c>
    </row>
    <row r="1316" spans="1:18">
      <c r="A1316">
        <v>2337</v>
      </c>
      <c r="B1316" t="s">
        <v>3747</v>
      </c>
      <c r="C1316" t="s">
        <v>7</v>
      </c>
      <c r="D1316" t="s">
        <v>3745</v>
      </c>
      <c r="I1316" t="s">
        <v>1940</v>
      </c>
      <c r="K1316" t="s">
        <v>313</v>
      </c>
      <c r="L1316" s="67">
        <v>0.3</v>
      </c>
      <c r="O1316" s="68">
        <v>45329</v>
      </c>
      <c r="P1316" s="68">
        <v>45329</v>
      </c>
      <c r="Q1316" s="57">
        <v>220441182.60713223</v>
      </c>
      <c r="R1316" t="s">
        <v>623</v>
      </c>
    </row>
    <row r="1317" spans="1:18">
      <c r="A1317">
        <v>2338</v>
      </c>
      <c r="B1317" t="s">
        <v>3749</v>
      </c>
      <c r="C1317" t="s">
        <v>7</v>
      </c>
      <c r="D1317" t="s">
        <v>2829</v>
      </c>
      <c r="H1317" t="s">
        <v>3748</v>
      </c>
      <c r="I1317" t="s">
        <v>24</v>
      </c>
      <c r="K1317" t="s">
        <v>313</v>
      </c>
      <c r="L1317" s="67">
        <v>0.25</v>
      </c>
      <c r="O1317" s="68">
        <v>45334</v>
      </c>
      <c r="P1317" s="68">
        <v>45334</v>
      </c>
      <c r="Q1317" s="57">
        <v>19625591.441811573</v>
      </c>
      <c r="R1317" t="s">
        <v>623</v>
      </c>
    </row>
    <row r="1318" spans="1:18">
      <c r="A1318">
        <v>2339</v>
      </c>
      <c r="B1318" t="s">
        <v>3750</v>
      </c>
      <c r="C1318" t="s">
        <v>7</v>
      </c>
      <c r="D1318" t="s">
        <v>2829</v>
      </c>
      <c r="H1318" t="s">
        <v>3748</v>
      </c>
      <c r="I1318" t="s">
        <v>24</v>
      </c>
      <c r="K1318" t="s">
        <v>313</v>
      </c>
      <c r="L1318" s="67">
        <v>0.33094574630187928</v>
      </c>
      <c r="O1318" s="68">
        <v>45334</v>
      </c>
      <c r="P1318" s="68">
        <v>45334</v>
      </c>
      <c r="Q1318" s="57">
        <v>22000000.000000034</v>
      </c>
      <c r="R1318" t="s">
        <v>623</v>
      </c>
    </row>
    <row r="1319" spans="1:18">
      <c r="A1319">
        <v>2340</v>
      </c>
      <c r="B1319" t="s">
        <v>3753</v>
      </c>
      <c r="C1319" t="s">
        <v>7</v>
      </c>
      <c r="D1319" t="s">
        <v>3752</v>
      </c>
      <c r="H1319" t="s">
        <v>3751</v>
      </c>
      <c r="I1319" t="s">
        <v>884</v>
      </c>
      <c r="K1319" t="s">
        <v>313</v>
      </c>
      <c r="L1319" s="67">
        <v>0.33094574630187928</v>
      </c>
      <c r="O1319" s="68">
        <v>45337</v>
      </c>
      <c r="P1319" s="68">
        <v>45337</v>
      </c>
      <c r="Q1319" s="57">
        <v>89121277.287920222</v>
      </c>
      <c r="R1319" t="s">
        <v>623</v>
      </c>
    </row>
    <row r="1320" spans="1:18">
      <c r="A1320">
        <v>2341</v>
      </c>
      <c r="B1320" t="s">
        <v>3756</v>
      </c>
      <c r="C1320" t="s">
        <v>7</v>
      </c>
      <c r="D1320" t="s">
        <v>3754</v>
      </c>
      <c r="H1320" t="s">
        <v>3751</v>
      </c>
      <c r="I1320" t="s">
        <v>3755</v>
      </c>
      <c r="K1320" t="s">
        <v>313</v>
      </c>
      <c r="L1320" s="67">
        <v>0.25</v>
      </c>
      <c r="N1320" s="67">
        <v>0.05</v>
      </c>
      <c r="O1320" s="68">
        <v>45338</v>
      </c>
      <c r="P1320" s="68">
        <v>45338</v>
      </c>
      <c r="Q1320" s="57">
        <v>35053074.529273622</v>
      </c>
      <c r="R1320" t="s">
        <v>623</v>
      </c>
    </row>
    <row r="1321" spans="1:18">
      <c r="A1321">
        <v>2342</v>
      </c>
      <c r="B1321" t="s">
        <v>3760</v>
      </c>
      <c r="C1321" t="s">
        <v>7</v>
      </c>
      <c r="D1321" t="s">
        <v>3757</v>
      </c>
      <c r="F1321" t="s">
        <v>3758</v>
      </c>
      <c r="H1321" t="s">
        <v>3759</v>
      </c>
      <c r="I1321" t="s">
        <v>884</v>
      </c>
      <c r="K1321" t="s">
        <v>313</v>
      </c>
      <c r="L1321" s="67">
        <v>0.25</v>
      </c>
      <c r="N1321" s="67">
        <v>0.05</v>
      </c>
      <c r="O1321" s="68">
        <v>45341</v>
      </c>
      <c r="P1321" s="68">
        <v>45341</v>
      </c>
      <c r="Q1321" s="57">
        <v>259843135.20551899</v>
      </c>
      <c r="R1321" t="s">
        <v>623</v>
      </c>
    </row>
    <row r="1322" spans="1:18">
      <c r="A1322">
        <v>2343</v>
      </c>
      <c r="B1322" t="s">
        <v>3762</v>
      </c>
      <c r="C1322" t="s">
        <v>0</v>
      </c>
      <c r="D1322" t="s">
        <v>3761</v>
      </c>
      <c r="I1322" t="s">
        <v>1434</v>
      </c>
      <c r="K1322" t="s">
        <v>313</v>
      </c>
      <c r="L1322" s="67">
        <v>0.3</v>
      </c>
      <c r="N1322" s="67">
        <v>0.03</v>
      </c>
      <c r="O1322" s="68">
        <v>45343</v>
      </c>
      <c r="P1322" s="68">
        <v>45343</v>
      </c>
      <c r="Q1322" s="57">
        <v>33375526.455830306</v>
      </c>
      <c r="R1322" t="s">
        <v>623</v>
      </c>
    </row>
    <row r="1323" spans="1:18">
      <c r="A1323">
        <v>2344</v>
      </c>
      <c r="B1323" t="s">
        <v>3763</v>
      </c>
      <c r="C1323" t="s">
        <v>0</v>
      </c>
      <c r="D1323" t="s">
        <v>3761</v>
      </c>
      <c r="I1323" t="s">
        <v>1434</v>
      </c>
      <c r="K1323" t="s">
        <v>313</v>
      </c>
      <c r="L1323" s="67">
        <v>0.27835072361248792</v>
      </c>
      <c r="N1323" s="67">
        <v>0.03</v>
      </c>
      <c r="O1323" s="68">
        <v>45343</v>
      </c>
      <c r="P1323" s="68">
        <v>45343</v>
      </c>
      <c r="Q1323" s="57">
        <v>32374270.000010069</v>
      </c>
      <c r="R1323" t="s">
        <v>623</v>
      </c>
    </row>
    <row r="1324" spans="1:18">
      <c r="A1324">
        <v>2345</v>
      </c>
      <c r="B1324" t="s">
        <v>3765</v>
      </c>
      <c r="C1324" t="s">
        <v>0</v>
      </c>
      <c r="D1324" t="s">
        <v>3764</v>
      </c>
      <c r="I1324" t="s">
        <v>817</v>
      </c>
      <c r="K1324" t="s">
        <v>313</v>
      </c>
      <c r="L1324" s="67">
        <v>0.25</v>
      </c>
      <c r="N1324" s="67">
        <v>0</v>
      </c>
      <c r="O1324" s="68">
        <v>45344</v>
      </c>
      <c r="P1324" s="68">
        <v>45344</v>
      </c>
      <c r="Q1324" s="57">
        <v>12353203.426768899</v>
      </c>
      <c r="R1324" t="s">
        <v>623</v>
      </c>
    </row>
    <row r="1325" spans="1:18">
      <c r="A1325">
        <v>2346</v>
      </c>
      <c r="B1325" t="s">
        <v>3766</v>
      </c>
      <c r="C1325" t="s">
        <v>0</v>
      </c>
      <c r="D1325" t="s">
        <v>3764</v>
      </c>
      <c r="I1325" t="s">
        <v>817</v>
      </c>
      <c r="K1325" t="s">
        <v>313</v>
      </c>
      <c r="L1325" s="67">
        <v>0.25</v>
      </c>
      <c r="N1325" s="67">
        <v>0</v>
      </c>
      <c r="O1325" s="68">
        <v>45344</v>
      </c>
      <c r="P1325" s="68">
        <v>45344</v>
      </c>
      <c r="Q1325" s="57">
        <v>13954966.531360049</v>
      </c>
      <c r="R1325" t="s">
        <v>623</v>
      </c>
    </row>
    <row r="1326" spans="1:18">
      <c r="A1326">
        <v>2347</v>
      </c>
      <c r="B1326" t="s">
        <v>3772</v>
      </c>
      <c r="C1326" t="s">
        <v>7</v>
      </c>
      <c r="D1326" t="s">
        <v>3770</v>
      </c>
      <c r="H1326" t="s">
        <v>3769</v>
      </c>
      <c r="I1326" t="s">
        <v>884</v>
      </c>
      <c r="K1326" t="s">
        <v>313</v>
      </c>
      <c r="L1326" s="67">
        <v>0.25</v>
      </c>
      <c r="N1326" s="67">
        <v>0</v>
      </c>
      <c r="O1326" s="68">
        <v>45345</v>
      </c>
      <c r="P1326" s="68">
        <v>45345</v>
      </c>
      <c r="Q1326" s="57">
        <v>37316070.218279295</v>
      </c>
      <c r="R1326" t="s">
        <v>623</v>
      </c>
    </row>
    <row r="1327" spans="1:18">
      <c r="A1327">
        <v>2348</v>
      </c>
      <c r="B1327" t="s">
        <v>3785</v>
      </c>
      <c r="C1327" t="s">
        <v>7</v>
      </c>
      <c r="D1327" t="s">
        <v>3784</v>
      </c>
      <c r="I1327" t="s">
        <v>135</v>
      </c>
      <c r="K1327" t="s">
        <v>313</v>
      </c>
      <c r="L1327" s="67">
        <v>0.05</v>
      </c>
      <c r="M1327" t="s">
        <v>4</v>
      </c>
      <c r="N1327" s="67" t="s">
        <v>8</v>
      </c>
      <c r="O1327" s="68">
        <v>45349</v>
      </c>
      <c r="P1327" s="68">
        <v>45349</v>
      </c>
      <c r="R1327" t="s">
        <v>623</v>
      </c>
    </row>
    <row r="1328" spans="1:18">
      <c r="A1328">
        <v>2349</v>
      </c>
      <c r="B1328" t="s">
        <v>3786</v>
      </c>
      <c r="C1328" t="s">
        <v>7</v>
      </c>
      <c r="D1328" t="s">
        <v>3784</v>
      </c>
      <c r="I1328" t="s">
        <v>135</v>
      </c>
      <c r="K1328" t="s">
        <v>313</v>
      </c>
      <c r="L1328" s="67">
        <v>0.05</v>
      </c>
      <c r="M1328" t="s">
        <v>4</v>
      </c>
      <c r="N1328" s="67" t="s">
        <v>8</v>
      </c>
      <c r="O1328" s="68">
        <v>45349</v>
      </c>
      <c r="P1328" s="68">
        <v>45349</v>
      </c>
      <c r="R1328" t="s">
        <v>623</v>
      </c>
    </row>
    <row r="1329" spans="1:18">
      <c r="A1329">
        <v>2350</v>
      </c>
      <c r="B1329" t="s">
        <v>3787</v>
      </c>
      <c r="C1329" t="s">
        <v>7</v>
      </c>
      <c r="D1329" t="s">
        <v>3784</v>
      </c>
      <c r="I1329" t="s">
        <v>135</v>
      </c>
      <c r="K1329" t="s">
        <v>313</v>
      </c>
      <c r="L1329" s="67">
        <v>0.05</v>
      </c>
      <c r="M1329" t="s">
        <v>4</v>
      </c>
      <c r="N1329" s="67" t="s">
        <v>8</v>
      </c>
      <c r="O1329" s="68">
        <v>45349</v>
      </c>
      <c r="P1329" s="68">
        <v>45349</v>
      </c>
      <c r="R1329" t="s">
        <v>623</v>
      </c>
    </row>
    <row r="1330" spans="1:18">
      <c r="A1330">
        <v>2351</v>
      </c>
      <c r="B1330" t="s">
        <v>3789</v>
      </c>
      <c r="C1330" t="s">
        <v>0</v>
      </c>
      <c r="D1330" t="s">
        <v>3788</v>
      </c>
      <c r="I1330" t="s">
        <v>1915</v>
      </c>
      <c r="K1330" t="s">
        <v>313</v>
      </c>
      <c r="L1330" s="67">
        <v>0.05</v>
      </c>
      <c r="M1330" t="s">
        <v>4</v>
      </c>
      <c r="N1330" s="67" t="s">
        <v>8</v>
      </c>
      <c r="O1330" s="68">
        <v>45349</v>
      </c>
      <c r="P1330" s="68">
        <v>45349</v>
      </c>
      <c r="R1330" t="s">
        <v>623</v>
      </c>
    </row>
    <row r="1331" spans="1:18">
      <c r="A1331">
        <v>2352</v>
      </c>
      <c r="B1331" t="s">
        <v>3790</v>
      </c>
      <c r="C1331" t="s">
        <v>7</v>
      </c>
      <c r="D1331" t="s">
        <v>2508</v>
      </c>
      <c r="I1331" t="s">
        <v>24</v>
      </c>
      <c r="K1331" t="s">
        <v>313</v>
      </c>
      <c r="L1331" s="67">
        <v>0.03</v>
      </c>
      <c r="M1331" t="s">
        <v>4</v>
      </c>
      <c r="N1331" s="67" t="s">
        <v>8</v>
      </c>
      <c r="O1331" s="68">
        <v>45352</v>
      </c>
      <c r="P1331" s="68">
        <v>45352</v>
      </c>
      <c r="R1331" t="s">
        <v>623</v>
      </c>
    </row>
    <row r="1332" spans="1:18">
      <c r="A1332">
        <v>2353</v>
      </c>
      <c r="B1332" t="s">
        <v>3792</v>
      </c>
      <c r="C1332" t="s">
        <v>0</v>
      </c>
      <c r="D1332" t="s">
        <v>3791</v>
      </c>
      <c r="I1332" t="s">
        <v>1434</v>
      </c>
      <c r="K1332" t="s">
        <v>313</v>
      </c>
      <c r="L1332" s="67">
        <v>0</v>
      </c>
      <c r="M1332" t="s">
        <v>4</v>
      </c>
      <c r="N1332" s="67" t="s">
        <v>8</v>
      </c>
      <c r="O1332" s="68">
        <v>45352</v>
      </c>
      <c r="P1332" s="68">
        <v>45352</v>
      </c>
      <c r="R1332" t="s">
        <v>623</v>
      </c>
    </row>
    <row r="1333" spans="1:18">
      <c r="A1333">
        <v>2354</v>
      </c>
      <c r="B1333" t="s">
        <v>3793</v>
      </c>
      <c r="C1333" t="s">
        <v>0</v>
      </c>
      <c r="D1333" t="s">
        <v>3791</v>
      </c>
      <c r="I1333" t="s">
        <v>1434</v>
      </c>
      <c r="K1333" t="s">
        <v>313</v>
      </c>
      <c r="L1333" s="67">
        <v>0</v>
      </c>
      <c r="M1333" t="s">
        <v>4</v>
      </c>
      <c r="N1333" s="67" t="s">
        <v>8</v>
      </c>
      <c r="O1333" s="68">
        <v>45352</v>
      </c>
      <c r="P1333" s="68">
        <v>45352</v>
      </c>
      <c r="R1333" t="s">
        <v>623</v>
      </c>
    </row>
    <row r="1334" spans="1:18">
      <c r="A1334">
        <v>2355</v>
      </c>
      <c r="B1334" t="s">
        <v>3794</v>
      </c>
      <c r="C1334" t="s">
        <v>0</v>
      </c>
      <c r="D1334" t="s">
        <v>3791</v>
      </c>
      <c r="I1334" t="s">
        <v>1434</v>
      </c>
      <c r="K1334" t="s">
        <v>313</v>
      </c>
      <c r="L1334" s="67">
        <v>0</v>
      </c>
      <c r="M1334" t="s">
        <v>4</v>
      </c>
      <c r="N1334" s="67" t="s">
        <v>8</v>
      </c>
      <c r="O1334" s="68">
        <v>45352</v>
      </c>
      <c r="P1334" s="68">
        <v>45352</v>
      </c>
      <c r="R1334" t="s">
        <v>623</v>
      </c>
    </row>
    <row r="1335" spans="1:18">
      <c r="A1335">
        <v>2356</v>
      </c>
      <c r="B1335" t="s">
        <v>3795</v>
      </c>
      <c r="C1335" t="s">
        <v>0</v>
      </c>
      <c r="D1335" t="s">
        <v>3791</v>
      </c>
      <c r="I1335" t="s">
        <v>1434</v>
      </c>
      <c r="K1335" t="s">
        <v>313</v>
      </c>
      <c r="L1335" s="67">
        <v>0</v>
      </c>
      <c r="M1335" t="s">
        <v>4</v>
      </c>
      <c r="N1335" s="67" t="s">
        <v>8</v>
      </c>
      <c r="O1335" s="68">
        <v>45352</v>
      </c>
      <c r="P1335" s="68">
        <v>45352</v>
      </c>
      <c r="R1335" t="s">
        <v>623</v>
      </c>
    </row>
    <row r="1336" spans="1:18">
      <c r="A1336">
        <v>2357</v>
      </c>
      <c r="B1336" t="s">
        <v>3796</v>
      </c>
      <c r="C1336" t="s">
        <v>0</v>
      </c>
      <c r="D1336" t="s">
        <v>3764</v>
      </c>
      <c r="I1336" t="s">
        <v>817</v>
      </c>
      <c r="K1336" t="s">
        <v>313</v>
      </c>
      <c r="L1336" s="67">
        <v>0.02</v>
      </c>
      <c r="M1336" t="s">
        <v>4</v>
      </c>
      <c r="N1336" s="67" t="s">
        <v>8</v>
      </c>
      <c r="O1336" s="68">
        <v>45353</v>
      </c>
      <c r="P1336" s="68">
        <v>45353</v>
      </c>
      <c r="R1336" t="s">
        <v>623</v>
      </c>
    </row>
    <row r="1337" spans="1:18">
      <c r="A1337">
        <v>2358</v>
      </c>
      <c r="B1337" t="s">
        <v>3797</v>
      </c>
      <c r="C1337" t="s">
        <v>0</v>
      </c>
      <c r="D1337" t="s">
        <v>3764</v>
      </c>
      <c r="I1337" t="s">
        <v>817</v>
      </c>
      <c r="K1337" t="s">
        <v>313</v>
      </c>
      <c r="L1337" s="67">
        <v>0</v>
      </c>
      <c r="M1337" t="s">
        <v>4</v>
      </c>
      <c r="N1337" s="67" t="s">
        <v>8</v>
      </c>
      <c r="O1337" s="68">
        <v>45353</v>
      </c>
      <c r="P1337" s="68">
        <v>45353</v>
      </c>
      <c r="R1337" t="s">
        <v>623</v>
      </c>
    </row>
    <row r="1338" spans="1:18">
      <c r="A1338">
        <v>2359</v>
      </c>
      <c r="B1338" t="s">
        <v>3798</v>
      </c>
      <c r="C1338" t="s">
        <v>0</v>
      </c>
      <c r="D1338" t="s">
        <v>3764</v>
      </c>
      <c r="I1338" t="s">
        <v>817</v>
      </c>
      <c r="K1338" t="s">
        <v>313</v>
      </c>
      <c r="L1338" s="67">
        <v>0</v>
      </c>
      <c r="M1338" t="s">
        <v>4</v>
      </c>
      <c r="N1338" s="67" t="s">
        <v>8</v>
      </c>
      <c r="O1338" s="68">
        <v>45353</v>
      </c>
      <c r="P1338" s="68">
        <v>45353</v>
      </c>
      <c r="R1338" t="s">
        <v>623</v>
      </c>
    </row>
    <row r="1339" spans="1:18">
      <c r="A1339">
        <v>2360</v>
      </c>
      <c r="B1339" t="s">
        <v>3799</v>
      </c>
      <c r="C1339" t="s">
        <v>0</v>
      </c>
      <c r="D1339" t="s">
        <v>3764</v>
      </c>
      <c r="I1339" t="s">
        <v>817</v>
      </c>
      <c r="K1339" t="s">
        <v>313</v>
      </c>
      <c r="L1339" s="67">
        <v>0</v>
      </c>
      <c r="M1339" t="s">
        <v>4</v>
      </c>
      <c r="N1339" s="67" t="s">
        <v>8</v>
      </c>
      <c r="O1339" s="68">
        <v>45353</v>
      </c>
      <c r="P1339" s="68">
        <v>45353</v>
      </c>
      <c r="R1339" t="s">
        <v>623</v>
      </c>
    </row>
    <row r="1340" spans="1:18">
      <c r="A1340">
        <v>2361</v>
      </c>
      <c r="B1340" t="s">
        <v>3800</v>
      </c>
      <c r="C1340" t="s">
        <v>0</v>
      </c>
      <c r="D1340" t="s">
        <v>3764</v>
      </c>
      <c r="I1340" t="s">
        <v>817</v>
      </c>
      <c r="K1340" t="s">
        <v>313</v>
      </c>
      <c r="L1340" s="67">
        <v>0</v>
      </c>
      <c r="M1340" t="s">
        <v>4</v>
      </c>
      <c r="N1340" s="67" t="s">
        <v>8</v>
      </c>
      <c r="O1340" s="68">
        <v>45355</v>
      </c>
      <c r="P1340" s="68">
        <v>45355</v>
      </c>
      <c r="R1340" t="s">
        <v>623</v>
      </c>
    </row>
    <row r="1341" spans="1:18">
      <c r="A1341">
        <v>2362</v>
      </c>
      <c r="B1341" t="s">
        <v>3803</v>
      </c>
      <c r="C1341" t="s">
        <v>0</v>
      </c>
      <c r="D1341" t="s">
        <v>3801</v>
      </c>
      <c r="H1341" t="s">
        <v>3802</v>
      </c>
      <c r="I1341" t="s">
        <v>1046</v>
      </c>
      <c r="K1341" t="s">
        <v>313</v>
      </c>
      <c r="L1341" s="67">
        <v>0</v>
      </c>
      <c r="M1341" t="s">
        <v>4</v>
      </c>
      <c r="N1341" s="67" t="s">
        <v>8</v>
      </c>
      <c r="O1341" s="68">
        <v>45359</v>
      </c>
      <c r="P1341" s="68">
        <v>45359</v>
      </c>
      <c r="R1341" t="s">
        <v>3112</v>
      </c>
    </row>
    <row r="1342" spans="1:18">
      <c r="A1342">
        <v>2363</v>
      </c>
      <c r="B1342" t="s">
        <v>3806</v>
      </c>
      <c r="C1342" t="s">
        <v>0</v>
      </c>
      <c r="D1342" t="s">
        <v>3804</v>
      </c>
      <c r="E1342" t="s">
        <v>3805</v>
      </c>
      <c r="I1342" t="s">
        <v>24</v>
      </c>
      <c r="K1342" t="s">
        <v>313</v>
      </c>
      <c r="L1342" s="67">
        <v>0</v>
      </c>
      <c r="M1342" t="s">
        <v>4</v>
      </c>
      <c r="N1342" s="67" t="s">
        <v>8</v>
      </c>
      <c r="O1342" s="68">
        <v>45359</v>
      </c>
      <c r="P1342" s="68">
        <v>45359</v>
      </c>
      <c r="R1342" t="s">
        <v>3112</v>
      </c>
    </row>
    <row r="1343" spans="1:18">
      <c r="A1343">
        <v>2364</v>
      </c>
      <c r="B1343" t="s">
        <v>3807</v>
      </c>
      <c r="C1343" t="s">
        <v>0</v>
      </c>
      <c r="D1343" t="s">
        <v>3804</v>
      </c>
      <c r="E1343" t="s">
        <v>3805</v>
      </c>
      <c r="I1343" t="s">
        <v>24</v>
      </c>
      <c r="K1343" t="s">
        <v>313</v>
      </c>
      <c r="L1343" s="67">
        <v>0</v>
      </c>
      <c r="M1343" t="s">
        <v>4</v>
      </c>
      <c r="N1343" s="67" t="s">
        <v>8</v>
      </c>
      <c r="O1343" s="68">
        <v>45359</v>
      </c>
      <c r="P1343" s="68">
        <v>45359</v>
      </c>
      <c r="R1343" t="s">
        <v>3112</v>
      </c>
    </row>
    <row r="1344" spans="1:18">
      <c r="A1344">
        <v>2365</v>
      </c>
      <c r="B1344" t="s">
        <v>3810</v>
      </c>
      <c r="C1344" t="s">
        <v>0</v>
      </c>
      <c r="D1344" t="s">
        <v>3808</v>
      </c>
      <c r="E1344" t="s">
        <v>3809</v>
      </c>
      <c r="I1344" t="s">
        <v>1046</v>
      </c>
      <c r="K1344" t="s">
        <v>313</v>
      </c>
      <c r="L1344" s="67">
        <v>0.05</v>
      </c>
      <c r="M1344" t="s">
        <v>4</v>
      </c>
      <c r="N1344" s="67" t="s">
        <v>8</v>
      </c>
      <c r="O1344" s="68">
        <v>45359</v>
      </c>
      <c r="P1344" s="68">
        <v>45359</v>
      </c>
      <c r="R1344" t="s">
        <v>3112</v>
      </c>
    </row>
    <row r="1345" spans="1:18">
      <c r="A1345">
        <v>2366</v>
      </c>
      <c r="B1345" t="s">
        <v>3813</v>
      </c>
      <c r="C1345" t="s">
        <v>0</v>
      </c>
      <c r="D1345" t="s">
        <v>3808</v>
      </c>
      <c r="E1345" t="s">
        <v>3809</v>
      </c>
      <c r="H1345" t="s">
        <v>3811</v>
      </c>
      <c r="I1345" t="s">
        <v>3812</v>
      </c>
      <c r="K1345" t="s">
        <v>313</v>
      </c>
      <c r="L1345" s="67">
        <v>0.05</v>
      </c>
      <c r="M1345" t="s">
        <v>4</v>
      </c>
      <c r="N1345" s="67" t="s">
        <v>8</v>
      </c>
      <c r="O1345" s="68">
        <v>45359</v>
      </c>
      <c r="P1345" s="68">
        <v>45359</v>
      </c>
      <c r="R1345" t="s">
        <v>3112</v>
      </c>
    </row>
    <row r="1346" spans="1:18">
      <c r="A1346">
        <v>2367</v>
      </c>
      <c r="B1346" t="s">
        <v>3815</v>
      </c>
      <c r="C1346" t="s">
        <v>0</v>
      </c>
      <c r="D1346" t="s">
        <v>2598</v>
      </c>
      <c r="E1346" t="s">
        <v>3814</v>
      </c>
      <c r="H1346" t="s">
        <v>3811</v>
      </c>
      <c r="I1346" t="s">
        <v>3812</v>
      </c>
      <c r="K1346" t="s">
        <v>313</v>
      </c>
      <c r="L1346" s="67">
        <v>0.05</v>
      </c>
      <c r="M1346" t="s">
        <v>4</v>
      </c>
      <c r="N1346" s="67" t="s">
        <v>8</v>
      </c>
      <c r="O1346" s="68">
        <v>45359</v>
      </c>
      <c r="P1346" s="68">
        <v>45359</v>
      </c>
      <c r="R1346" t="s">
        <v>3112</v>
      </c>
    </row>
    <row r="1347" spans="1:18">
      <c r="A1347">
        <v>2368</v>
      </c>
      <c r="B1347" t="s">
        <v>3823</v>
      </c>
      <c r="C1347" t="s">
        <v>0</v>
      </c>
      <c r="D1347" t="s">
        <v>2368</v>
      </c>
      <c r="E1347" t="s">
        <v>3809</v>
      </c>
      <c r="I1347" t="s">
        <v>1046</v>
      </c>
      <c r="K1347" t="s">
        <v>313</v>
      </c>
      <c r="M1347" t="s">
        <v>4</v>
      </c>
      <c r="N1347" s="67" t="s">
        <v>8</v>
      </c>
      <c r="O1347" s="68">
        <v>45362</v>
      </c>
      <c r="P1347" s="68">
        <v>45362</v>
      </c>
      <c r="R1347" t="s">
        <v>3112</v>
      </c>
    </row>
    <row r="1348" spans="1:18">
      <c r="A1348">
        <v>2369</v>
      </c>
      <c r="B1348" t="s">
        <v>3909</v>
      </c>
      <c r="C1348" t="s">
        <v>0</v>
      </c>
      <c r="I1348" t="s">
        <v>1079</v>
      </c>
      <c r="J1348">
        <v>3</v>
      </c>
      <c r="K1348" t="s">
        <v>313</v>
      </c>
      <c r="L1348" s="67">
        <v>0</v>
      </c>
      <c r="M1348" t="s">
        <v>4</v>
      </c>
      <c r="N1348" s="67" t="s">
        <v>8</v>
      </c>
      <c r="O1348" s="68">
        <v>45363</v>
      </c>
      <c r="P1348" s="68">
        <v>45363</v>
      </c>
      <c r="Q1348" s="57">
        <v>14994.633614301822</v>
      </c>
      <c r="R1348" t="s">
        <v>623</v>
      </c>
    </row>
    <row r="1349" spans="1:18">
      <c r="A1349">
        <v>2370</v>
      </c>
      <c r="B1349" t="s">
        <v>3915</v>
      </c>
      <c r="C1349" t="s">
        <v>0</v>
      </c>
      <c r="D1349" t="s">
        <v>3911</v>
      </c>
      <c r="E1349" t="s">
        <v>3912</v>
      </c>
      <c r="F1349" t="s">
        <v>3913</v>
      </c>
      <c r="G1349">
        <v>3006654292</v>
      </c>
      <c r="H1349" t="s">
        <v>3914</v>
      </c>
      <c r="I1349" t="s">
        <v>1136</v>
      </c>
      <c r="J1349">
        <v>1</v>
      </c>
      <c r="K1349" t="s">
        <v>313</v>
      </c>
      <c r="L1349" s="67">
        <v>0.03</v>
      </c>
      <c r="M1349" t="s">
        <v>4</v>
      </c>
      <c r="N1349" s="67" t="s">
        <v>8</v>
      </c>
      <c r="O1349" s="68">
        <v>45371</v>
      </c>
      <c r="P1349" s="68">
        <v>45371</v>
      </c>
      <c r="Q1349" s="57">
        <v>127.37416719454421</v>
      </c>
      <c r="R1349" t="s">
        <v>3910</v>
      </c>
    </row>
    <row r="1350" spans="1:18">
      <c r="A1350">
        <v>2371</v>
      </c>
      <c r="B1350" t="s">
        <v>3915</v>
      </c>
      <c r="C1350" t="s">
        <v>0</v>
      </c>
      <c r="D1350" t="s">
        <v>3911</v>
      </c>
      <c r="E1350" t="s">
        <v>3912</v>
      </c>
      <c r="F1350" t="s">
        <v>3913</v>
      </c>
      <c r="G1350">
        <v>3006654292</v>
      </c>
      <c r="H1350" t="s">
        <v>3914</v>
      </c>
      <c r="I1350" t="s">
        <v>1136</v>
      </c>
      <c r="J1350">
        <v>1</v>
      </c>
      <c r="K1350" t="s">
        <v>313</v>
      </c>
      <c r="L1350" s="67">
        <v>0.03</v>
      </c>
      <c r="M1350" t="s">
        <v>4</v>
      </c>
      <c r="N1350" s="67" t="s">
        <v>8</v>
      </c>
      <c r="O1350" s="68">
        <v>45371</v>
      </c>
      <c r="P1350" s="68">
        <v>45371</v>
      </c>
      <c r="Q1350" s="57">
        <v>127.37416719454421</v>
      </c>
      <c r="R1350" t="s">
        <v>3910</v>
      </c>
    </row>
    <row r="1351" spans="1:18">
      <c r="A1351">
        <v>2372</v>
      </c>
      <c r="B1351" t="s">
        <v>3915</v>
      </c>
      <c r="C1351" t="s">
        <v>0</v>
      </c>
      <c r="D1351" t="s">
        <v>3911</v>
      </c>
      <c r="E1351" t="s">
        <v>3912</v>
      </c>
      <c r="F1351" t="s">
        <v>3913</v>
      </c>
      <c r="G1351">
        <v>3006654292</v>
      </c>
      <c r="H1351" t="s">
        <v>3914</v>
      </c>
      <c r="I1351" t="s">
        <v>1136</v>
      </c>
      <c r="J1351">
        <v>1</v>
      </c>
      <c r="K1351" t="s">
        <v>313</v>
      </c>
      <c r="L1351" s="67">
        <v>0.03</v>
      </c>
      <c r="M1351" t="s">
        <v>4</v>
      </c>
      <c r="N1351" s="67" t="s">
        <v>8</v>
      </c>
      <c r="O1351" s="68">
        <v>45371</v>
      </c>
      <c r="P1351" s="68">
        <v>45371</v>
      </c>
      <c r="Q1351" s="57">
        <v>127.37416719454421</v>
      </c>
      <c r="R1351" t="s">
        <v>3910</v>
      </c>
    </row>
    <row r="1352" spans="1:18">
      <c r="A1352">
        <v>2373</v>
      </c>
      <c r="B1352" t="s">
        <v>3915</v>
      </c>
      <c r="C1352" t="s">
        <v>0</v>
      </c>
      <c r="D1352" t="s">
        <v>3911</v>
      </c>
      <c r="E1352" t="s">
        <v>3912</v>
      </c>
      <c r="F1352" t="s">
        <v>3913</v>
      </c>
      <c r="G1352">
        <v>3006654292</v>
      </c>
      <c r="H1352" t="s">
        <v>3914</v>
      </c>
      <c r="I1352" t="s">
        <v>1136</v>
      </c>
      <c r="J1352">
        <v>1</v>
      </c>
      <c r="K1352" t="s">
        <v>313</v>
      </c>
      <c r="L1352" s="67">
        <v>0.03</v>
      </c>
      <c r="M1352" t="s">
        <v>4</v>
      </c>
      <c r="N1352" s="67" t="s">
        <v>8</v>
      </c>
      <c r="O1352" s="68">
        <v>45371</v>
      </c>
      <c r="P1352" s="68">
        <v>45371</v>
      </c>
      <c r="Q1352" s="57">
        <v>127.37416719454421</v>
      </c>
      <c r="R1352" t="s">
        <v>3910</v>
      </c>
    </row>
    <row r="1353" spans="1:18">
      <c r="A1353">
        <v>2374</v>
      </c>
      <c r="B1353" t="s">
        <v>3915</v>
      </c>
      <c r="C1353" t="s">
        <v>0</v>
      </c>
      <c r="D1353" t="s">
        <v>3911</v>
      </c>
      <c r="E1353" t="s">
        <v>3912</v>
      </c>
      <c r="F1353" t="s">
        <v>3913</v>
      </c>
      <c r="G1353">
        <v>3006654292</v>
      </c>
      <c r="H1353" t="s">
        <v>3914</v>
      </c>
      <c r="I1353" t="s">
        <v>1136</v>
      </c>
      <c r="J1353">
        <v>1</v>
      </c>
      <c r="K1353" t="s">
        <v>313</v>
      </c>
      <c r="L1353" s="67">
        <v>0.03</v>
      </c>
      <c r="M1353" t="s">
        <v>4</v>
      </c>
      <c r="N1353" s="67" t="s">
        <v>8</v>
      </c>
      <c r="O1353" s="68">
        <v>45371</v>
      </c>
      <c r="P1353" s="68">
        <v>45371</v>
      </c>
      <c r="Q1353" s="57">
        <v>127.37416719454421</v>
      </c>
      <c r="R1353" t="s">
        <v>3910</v>
      </c>
    </row>
    <row r="1354" spans="1:18">
      <c r="A1354">
        <v>2375</v>
      </c>
      <c r="B1354" t="s">
        <v>3915</v>
      </c>
      <c r="C1354" t="s">
        <v>0</v>
      </c>
      <c r="D1354" t="s">
        <v>3911</v>
      </c>
      <c r="E1354" t="s">
        <v>3912</v>
      </c>
      <c r="F1354" t="s">
        <v>3913</v>
      </c>
      <c r="G1354">
        <v>3006654292</v>
      </c>
      <c r="H1354" t="s">
        <v>3914</v>
      </c>
      <c r="I1354" t="s">
        <v>1136</v>
      </c>
      <c r="J1354">
        <v>1</v>
      </c>
      <c r="K1354" t="s">
        <v>313</v>
      </c>
      <c r="L1354" s="67">
        <v>0.03</v>
      </c>
      <c r="M1354" t="s">
        <v>4</v>
      </c>
      <c r="N1354" s="67" t="s">
        <v>8</v>
      </c>
      <c r="O1354" s="68">
        <v>45371</v>
      </c>
      <c r="P1354" s="68">
        <v>45371</v>
      </c>
      <c r="Q1354" s="57">
        <v>127.37416719454421</v>
      </c>
      <c r="R1354" t="s">
        <v>3910</v>
      </c>
    </row>
    <row r="1355" spans="1:18">
      <c r="A1355">
        <v>2376</v>
      </c>
      <c r="B1355" t="s">
        <v>3915</v>
      </c>
      <c r="C1355" t="s">
        <v>0</v>
      </c>
      <c r="D1355" t="s">
        <v>3911</v>
      </c>
      <c r="E1355" t="s">
        <v>3912</v>
      </c>
      <c r="F1355" t="s">
        <v>3913</v>
      </c>
      <c r="G1355">
        <v>3006654292</v>
      </c>
      <c r="H1355" t="s">
        <v>3914</v>
      </c>
      <c r="I1355" t="s">
        <v>1136</v>
      </c>
      <c r="J1355">
        <v>1</v>
      </c>
      <c r="K1355" t="s">
        <v>313</v>
      </c>
      <c r="L1355" s="67">
        <v>0.03</v>
      </c>
      <c r="M1355" t="s">
        <v>4</v>
      </c>
      <c r="N1355" s="67" t="s">
        <v>8</v>
      </c>
      <c r="O1355" s="68">
        <v>45371</v>
      </c>
      <c r="P1355" s="68">
        <v>45371</v>
      </c>
      <c r="Q1355" s="57">
        <v>127.37416719454421</v>
      </c>
      <c r="R1355" t="s">
        <v>3910</v>
      </c>
    </row>
    <row r="1356" spans="1:18">
      <c r="A1356">
        <v>2377</v>
      </c>
      <c r="B1356" t="s">
        <v>3915</v>
      </c>
      <c r="C1356" t="s">
        <v>0</v>
      </c>
      <c r="D1356" t="s">
        <v>3911</v>
      </c>
      <c r="E1356" t="s">
        <v>3912</v>
      </c>
      <c r="F1356" t="s">
        <v>3913</v>
      </c>
      <c r="G1356">
        <v>3006654292</v>
      </c>
      <c r="H1356" t="s">
        <v>3914</v>
      </c>
      <c r="I1356" t="s">
        <v>1136</v>
      </c>
      <c r="J1356">
        <v>1</v>
      </c>
      <c r="K1356" t="s">
        <v>313</v>
      </c>
      <c r="L1356" s="67">
        <v>0.03</v>
      </c>
      <c r="M1356" t="s">
        <v>4</v>
      </c>
      <c r="N1356" s="67" t="s">
        <v>8</v>
      </c>
      <c r="O1356" s="68">
        <v>45371</v>
      </c>
      <c r="P1356" s="68">
        <v>45371</v>
      </c>
      <c r="Q1356" s="57">
        <v>127.37416719454421</v>
      </c>
      <c r="R1356" t="s">
        <v>3910</v>
      </c>
    </row>
    <row r="1357" spans="1:18">
      <c r="A1357">
        <v>2378</v>
      </c>
      <c r="B1357" t="s">
        <v>3915</v>
      </c>
      <c r="C1357" t="s">
        <v>0</v>
      </c>
      <c r="D1357" t="s">
        <v>3911</v>
      </c>
      <c r="E1357" t="s">
        <v>3912</v>
      </c>
      <c r="F1357" t="s">
        <v>3913</v>
      </c>
      <c r="G1357">
        <v>3006654292</v>
      </c>
      <c r="H1357" t="s">
        <v>3914</v>
      </c>
      <c r="I1357" t="s">
        <v>1136</v>
      </c>
      <c r="J1357">
        <v>1</v>
      </c>
      <c r="K1357" t="s">
        <v>313</v>
      </c>
      <c r="L1357" s="67">
        <v>0.03</v>
      </c>
      <c r="M1357" t="s">
        <v>4</v>
      </c>
      <c r="N1357" s="67" t="s">
        <v>8</v>
      </c>
      <c r="O1357" s="68">
        <v>45371</v>
      </c>
      <c r="P1357" s="68">
        <v>45371</v>
      </c>
      <c r="Q1357" s="57">
        <v>127.37416719454421</v>
      </c>
      <c r="R1357" t="s">
        <v>3910</v>
      </c>
    </row>
    <row r="1358" spans="1:18">
      <c r="A1358">
        <v>2379</v>
      </c>
      <c r="B1358" t="s">
        <v>3915</v>
      </c>
      <c r="C1358" t="s">
        <v>0</v>
      </c>
      <c r="D1358" t="s">
        <v>3911</v>
      </c>
      <c r="E1358" t="s">
        <v>3912</v>
      </c>
      <c r="F1358" t="s">
        <v>3913</v>
      </c>
      <c r="G1358">
        <v>3006654292</v>
      </c>
      <c r="H1358" t="s">
        <v>3914</v>
      </c>
      <c r="I1358" t="s">
        <v>1136</v>
      </c>
      <c r="J1358">
        <v>1</v>
      </c>
      <c r="K1358" t="s">
        <v>313</v>
      </c>
      <c r="L1358" s="67">
        <v>0.03</v>
      </c>
      <c r="M1358" t="s">
        <v>4</v>
      </c>
      <c r="N1358" s="67" t="s">
        <v>8</v>
      </c>
      <c r="O1358" s="68">
        <v>45371</v>
      </c>
      <c r="P1358" s="68">
        <v>45371</v>
      </c>
      <c r="Q1358" s="57">
        <v>127.37416719454421</v>
      </c>
      <c r="R1358" t="s">
        <v>3910</v>
      </c>
    </row>
    <row r="1359" spans="1:18">
      <c r="A1359">
        <v>2380</v>
      </c>
      <c r="B1359" t="s">
        <v>3915</v>
      </c>
      <c r="C1359" t="s">
        <v>0</v>
      </c>
      <c r="D1359" t="s">
        <v>3911</v>
      </c>
      <c r="E1359" t="s">
        <v>3912</v>
      </c>
      <c r="F1359" t="s">
        <v>3913</v>
      </c>
      <c r="G1359">
        <v>3006654292</v>
      </c>
      <c r="H1359" t="s">
        <v>3914</v>
      </c>
      <c r="I1359" t="s">
        <v>1136</v>
      </c>
      <c r="J1359">
        <v>1</v>
      </c>
      <c r="K1359" t="s">
        <v>313</v>
      </c>
      <c r="L1359" s="67">
        <v>0.03</v>
      </c>
      <c r="M1359" t="s">
        <v>4</v>
      </c>
      <c r="N1359" s="67" t="s">
        <v>8</v>
      </c>
      <c r="O1359" s="68">
        <v>45371</v>
      </c>
      <c r="P1359" s="68">
        <v>45371</v>
      </c>
      <c r="Q1359" s="57">
        <v>127.37416719454421</v>
      </c>
      <c r="R1359" t="s">
        <v>3910</v>
      </c>
    </row>
    <row r="1360" spans="1:18">
      <c r="A1360">
        <v>2381</v>
      </c>
      <c r="B1360" t="s">
        <v>3915</v>
      </c>
      <c r="C1360" t="s">
        <v>0</v>
      </c>
      <c r="D1360" t="s">
        <v>3911</v>
      </c>
      <c r="E1360" t="s">
        <v>3912</v>
      </c>
      <c r="F1360" t="s">
        <v>3913</v>
      </c>
      <c r="G1360">
        <v>3006654292</v>
      </c>
      <c r="H1360" t="s">
        <v>3914</v>
      </c>
      <c r="I1360" t="s">
        <v>1136</v>
      </c>
      <c r="J1360">
        <v>1</v>
      </c>
      <c r="K1360" t="s">
        <v>313</v>
      </c>
      <c r="L1360" s="67">
        <v>0.03</v>
      </c>
      <c r="M1360" t="s">
        <v>4</v>
      </c>
      <c r="N1360" s="67" t="s">
        <v>8</v>
      </c>
      <c r="O1360" s="68">
        <v>45371</v>
      </c>
      <c r="P1360" s="68">
        <v>45371</v>
      </c>
      <c r="Q1360" s="57">
        <v>127.37416719454421</v>
      </c>
      <c r="R1360" t="s">
        <v>3910</v>
      </c>
    </row>
    <row r="1361" spans="1:18">
      <c r="A1361">
        <v>2382</v>
      </c>
      <c r="B1361" t="s">
        <v>3915</v>
      </c>
      <c r="C1361" t="s">
        <v>0</v>
      </c>
      <c r="D1361" t="s">
        <v>3911</v>
      </c>
      <c r="E1361" t="s">
        <v>3912</v>
      </c>
      <c r="F1361" t="s">
        <v>3913</v>
      </c>
      <c r="G1361">
        <v>3006654292</v>
      </c>
      <c r="H1361" t="s">
        <v>3914</v>
      </c>
      <c r="I1361" t="s">
        <v>1136</v>
      </c>
      <c r="J1361">
        <v>1</v>
      </c>
      <c r="K1361" t="s">
        <v>313</v>
      </c>
      <c r="L1361" s="67">
        <v>0.03</v>
      </c>
      <c r="M1361" t="s">
        <v>4</v>
      </c>
      <c r="N1361" s="67" t="s">
        <v>8</v>
      </c>
      <c r="O1361" s="68">
        <v>45371</v>
      </c>
      <c r="P1361" s="68">
        <v>45371</v>
      </c>
      <c r="Q1361" s="57">
        <v>127.37416719454421</v>
      </c>
      <c r="R1361" t="s">
        <v>3910</v>
      </c>
    </row>
    <row r="1362" spans="1:18">
      <c r="A1362">
        <v>2383</v>
      </c>
      <c r="B1362" t="s">
        <v>3915</v>
      </c>
      <c r="C1362" t="s">
        <v>0</v>
      </c>
      <c r="D1362" t="s">
        <v>3911</v>
      </c>
      <c r="E1362" t="s">
        <v>3912</v>
      </c>
      <c r="F1362" t="s">
        <v>3913</v>
      </c>
      <c r="G1362">
        <v>3006654292</v>
      </c>
      <c r="H1362" t="s">
        <v>3914</v>
      </c>
      <c r="I1362" t="s">
        <v>1136</v>
      </c>
      <c r="J1362">
        <v>1</v>
      </c>
      <c r="K1362" t="s">
        <v>313</v>
      </c>
      <c r="L1362" s="67">
        <v>0.03</v>
      </c>
      <c r="M1362" t="s">
        <v>4</v>
      </c>
      <c r="N1362" s="67" t="s">
        <v>8</v>
      </c>
      <c r="O1362" s="68">
        <v>45371</v>
      </c>
      <c r="P1362" s="68">
        <v>45371</v>
      </c>
      <c r="Q1362" s="57">
        <v>127.37416719454421</v>
      </c>
      <c r="R1362" t="s">
        <v>3910</v>
      </c>
    </row>
    <row r="1363" spans="1:18">
      <c r="A1363">
        <v>2384</v>
      </c>
      <c r="B1363" t="s">
        <v>3915</v>
      </c>
      <c r="C1363" t="s">
        <v>0</v>
      </c>
      <c r="D1363" t="s">
        <v>3911</v>
      </c>
      <c r="E1363" t="s">
        <v>3912</v>
      </c>
      <c r="F1363" t="s">
        <v>3913</v>
      </c>
      <c r="G1363">
        <v>3006654292</v>
      </c>
      <c r="H1363" t="s">
        <v>3914</v>
      </c>
      <c r="I1363" t="s">
        <v>1136</v>
      </c>
      <c r="J1363">
        <v>1</v>
      </c>
      <c r="K1363" t="s">
        <v>313</v>
      </c>
      <c r="L1363" s="67">
        <v>0.03</v>
      </c>
      <c r="M1363" t="s">
        <v>4</v>
      </c>
      <c r="N1363" s="67" t="s">
        <v>8</v>
      </c>
      <c r="O1363" s="68">
        <v>45371</v>
      </c>
      <c r="P1363" s="68">
        <v>45371</v>
      </c>
      <c r="Q1363" s="57">
        <v>127.37416719454421</v>
      </c>
      <c r="R1363" t="s">
        <v>3910</v>
      </c>
    </row>
    <row r="1364" spans="1:18">
      <c r="A1364">
        <v>2385</v>
      </c>
      <c r="B1364" t="s">
        <v>3915</v>
      </c>
      <c r="C1364" t="s">
        <v>0</v>
      </c>
      <c r="D1364" t="s">
        <v>3911</v>
      </c>
      <c r="E1364" t="s">
        <v>3912</v>
      </c>
      <c r="F1364" t="s">
        <v>3913</v>
      </c>
      <c r="G1364">
        <v>3006654292</v>
      </c>
      <c r="H1364" t="s">
        <v>3914</v>
      </c>
      <c r="I1364" t="s">
        <v>1136</v>
      </c>
      <c r="J1364">
        <v>1</v>
      </c>
      <c r="K1364" t="s">
        <v>313</v>
      </c>
      <c r="L1364" s="67">
        <v>0.03</v>
      </c>
      <c r="M1364" t="s">
        <v>4</v>
      </c>
      <c r="N1364" s="67" t="s">
        <v>8</v>
      </c>
      <c r="O1364" s="68">
        <v>45371</v>
      </c>
      <c r="P1364" s="68">
        <v>45371</v>
      </c>
      <c r="Q1364" s="57">
        <v>127.37416719454421</v>
      </c>
      <c r="R1364" t="s">
        <v>3910</v>
      </c>
    </row>
    <row r="1365" spans="1:18">
      <c r="A1365">
        <v>2386</v>
      </c>
      <c r="B1365" t="s">
        <v>3915</v>
      </c>
      <c r="C1365" t="s">
        <v>0</v>
      </c>
      <c r="D1365" t="s">
        <v>3911</v>
      </c>
      <c r="E1365" t="s">
        <v>3912</v>
      </c>
      <c r="F1365" t="s">
        <v>3913</v>
      </c>
      <c r="G1365">
        <v>3006654292</v>
      </c>
      <c r="H1365" t="s">
        <v>3914</v>
      </c>
      <c r="I1365" t="s">
        <v>1136</v>
      </c>
      <c r="J1365">
        <v>1</v>
      </c>
      <c r="K1365" t="s">
        <v>313</v>
      </c>
      <c r="L1365" s="67">
        <v>0.03</v>
      </c>
      <c r="M1365" t="s">
        <v>4</v>
      </c>
      <c r="N1365" s="67" t="s">
        <v>8</v>
      </c>
      <c r="O1365" s="68">
        <v>45371</v>
      </c>
      <c r="P1365" s="68">
        <v>45371</v>
      </c>
      <c r="Q1365" s="57">
        <v>127.37416719454421</v>
      </c>
      <c r="R1365" t="s">
        <v>3910</v>
      </c>
    </row>
    <row r="1366" spans="1:18">
      <c r="A1366">
        <v>2387</v>
      </c>
      <c r="B1366" t="s">
        <v>3915</v>
      </c>
      <c r="C1366" t="s">
        <v>0</v>
      </c>
      <c r="D1366" t="s">
        <v>3911</v>
      </c>
      <c r="E1366" t="s">
        <v>3912</v>
      </c>
      <c r="F1366" t="s">
        <v>3913</v>
      </c>
      <c r="G1366">
        <v>3006654292</v>
      </c>
      <c r="H1366" t="s">
        <v>3914</v>
      </c>
      <c r="I1366" t="s">
        <v>1136</v>
      </c>
      <c r="J1366">
        <v>1</v>
      </c>
      <c r="K1366" t="s">
        <v>313</v>
      </c>
      <c r="L1366" s="67">
        <v>0.03</v>
      </c>
      <c r="M1366" t="s">
        <v>4</v>
      </c>
      <c r="N1366" s="67" t="s">
        <v>8</v>
      </c>
      <c r="O1366" s="68">
        <v>45371</v>
      </c>
      <c r="P1366" s="68">
        <v>45371</v>
      </c>
      <c r="Q1366" s="57">
        <v>127.37416719454421</v>
      </c>
      <c r="R1366" t="s">
        <v>3910</v>
      </c>
    </row>
    <row r="1367" spans="1:18">
      <c r="A1367">
        <v>2388</v>
      </c>
      <c r="B1367" t="s">
        <v>3915</v>
      </c>
      <c r="C1367" t="s">
        <v>0</v>
      </c>
      <c r="D1367" t="s">
        <v>3911</v>
      </c>
      <c r="E1367" t="s">
        <v>3912</v>
      </c>
      <c r="F1367" t="s">
        <v>3913</v>
      </c>
      <c r="G1367">
        <v>3006654292</v>
      </c>
      <c r="H1367" t="s">
        <v>3914</v>
      </c>
      <c r="I1367" t="s">
        <v>1136</v>
      </c>
      <c r="J1367">
        <v>1</v>
      </c>
      <c r="K1367" t="s">
        <v>313</v>
      </c>
      <c r="L1367" s="67">
        <v>0.03</v>
      </c>
      <c r="M1367" t="s">
        <v>4</v>
      </c>
      <c r="N1367" s="67" t="s">
        <v>8</v>
      </c>
      <c r="O1367" s="68">
        <v>45371</v>
      </c>
      <c r="P1367" s="68">
        <v>45371</v>
      </c>
      <c r="Q1367" s="57">
        <v>127.37416719454421</v>
      </c>
      <c r="R1367" t="s">
        <v>3910</v>
      </c>
    </row>
    <row r="1368" spans="1:18">
      <c r="A1368">
        <v>2389</v>
      </c>
      <c r="B1368" t="s">
        <v>3915</v>
      </c>
      <c r="C1368" t="s">
        <v>0</v>
      </c>
      <c r="D1368" t="s">
        <v>3911</v>
      </c>
      <c r="E1368" t="s">
        <v>3912</v>
      </c>
      <c r="F1368" t="s">
        <v>3913</v>
      </c>
      <c r="G1368">
        <v>3006654292</v>
      </c>
      <c r="H1368" t="s">
        <v>3914</v>
      </c>
      <c r="I1368" t="s">
        <v>1136</v>
      </c>
      <c r="J1368">
        <v>1</v>
      </c>
      <c r="K1368" t="s">
        <v>313</v>
      </c>
      <c r="L1368" s="67">
        <v>0.03</v>
      </c>
      <c r="M1368" t="s">
        <v>4</v>
      </c>
      <c r="N1368" s="67" t="s">
        <v>8</v>
      </c>
      <c r="O1368" s="68">
        <v>45371</v>
      </c>
      <c r="P1368" s="68">
        <v>45371</v>
      </c>
      <c r="Q1368" s="57">
        <v>127.37416719454421</v>
      </c>
      <c r="R1368" t="s">
        <v>3910</v>
      </c>
    </row>
    <row r="1369" spans="1:18">
      <c r="A1369">
        <v>2390</v>
      </c>
      <c r="B1369" t="s">
        <v>3915</v>
      </c>
      <c r="C1369" t="s">
        <v>0</v>
      </c>
      <c r="D1369" t="s">
        <v>3911</v>
      </c>
      <c r="E1369" t="s">
        <v>3912</v>
      </c>
      <c r="F1369" t="s">
        <v>3913</v>
      </c>
      <c r="G1369">
        <v>3006654292</v>
      </c>
      <c r="H1369" t="s">
        <v>3914</v>
      </c>
      <c r="I1369" t="s">
        <v>1136</v>
      </c>
      <c r="J1369">
        <v>1</v>
      </c>
      <c r="K1369" t="s">
        <v>313</v>
      </c>
      <c r="L1369" s="67">
        <v>0.03</v>
      </c>
      <c r="M1369" t="s">
        <v>4</v>
      </c>
      <c r="N1369" s="67" t="s">
        <v>8</v>
      </c>
      <c r="O1369" s="68">
        <v>45371</v>
      </c>
      <c r="P1369" s="68">
        <v>45371</v>
      </c>
      <c r="Q1369" s="57">
        <v>127.37416719454421</v>
      </c>
      <c r="R1369" t="s">
        <v>3910</v>
      </c>
    </row>
    <row r="1370" spans="1:18">
      <c r="A1370">
        <v>2391</v>
      </c>
      <c r="B1370" t="s">
        <v>3915</v>
      </c>
      <c r="C1370" t="s">
        <v>0</v>
      </c>
      <c r="D1370" t="s">
        <v>3911</v>
      </c>
      <c r="E1370" t="s">
        <v>3912</v>
      </c>
      <c r="F1370" t="s">
        <v>3913</v>
      </c>
      <c r="G1370">
        <v>3006654292</v>
      </c>
      <c r="H1370" t="s">
        <v>3914</v>
      </c>
      <c r="I1370" t="s">
        <v>1136</v>
      </c>
      <c r="J1370">
        <v>1</v>
      </c>
      <c r="K1370" t="s">
        <v>313</v>
      </c>
      <c r="L1370" s="67">
        <v>0.03</v>
      </c>
      <c r="M1370" t="s">
        <v>4</v>
      </c>
      <c r="N1370" s="67" t="s">
        <v>8</v>
      </c>
      <c r="O1370" s="68">
        <v>45371</v>
      </c>
      <c r="P1370" s="68">
        <v>45371</v>
      </c>
      <c r="Q1370" s="57">
        <v>127.37416719454421</v>
      </c>
      <c r="R1370" t="s">
        <v>3910</v>
      </c>
    </row>
    <row r="1371" spans="1:18">
      <c r="A1371">
        <v>2392</v>
      </c>
      <c r="B1371" t="s">
        <v>3915</v>
      </c>
      <c r="C1371" t="s">
        <v>0</v>
      </c>
      <c r="D1371" t="s">
        <v>3911</v>
      </c>
      <c r="E1371" t="s">
        <v>3912</v>
      </c>
      <c r="F1371" t="s">
        <v>3913</v>
      </c>
      <c r="G1371">
        <v>3006654292</v>
      </c>
      <c r="H1371" t="s">
        <v>3914</v>
      </c>
      <c r="I1371" t="s">
        <v>1136</v>
      </c>
      <c r="J1371">
        <v>1</v>
      </c>
      <c r="K1371" t="s">
        <v>313</v>
      </c>
      <c r="L1371" s="67">
        <v>0.03</v>
      </c>
      <c r="M1371" t="s">
        <v>4</v>
      </c>
      <c r="N1371" s="67" t="s">
        <v>8</v>
      </c>
      <c r="O1371" s="68">
        <v>45371</v>
      </c>
      <c r="P1371" s="68">
        <v>45371</v>
      </c>
      <c r="Q1371" s="57">
        <v>127.37416719454421</v>
      </c>
      <c r="R1371" t="s">
        <v>3910</v>
      </c>
    </row>
    <row r="1372" spans="1:18">
      <c r="A1372">
        <v>2393</v>
      </c>
      <c r="B1372" t="s">
        <v>3915</v>
      </c>
      <c r="C1372" t="s">
        <v>0</v>
      </c>
      <c r="D1372" t="s">
        <v>3911</v>
      </c>
      <c r="E1372" t="s">
        <v>3912</v>
      </c>
      <c r="F1372" t="s">
        <v>3913</v>
      </c>
      <c r="G1372">
        <v>3006654292</v>
      </c>
      <c r="H1372" t="s">
        <v>3914</v>
      </c>
      <c r="I1372" t="s">
        <v>1136</v>
      </c>
      <c r="J1372">
        <v>1</v>
      </c>
      <c r="K1372" t="s">
        <v>313</v>
      </c>
      <c r="L1372" s="67">
        <v>0.03</v>
      </c>
      <c r="M1372" t="s">
        <v>4</v>
      </c>
      <c r="N1372" s="67" t="s">
        <v>8</v>
      </c>
      <c r="O1372" s="68">
        <v>45371</v>
      </c>
      <c r="P1372" s="68">
        <v>45371</v>
      </c>
      <c r="Q1372" s="57">
        <v>127.37416719454421</v>
      </c>
      <c r="R1372" t="s">
        <v>3910</v>
      </c>
    </row>
    <row r="1373" spans="1:18">
      <c r="A1373">
        <v>2394</v>
      </c>
      <c r="B1373" t="s">
        <v>3915</v>
      </c>
      <c r="C1373" t="s">
        <v>0</v>
      </c>
      <c r="D1373" t="s">
        <v>3911</v>
      </c>
      <c r="E1373" t="s">
        <v>3912</v>
      </c>
      <c r="F1373" t="s">
        <v>3913</v>
      </c>
      <c r="G1373">
        <v>3006654292</v>
      </c>
      <c r="H1373" t="s">
        <v>3914</v>
      </c>
      <c r="I1373" t="s">
        <v>1136</v>
      </c>
      <c r="J1373">
        <v>1</v>
      </c>
      <c r="K1373" t="s">
        <v>313</v>
      </c>
      <c r="L1373" s="67">
        <v>0.03</v>
      </c>
      <c r="M1373" t="s">
        <v>4</v>
      </c>
      <c r="N1373" s="67" t="s">
        <v>8</v>
      </c>
      <c r="O1373" s="68">
        <v>45371</v>
      </c>
      <c r="P1373" s="68">
        <v>45371</v>
      </c>
      <c r="Q1373" s="57">
        <v>127.37416719454421</v>
      </c>
      <c r="R1373" t="s">
        <v>3910</v>
      </c>
    </row>
    <row r="1374" spans="1:18">
      <c r="A1374">
        <v>2395</v>
      </c>
      <c r="B1374" t="s">
        <v>3915</v>
      </c>
      <c r="C1374" t="s">
        <v>0</v>
      </c>
      <c r="D1374" t="s">
        <v>3911</v>
      </c>
      <c r="E1374" t="s">
        <v>3912</v>
      </c>
      <c r="F1374" t="s">
        <v>3913</v>
      </c>
      <c r="G1374">
        <v>3006654292</v>
      </c>
      <c r="H1374" t="s">
        <v>3914</v>
      </c>
      <c r="I1374" t="s">
        <v>1136</v>
      </c>
      <c r="J1374">
        <v>1</v>
      </c>
      <c r="K1374" t="s">
        <v>313</v>
      </c>
      <c r="L1374" s="67">
        <v>0.03</v>
      </c>
      <c r="M1374" t="s">
        <v>4</v>
      </c>
      <c r="N1374" s="67" t="s">
        <v>8</v>
      </c>
      <c r="O1374" s="68">
        <v>45371</v>
      </c>
      <c r="P1374" s="68">
        <v>45371</v>
      </c>
      <c r="Q1374" s="57">
        <v>127.37416719454421</v>
      </c>
      <c r="R1374" t="s">
        <v>3910</v>
      </c>
    </row>
    <row r="1375" spans="1:18">
      <c r="A1375">
        <v>2396</v>
      </c>
      <c r="B1375" t="s">
        <v>3915</v>
      </c>
      <c r="C1375" t="s">
        <v>0</v>
      </c>
      <c r="D1375" t="s">
        <v>3911</v>
      </c>
      <c r="E1375" t="s">
        <v>3912</v>
      </c>
      <c r="F1375" t="s">
        <v>3913</v>
      </c>
      <c r="G1375">
        <v>3006654292</v>
      </c>
      <c r="H1375" t="s">
        <v>3914</v>
      </c>
      <c r="I1375" t="s">
        <v>1136</v>
      </c>
      <c r="J1375">
        <v>1</v>
      </c>
      <c r="K1375" t="s">
        <v>313</v>
      </c>
      <c r="L1375" s="67">
        <v>0.03</v>
      </c>
      <c r="M1375" t="s">
        <v>4</v>
      </c>
      <c r="N1375" s="67" t="s">
        <v>8</v>
      </c>
      <c r="O1375" s="68">
        <v>45371</v>
      </c>
      <c r="P1375" s="68">
        <v>45371</v>
      </c>
      <c r="Q1375" s="57">
        <v>127.37416719454421</v>
      </c>
      <c r="R1375" t="s">
        <v>3910</v>
      </c>
    </row>
    <row r="1376" spans="1:18">
      <c r="A1376">
        <v>2397</v>
      </c>
      <c r="B1376" t="s">
        <v>3915</v>
      </c>
      <c r="C1376" t="s">
        <v>0</v>
      </c>
      <c r="D1376" t="s">
        <v>3911</v>
      </c>
      <c r="E1376" t="s">
        <v>3912</v>
      </c>
      <c r="F1376" t="s">
        <v>3913</v>
      </c>
      <c r="G1376">
        <v>3006654292</v>
      </c>
      <c r="H1376" t="s">
        <v>3914</v>
      </c>
      <c r="I1376" t="s">
        <v>1136</v>
      </c>
      <c r="J1376">
        <v>1</v>
      </c>
      <c r="K1376" t="s">
        <v>313</v>
      </c>
      <c r="L1376" s="67">
        <v>0.03</v>
      </c>
      <c r="M1376" t="s">
        <v>4</v>
      </c>
      <c r="N1376" s="67" t="s">
        <v>8</v>
      </c>
      <c r="O1376" s="68">
        <v>45371</v>
      </c>
      <c r="P1376" s="68">
        <v>45371</v>
      </c>
      <c r="Q1376" s="57">
        <v>127.37416719454421</v>
      </c>
      <c r="R1376" t="s">
        <v>3910</v>
      </c>
    </row>
    <row r="1377" spans="1:18">
      <c r="A1377">
        <v>2398</v>
      </c>
      <c r="B1377" t="s">
        <v>3915</v>
      </c>
      <c r="C1377" t="s">
        <v>0</v>
      </c>
      <c r="D1377" t="s">
        <v>3911</v>
      </c>
      <c r="E1377" t="s">
        <v>3912</v>
      </c>
      <c r="F1377" t="s">
        <v>3913</v>
      </c>
      <c r="G1377">
        <v>3006654292</v>
      </c>
      <c r="H1377" t="s">
        <v>3914</v>
      </c>
      <c r="I1377" t="s">
        <v>1136</v>
      </c>
      <c r="J1377">
        <v>1</v>
      </c>
      <c r="K1377" t="s">
        <v>313</v>
      </c>
      <c r="L1377" s="67">
        <v>0.03</v>
      </c>
      <c r="M1377" t="s">
        <v>4</v>
      </c>
      <c r="N1377" s="67" t="s">
        <v>8</v>
      </c>
      <c r="O1377" s="68">
        <v>45371</v>
      </c>
      <c r="P1377" s="68">
        <v>45371</v>
      </c>
      <c r="Q1377" s="57">
        <v>127.37416719454421</v>
      </c>
      <c r="R1377" t="s">
        <v>3910</v>
      </c>
    </row>
    <row r="1378" spans="1:18">
      <c r="A1378">
        <v>2399</v>
      </c>
      <c r="B1378" t="s">
        <v>3915</v>
      </c>
      <c r="C1378" t="s">
        <v>0</v>
      </c>
      <c r="D1378" t="s">
        <v>3911</v>
      </c>
      <c r="E1378" t="s">
        <v>3912</v>
      </c>
      <c r="F1378" t="s">
        <v>3913</v>
      </c>
      <c r="G1378">
        <v>3006654292</v>
      </c>
      <c r="H1378" t="s">
        <v>3914</v>
      </c>
      <c r="I1378" t="s">
        <v>1136</v>
      </c>
      <c r="J1378">
        <v>1</v>
      </c>
      <c r="K1378" t="s">
        <v>313</v>
      </c>
      <c r="L1378" s="67">
        <v>0.03</v>
      </c>
      <c r="M1378" t="s">
        <v>4</v>
      </c>
      <c r="N1378" s="67" t="s">
        <v>8</v>
      </c>
      <c r="O1378" s="68">
        <v>45371</v>
      </c>
      <c r="P1378" s="68">
        <v>45371</v>
      </c>
      <c r="Q1378" s="57">
        <v>127.37416719454421</v>
      </c>
      <c r="R1378" t="s">
        <v>3910</v>
      </c>
    </row>
    <row r="1379" spans="1:18">
      <c r="A1379">
        <v>2400</v>
      </c>
      <c r="B1379" t="s">
        <v>3915</v>
      </c>
      <c r="C1379" t="s">
        <v>0</v>
      </c>
      <c r="D1379" t="s">
        <v>3911</v>
      </c>
      <c r="E1379" t="s">
        <v>3912</v>
      </c>
      <c r="F1379" t="s">
        <v>3913</v>
      </c>
      <c r="G1379">
        <v>3006654292</v>
      </c>
      <c r="H1379" t="s">
        <v>3914</v>
      </c>
      <c r="I1379" t="s">
        <v>1136</v>
      </c>
      <c r="J1379">
        <v>1</v>
      </c>
      <c r="K1379" t="s">
        <v>313</v>
      </c>
      <c r="L1379" s="67">
        <v>0.03</v>
      </c>
      <c r="M1379" t="s">
        <v>4</v>
      </c>
      <c r="N1379" s="67" t="s">
        <v>8</v>
      </c>
      <c r="O1379" s="68">
        <v>45371</v>
      </c>
      <c r="P1379" s="68">
        <v>45371</v>
      </c>
      <c r="Q1379" s="57">
        <v>127.37416719454421</v>
      </c>
      <c r="R1379" t="s">
        <v>3910</v>
      </c>
    </row>
    <row r="1380" spans="1:18">
      <c r="A1380">
        <v>2401</v>
      </c>
      <c r="B1380" t="s">
        <v>3915</v>
      </c>
      <c r="C1380" t="s">
        <v>0</v>
      </c>
      <c r="D1380" t="s">
        <v>3911</v>
      </c>
      <c r="E1380" t="s">
        <v>3912</v>
      </c>
      <c r="F1380" t="s">
        <v>3913</v>
      </c>
      <c r="G1380">
        <v>3006654292</v>
      </c>
      <c r="H1380" t="s">
        <v>3914</v>
      </c>
      <c r="I1380" t="s">
        <v>1136</v>
      </c>
      <c r="J1380">
        <v>1</v>
      </c>
      <c r="K1380" t="s">
        <v>313</v>
      </c>
      <c r="L1380" s="67">
        <v>0.03</v>
      </c>
      <c r="M1380" t="s">
        <v>4</v>
      </c>
      <c r="N1380" s="67" t="s">
        <v>8</v>
      </c>
      <c r="O1380" s="68">
        <v>45371</v>
      </c>
      <c r="P1380" s="68">
        <v>45371</v>
      </c>
      <c r="Q1380" s="57">
        <v>127.37416719454421</v>
      </c>
      <c r="R1380" t="s">
        <v>3910</v>
      </c>
    </row>
    <row r="1381" spans="1:18">
      <c r="A1381">
        <v>2402</v>
      </c>
      <c r="B1381" t="s">
        <v>3915</v>
      </c>
      <c r="C1381" t="s">
        <v>0</v>
      </c>
      <c r="D1381" t="s">
        <v>3911</v>
      </c>
      <c r="E1381" t="s">
        <v>3912</v>
      </c>
      <c r="F1381" t="s">
        <v>3913</v>
      </c>
      <c r="G1381">
        <v>3006654292</v>
      </c>
      <c r="H1381" t="s">
        <v>3914</v>
      </c>
      <c r="I1381" t="s">
        <v>1136</v>
      </c>
      <c r="J1381">
        <v>1</v>
      </c>
      <c r="K1381" t="s">
        <v>313</v>
      </c>
      <c r="L1381" s="67">
        <v>0.03</v>
      </c>
      <c r="M1381" t="s">
        <v>4</v>
      </c>
      <c r="N1381" s="67" t="s">
        <v>8</v>
      </c>
      <c r="O1381" s="68">
        <v>45371</v>
      </c>
      <c r="P1381" s="68">
        <v>45371</v>
      </c>
      <c r="Q1381" s="57">
        <v>127.37416719454421</v>
      </c>
      <c r="R1381" t="s">
        <v>3910</v>
      </c>
    </row>
    <row r="1382" spans="1:18">
      <c r="A1382">
        <v>2403</v>
      </c>
      <c r="B1382" t="s">
        <v>3915</v>
      </c>
      <c r="C1382" t="s">
        <v>0</v>
      </c>
      <c r="D1382" t="s">
        <v>3911</v>
      </c>
      <c r="E1382" t="s">
        <v>3912</v>
      </c>
      <c r="F1382" t="s">
        <v>3913</v>
      </c>
      <c r="G1382">
        <v>3006654292</v>
      </c>
      <c r="H1382" t="s">
        <v>3914</v>
      </c>
      <c r="I1382" t="s">
        <v>1136</v>
      </c>
      <c r="J1382">
        <v>1</v>
      </c>
      <c r="K1382" t="s">
        <v>313</v>
      </c>
      <c r="L1382" s="67">
        <v>0.03</v>
      </c>
      <c r="M1382" t="s">
        <v>4</v>
      </c>
      <c r="N1382" s="67" t="s">
        <v>8</v>
      </c>
      <c r="O1382" s="68">
        <v>45371</v>
      </c>
      <c r="P1382" s="68">
        <v>45371</v>
      </c>
      <c r="Q1382" s="57">
        <v>127.37416719454421</v>
      </c>
      <c r="R1382" t="s">
        <v>3910</v>
      </c>
    </row>
    <row r="1383" spans="1:18">
      <c r="A1383">
        <v>2404</v>
      </c>
      <c r="B1383" t="s">
        <v>3915</v>
      </c>
      <c r="C1383" t="s">
        <v>0</v>
      </c>
      <c r="D1383" t="s">
        <v>3911</v>
      </c>
      <c r="E1383" t="s">
        <v>3912</v>
      </c>
      <c r="F1383" t="s">
        <v>3913</v>
      </c>
      <c r="G1383">
        <v>3006654292</v>
      </c>
      <c r="H1383" t="s">
        <v>3914</v>
      </c>
      <c r="I1383" t="s">
        <v>1136</v>
      </c>
      <c r="J1383">
        <v>1</v>
      </c>
      <c r="K1383" t="s">
        <v>313</v>
      </c>
      <c r="L1383" s="67">
        <v>0.03</v>
      </c>
      <c r="M1383" t="s">
        <v>4</v>
      </c>
      <c r="N1383" s="67" t="s">
        <v>8</v>
      </c>
      <c r="O1383" s="68">
        <v>45371</v>
      </c>
      <c r="P1383" s="68">
        <v>45371</v>
      </c>
      <c r="Q1383" s="57">
        <v>127.37416719454421</v>
      </c>
      <c r="R1383" t="s">
        <v>3910</v>
      </c>
    </row>
    <row r="1384" spans="1:18">
      <c r="A1384">
        <v>2405</v>
      </c>
      <c r="B1384" t="s">
        <v>3915</v>
      </c>
      <c r="C1384" t="s">
        <v>0</v>
      </c>
      <c r="D1384" t="s">
        <v>3911</v>
      </c>
      <c r="E1384" t="s">
        <v>3912</v>
      </c>
      <c r="F1384" t="s">
        <v>3913</v>
      </c>
      <c r="G1384">
        <v>3006654292</v>
      </c>
      <c r="H1384" t="s">
        <v>3914</v>
      </c>
      <c r="I1384" t="s">
        <v>1136</v>
      </c>
      <c r="J1384">
        <v>1</v>
      </c>
      <c r="K1384" t="s">
        <v>313</v>
      </c>
      <c r="L1384" s="67">
        <v>0.03</v>
      </c>
      <c r="M1384" t="s">
        <v>4</v>
      </c>
      <c r="N1384" s="67" t="s">
        <v>8</v>
      </c>
      <c r="O1384" s="68">
        <v>45371</v>
      </c>
      <c r="P1384" s="68">
        <v>45371</v>
      </c>
      <c r="Q1384" s="57">
        <v>127.37416719454421</v>
      </c>
      <c r="R1384" t="s">
        <v>3910</v>
      </c>
    </row>
    <row r="1385" spans="1:18">
      <c r="A1385">
        <v>2406</v>
      </c>
      <c r="B1385" t="s">
        <v>3915</v>
      </c>
      <c r="C1385" t="s">
        <v>0</v>
      </c>
      <c r="D1385" t="s">
        <v>3911</v>
      </c>
      <c r="E1385" t="s">
        <v>3912</v>
      </c>
      <c r="F1385" t="s">
        <v>3913</v>
      </c>
      <c r="G1385">
        <v>3006654292</v>
      </c>
      <c r="H1385" t="s">
        <v>3914</v>
      </c>
      <c r="I1385" t="s">
        <v>1136</v>
      </c>
      <c r="J1385">
        <v>1</v>
      </c>
      <c r="K1385" t="s">
        <v>313</v>
      </c>
      <c r="L1385" s="67">
        <v>0.03</v>
      </c>
      <c r="M1385" t="s">
        <v>4</v>
      </c>
      <c r="N1385" s="67" t="s">
        <v>8</v>
      </c>
      <c r="O1385" s="68">
        <v>45371</v>
      </c>
      <c r="P1385" s="68">
        <v>45371</v>
      </c>
      <c r="Q1385" s="57">
        <v>127.37416719454421</v>
      </c>
      <c r="R1385" t="s">
        <v>3910</v>
      </c>
    </row>
    <row r="1386" spans="1:18">
      <c r="A1386">
        <v>2407</v>
      </c>
      <c r="B1386" t="s">
        <v>3915</v>
      </c>
      <c r="C1386" t="s">
        <v>0</v>
      </c>
      <c r="D1386" t="s">
        <v>3911</v>
      </c>
      <c r="E1386" t="s">
        <v>3912</v>
      </c>
      <c r="F1386" t="s">
        <v>3913</v>
      </c>
      <c r="G1386">
        <v>3006654292</v>
      </c>
      <c r="H1386" t="s">
        <v>3914</v>
      </c>
      <c r="I1386" t="s">
        <v>1136</v>
      </c>
      <c r="J1386">
        <v>1</v>
      </c>
      <c r="K1386" t="s">
        <v>313</v>
      </c>
      <c r="L1386" s="67">
        <v>0.03</v>
      </c>
      <c r="M1386" t="s">
        <v>4</v>
      </c>
      <c r="N1386" s="67" t="s">
        <v>8</v>
      </c>
      <c r="O1386" s="68">
        <v>45371</v>
      </c>
      <c r="P1386" s="68">
        <v>45371</v>
      </c>
      <c r="Q1386" s="57">
        <v>127.37416719454421</v>
      </c>
      <c r="R1386" t="s">
        <v>3910</v>
      </c>
    </row>
    <row r="1387" spans="1:18">
      <c r="A1387">
        <v>2408</v>
      </c>
      <c r="B1387" t="s">
        <v>3915</v>
      </c>
      <c r="C1387" t="s">
        <v>0</v>
      </c>
      <c r="D1387" t="s">
        <v>3911</v>
      </c>
      <c r="E1387" t="s">
        <v>3912</v>
      </c>
      <c r="F1387" t="s">
        <v>3913</v>
      </c>
      <c r="G1387">
        <v>3006654292</v>
      </c>
      <c r="H1387" t="s">
        <v>3914</v>
      </c>
      <c r="I1387" t="s">
        <v>1136</v>
      </c>
      <c r="J1387">
        <v>1</v>
      </c>
      <c r="K1387" t="s">
        <v>313</v>
      </c>
      <c r="L1387" s="67">
        <v>0.03</v>
      </c>
      <c r="M1387" t="s">
        <v>4</v>
      </c>
      <c r="N1387" s="67" t="s">
        <v>8</v>
      </c>
      <c r="O1387" s="68">
        <v>45371</v>
      </c>
      <c r="P1387" s="68">
        <v>45371</v>
      </c>
      <c r="Q1387" s="57">
        <v>127.37416719454421</v>
      </c>
      <c r="R1387" t="s">
        <v>3910</v>
      </c>
    </row>
    <row r="1388" spans="1:18">
      <c r="A1388">
        <v>2409</v>
      </c>
      <c r="B1388" t="s">
        <v>3915</v>
      </c>
      <c r="C1388" t="s">
        <v>0</v>
      </c>
      <c r="D1388" t="s">
        <v>3911</v>
      </c>
      <c r="E1388" t="s">
        <v>3912</v>
      </c>
      <c r="F1388" t="s">
        <v>3913</v>
      </c>
      <c r="G1388">
        <v>3006654292</v>
      </c>
      <c r="H1388" t="s">
        <v>3914</v>
      </c>
      <c r="I1388" t="s">
        <v>1136</v>
      </c>
      <c r="J1388">
        <v>1</v>
      </c>
      <c r="K1388" t="s">
        <v>313</v>
      </c>
      <c r="L1388" s="67">
        <v>0.03</v>
      </c>
      <c r="M1388" t="s">
        <v>4</v>
      </c>
      <c r="N1388" s="67" t="s">
        <v>8</v>
      </c>
      <c r="O1388" s="68">
        <v>45371</v>
      </c>
      <c r="P1388" s="68">
        <v>45371</v>
      </c>
      <c r="Q1388" s="57">
        <v>127.37416719454421</v>
      </c>
      <c r="R1388" t="s">
        <v>3910</v>
      </c>
    </row>
    <row r="1389" spans="1:18">
      <c r="A1389">
        <v>2410</v>
      </c>
      <c r="B1389" t="s">
        <v>3915</v>
      </c>
      <c r="C1389" t="s">
        <v>0</v>
      </c>
      <c r="D1389" t="s">
        <v>3911</v>
      </c>
      <c r="E1389" t="s">
        <v>3912</v>
      </c>
      <c r="F1389" t="s">
        <v>3913</v>
      </c>
      <c r="G1389">
        <v>3006654292</v>
      </c>
      <c r="H1389" t="s">
        <v>3914</v>
      </c>
      <c r="I1389" t="s">
        <v>1136</v>
      </c>
      <c r="J1389">
        <v>1</v>
      </c>
      <c r="K1389" t="s">
        <v>313</v>
      </c>
      <c r="L1389" s="67">
        <v>0.03</v>
      </c>
      <c r="M1389" t="s">
        <v>4</v>
      </c>
      <c r="N1389" s="67" t="s">
        <v>8</v>
      </c>
      <c r="O1389" s="68">
        <v>45371</v>
      </c>
      <c r="P1389" s="68">
        <v>45371</v>
      </c>
      <c r="Q1389" s="57">
        <v>127.37416719454421</v>
      </c>
      <c r="R1389" t="s">
        <v>3910</v>
      </c>
    </row>
    <row r="1390" spans="1:18">
      <c r="A1390">
        <v>2411</v>
      </c>
      <c r="B1390" t="s">
        <v>3915</v>
      </c>
      <c r="C1390" t="s">
        <v>0</v>
      </c>
      <c r="D1390" t="s">
        <v>3911</v>
      </c>
      <c r="E1390" t="s">
        <v>3912</v>
      </c>
      <c r="F1390" t="s">
        <v>3913</v>
      </c>
      <c r="G1390">
        <v>3006654292</v>
      </c>
      <c r="H1390" t="s">
        <v>3914</v>
      </c>
      <c r="I1390" t="s">
        <v>1136</v>
      </c>
      <c r="J1390">
        <v>1</v>
      </c>
      <c r="K1390" t="s">
        <v>313</v>
      </c>
      <c r="L1390" s="67">
        <v>0.03</v>
      </c>
      <c r="M1390" t="s">
        <v>4</v>
      </c>
      <c r="N1390" s="67" t="s">
        <v>8</v>
      </c>
      <c r="O1390" s="68">
        <v>45371</v>
      </c>
      <c r="P1390" s="68">
        <v>45371</v>
      </c>
      <c r="Q1390" s="57">
        <v>127.37416719454421</v>
      </c>
      <c r="R1390" t="s">
        <v>3910</v>
      </c>
    </row>
    <row r="1391" spans="1:18">
      <c r="A1391">
        <v>2412</v>
      </c>
      <c r="B1391" t="s">
        <v>3915</v>
      </c>
      <c r="C1391" t="s">
        <v>0</v>
      </c>
      <c r="D1391" t="s">
        <v>3911</v>
      </c>
      <c r="E1391" t="s">
        <v>3912</v>
      </c>
      <c r="F1391" t="s">
        <v>3913</v>
      </c>
      <c r="G1391">
        <v>3006654292</v>
      </c>
      <c r="H1391" t="s">
        <v>3914</v>
      </c>
      <c r="I1391" t="s">
        <v>1136</v>
      </c>
      <c r="J1391">
        <v>1</v>
      </c>
      <c r="K1391" t="s">
        <v>313</v>
      </c>
      <c r="L1391" s="67">
        <v>0.03</v>
      </c>
      <c r="M1391" t="s">
        <v>4</v>
      </c>
      <c r="N1391" s="67" t="s">
        <v>8</v>
      </c>
      <c r="O1391" s="68">
        <v>45371</v>
      </c>
      <c r="P1391" s="68">
        <v>45371</v>
      </c>
      <c r="Q1391" s="57">
        <v>127.37416719454421</v>
      </c>
      <c r="R1391" t="s">
        <v>3910</v>
      </c>
    </row>
    <row r="1392" spans="1:18">
      <c r="A1392">
        <v>2413</v>
      </c>
      <c r="B1392" t="s">
        <v>3915</v>
      </c>
      <c r="C1392" t="s">
        <v>0</v>
      </c>
      <c r="D1392" t="s">
        <v>3911</v>
      </c>
      <c r="E1392" t="s">
        <v>3912</v>
      </c>
      <c r="F1392" t="s">
        <v>3913</v>
      </c>
      <c r="G1392">
        <v>3006654292</v>
      </c>
      <c r="H1392" t="s">
        <v>3914</v>
      </c>
      <c r="I1392" t="s">
        <v>1136</v>
      </c>
      <c r="J1392">
        <v>1</v>
      </c>
      <c r="K1392" t="s">
        <v>313</v>
      </c>
      <c r="L1392" s="67">
        <v>0.03</v>
      </c>
      <c r="M1392" t="s">
        <v>4</v>
      </c>
      <c r="N1392" s="67" t="s">
        <v>8</v>
      </c>
      <c r="O1392" s="68">
        <v>45371</v>
      </c>
      <c r="P1392" s="68">
        <v>45371</v>
      </c>
      <c r="Q1392" s="57">
        <v>127.37416719454421</v>
      </c>
      <c r="R1392" t="s">
        <v>3910</v>
      </c>
    </row>
    <row r="1393" spans="1:18">
      <c r="A1393">
        <v>2414</v>
      </c>
      <c r="B1393" t="s">
        <v>3915</v>
      </c>
      <c r="C1393" t="s">
        <v>0</v>
      </c>
      <c r="D1393" t="s">
        <v>3911</v>
      </c>
      <c r="E1393" t="s">
        <v>3912</v>
      </c>
      <c r="F1393" t="s">
        <v>3913</v>
      </c>
      <c r="G1393">
        <v>3006654292</v>
      </c>
      <c r="H1393" t="s">
        <v>3914</v>
      </c>
      <c r="I1393" t="s">
        <v>1136</v>
      </c>
      <c r="J1393">
        <v>1</v>
      </c>
      <c r="K1393" t="s">
        <v>313</v>
      </c>
      <c r="L1393" s="67">
        <v>0.03</v>
      </c>
      <c r="M1393" t="s">
        <v>4</v>
      </c>
      <c r="N1393" s="67" t="s">
        <v>8</v>
      </c>
      <c r="O1393" s="68">
        <v>45371</v>
      </c>
      <c r="P1393" s="68">
        <v>45371</v>
      </c>
      <c r="Q1393" s="57">
        <v>127.37416719454421</v>
      </c>
      <c r="R1393" t="s">
        <v>3910</v>
      </c>
    </row>
    <row r="1394" spans="1:18">
      <c r="A1394">
        <v>2415</v>
      </c>
      <c r="B1394" t="s">
        <v>3915</v>
      </c>
      <c r="C1394" t="s">
        <v>0</v>
      </c>
      <c r="D1394" t="s">
        <v>3911</v>
      </c>
      <c r="E1394" t="s">
        <v>3912</v>
      </c>
      <c r="F1394" t="s">
        <v>3913</v>
      </c>
      <c r="G1394">
        <v>3006654292</v>
      </c>
      <c r="H1394" t="s">
        <v>3914</v>
      </c>
      <c r="I1394" t="s">
        <v>1136</v>
      </c>
      <c r="J1394">
        <v>1</v>
      </c>
      <c r="K1394" t="s">
        <v>313</v>
      </c>
      <c r="L1394" s="67">
        <v>0.03</v>
      </c>
      <c r="M1394" t="s">
        <v>4</v>
      </c>
      <c r="N1394" s="67" t="s">
        <v>8</v>
      </c>
      <c r="O1394" s="68">
        <v>45371</v>
      </c>
      <c r="P1394" s="68">
        <v>45371</v>
      </c>
      <c r="Q1394" s="57">
        <v>127.37416719454421</v>
      </c>
      <c r="R1394" t="s">
        <v>3910</v>
      </c>
    </row>
    <row r="1395" spans="1:18">
      <c r="A1395">
        <v>2416</v>
      </c>
      <c r="B1395" t="s">
        <v>3915</v>
      </c>
      <c r="C1395" t="s">
        <v>0</v>
      </c>
      <c r="D1395" t="s">
        <v>3911</v>
      </c>
      <c r="E1395" t="s">
        <v>3912</v>
      </c>
      <c r="F1395" t="s">
        <v>3913</v>
      </c>
      <c r="G1395">
        <v>3006654292</v>
      </c>
      <c r="H1395" t="s">
        <v>3914</v>
      </c>
      <c r="I1395" t="s">
        <v>1136</v>
      </c>
      <c r="J1395">
        <v>1</v>
      </c>
      <c r="K1395" t="s">
        <v>313</v>
      </c>
      <c r="L1395" s="67">
        <v>0.03</v>
      </c>
      <c r="M1395" t="s">
        <v>4</v>
      </c>
      <c r="N1395" s="67" t="s">
        <v>8</v>
      </c>
      <c r="O1395" s="68">
        <v>45371</v>
      </c>
      <c r="P1395" s="68">
        <v>45371</v>
      </c>
      <c r="Q1395" s="57">
        <v>127.37416719454421</v>
      </c>
      <c r="R1395" t="s">
        <v>3910</v>
      </c>
    </row>
    <row r="1396" spans="1:18">
      <c r="A1396">
        <v>2417</v>
      </c>
      <c r="B1396" t="s">
        <v>3915</v>
      </c>
      <c r="C1396" t="s">
        <v>0</v>
      </c>
      <c r="D1396" t="s">
        <v>3911</v>
      </c>
      <c r="E1396" t="s">
        <v>3912</v>
      </c>
      <c r="F1396" t="s">
        <v>3913</v>
      </c>
      <c r="G1396">
        <v>3006654292</v>
      </c>
      <c r="H1396" t="s">
        <v>3914</v>
      </c>
      <c r="I1396" t="s">
        <v>1136</v>
      </c>
      <c r="J1396">
        <v>1</v>
      </c>
      <c r="K1396" t="s">
        <v>313</v>
      </c>
      <c r="L1396" s="67">
        <v>0.03</v>
      </c>
      <c r="M1396" t="s">
        <v>4</v>
      </c>
      <c r="N1396" s="67" t="s">
        <v>8</v>
      </c>
      <c r="O1396" s="68">
        <v>45371</v>
      </c>
      <c r="P1396" s="68">
        <v>45371</v>
      </c>
      <c r="Q1396" s="57">
        <v>127.37416719454421</v>
      </c>
      <c r="R1396" t="s">
        <v>3910</v>
      </c>
    </row>
    <row r="1397" spans="1:18">
      <c r="A1397">
        <v>2418</v>
      </c>
      <c r="B1397" t="s">
        <v>3915</v>
      </c>
      <c r="C1397" t="s">
        <v>0</v>
      </c>
      <c r="D1397" t="s">
        <v>3911</v>
      </c>
      <c r="E1397" t="s">
        <v>3912</v>
      </c>
      <c r="F1397" t="s">
        <v>3913</v>
      </c>
      <c r="G1397">
        <v>3006654292</v>
      </c>
      <c r="H1397" t="s">
        <v>3914</v>
      </c>
      <c r="I1397" t="s">
        <v>1136</v>
      </c>
      <c r="J1397">
        <v>1</v>
      </c>
      <c r="K1397" t="s">
        <v>313</v>
      </c>
      <c r="L1397" s="67">
        <v>0.03</v>
      </c>
      <c r="M1397" t="s">
        <v>4</v>
      </c>
      <c r="N1397" s="67" t="s">
        <v>8</v>
      </c>
      <c r="O1397" s="68">
        <v>45371</v>
      </c>
      <c r="P1397" s="68">
        <v>45371</v>
      </c>
      <c r="Q1397" s="57">
        <v>127.37416719454421</v>
      </c>
      <c r="R1397" t="s">
        <v>3910</v>
      </c>
    </row>
    <row r="1398" spans="1:18">
      <c r="A1398">
        <v>2419</v>
      </c>
      <c r="B1398" t="s">
        <v>3915</v>
      </c>
      <c r="C1398" t="s">
        <v>0</v>
      </c>
      <c r="D1398" t="s">
        <v>3911</v>
      </c>
      <c r="E1398" t="s">
        <v>3912</v>
      </c>
      <c r="F1398" t="s">
        <v>3913</v>
      </c>
      <c r="G1398">
        <v>3006654292</v>
      </c>
      <c r="H1398" t="s">
        <v>3914</v>
      </c>
      <c r="I1398" t="s">
        <v>1136</v>
      </c>
      <c r="J1398">
        <v>1</v>
      </c>
      <c r="K1398" t="s">
        <v>313</v>
      </c>
      <c r="L1398" s="67">
        <v>0.03</v>
      </c>
      <c r="M1398" t="s">
        <v>4</v>
      </c>
      <c r="N1398" s="67" t="s">
        <v>8</v>
      </c>
      <c r="O1398" s="68">
        <v>45371</v>
      </c>
      <c r="P1398" s="68">
        <v>45371</v>
      </c>
      <c r="Q1398" s="57">
        <v>127.37416719454421</v>
      </c>
      <c r="R1398" t="s">
        <v>3910</v>
      </c>
    </row>
    <row r="1399" spans="1:18">
      <c r="A1399">
        <v>2420</v>
      </c>
      <c r="B1399" t="s">
        <v>3915</v>
      </c>
      <c r="C1399" t="s">
        <v>0</v>
      </c>
      <c r="D1399" t="s">
        <v>3911</v>
      </c>
      <c r="E1399" t="s">
        <v>3912</v>
      </c>
      <c r="F1399" t="s">
        <v>3913</v>
      </c>
      <c r="G1399">
        <v>3006654292</v>
      </c>
      <c r="H1399" t="s">
        <v>3914</v>
      </c>
      <c r="I1399" t="s">
        <v>1136</v>
      </c>
      <c r="J1399">
        <v>1</v>
      </c>
      <c r="K1399" t="s">
        <v>313</v>
      </c>
      <c r="L1399" s="67">
        <v>0.03</v>
      </c>
      <c r="M1399" t="s">
        <v>4</v>
      </c>
      <c r="N1399" s="67" t="s">
        <v>8</v>
      </c>
      <c r="O1399" s="68">
        <v>45371</v>
      </c>
      <c r="P1399" s="68">
        <v>45371</v>
      </c>
      <c r="Q1399" s="57">
        <v>127.37416719454421</v>
      </c>
      <c r="R1399" t="s">
        <v>3910</v>
      </c>
    </row>
    <row r="1400" spans="1:18">
      <c r="A1400">
        <v>2421</v>
      </c>
      <c r="B1400" t="s">
        <v>3921</v>
      </c>
      <c r="C1400" t="s">
        <v>0</v>
      </c>
      <c r="D1400" t="s">
        <v>3916</v>
      </c>
      <c r="E1400" t="s">
        <v>3917</v>
      </c>
      <c r="F1400" t="s">
        <v>3920</v>
      </c>
      <c r="G1400">
        <v>3175150188</v>
      </c>
      <c r="H1400" t="s">
        <v>3918</v>
      </c>
      <c r="I1400" t="s">
        <v>3919</v>
      </c>
      <c r="J1400">
        <v>1</v>
      </c>
      <c r="K1400" t="s">
        <v>313</v>
      </c>
      <c r="L1400" s="67">
        <v>0.06</v>
      </c>
      <c r="M1400" t="s">
        <v>4</v>
      </c>
      <c r="N1400" s="67" t="s">
        <v>8</v>
      </c>
      <c r="O1400" s="68">
        <v>45371</v>
      </c>
      <c r="P1400" s="68">
        <v>45371</v>
      </c>
      <c r="Q1400" s="57">
        <v>177.31205813715874</v>
      </c>
      <c r="R1400" t="s">
        <v>3910</v>
      </c>
    </row>
    <row r="1401" spans="1:18">
      <c r="A1401">
        <v>2422</v>
      </c>
      <c r="B1401" t="s">
        <v>3922</v>
      </c>
      <c r="C1401" t="s">
        <v>0</v>
      </c>
      <c r="D1401" t="s">
        <v>3916</v>
      </c>
      <c r="E1401" t="s">
        <v>3917</v>
      </c>
      <c r="F1401" t="s">
        <v>3920</v>
      </c>
      <c r="G1401">
        <v>3175150188</v>
      </c>
      <c r="H1401" t="s">
        <v>3918</v>
      </c>
      <c r="I1401" t="s">
        <v>3919</v>
      </c>
      <c r="J1401">
        <v>1</v>
      </c>
      <c r="K1401" t="s">
        <v>313</v>
      </c>
      <c r="L1401" s="67">
        <v>0.06</v>
      </c>
      <c r="M1401" t="s">
        <v>4</v>
      </c>
      <c r="N1401" s="67" t="s">
        <v>8</v>
      </c>
      <c r="O1401" s="68">
        <v>45371</v>
      </c>
      <c r="P1401" s="68">
        <v>45371</v>
      </c>
      <c r="Q1401" s="57">
        <v>177.31205813715874</v>
      </c>
      <c r="R1401" t="s">
        <v>3910</v>
      </c>
    </row>
    <row r="1402" spans="1:18">
      <c r="A1402">
        <v>2423</v>
      </c>
      <c r="B1402" t="s">
        <v>3926</v>
      </c>
      <c r="C1402" t="s">
        <v>0</v>
      </c>
      <c r="D1402" t="s">
        <v>3923</v>
      </c>
      <c r="E1402" t="s">
        <v>3924</v>
      </c>
      <c r="G1402">
        <v>3015816474</v>
      </c>
      <c r="H1402" t="s">
        <v>3925</v>
      </c>
      <c r="I1402" t="s">
        <v>2994</v>
      </c>
      <c r="J1402">
        <v>2</v>
      </c>
      <c r="K1402" t="s">
        <v>313</v>
      </c>
      <c r="L1402" s="67">
        <v>0.03</v>
      </c>
      <c r="M1402" t="s">
        <v>4</v>
      </c>
      <c r="N1402" s="67" t="s">
        <v>8</v>
      </c>
      <c r="O1402" s="68">
        <v>45371</v>
      </c>
      <c r="P1402" s="68">
        <v>45371</v>
      </c>
      <c r="Q1402" s="57">
        <v>2010.8901261334479</v>
      </c>
      <c r="R1402" t="s">
        <v>3910</v>
      </c>
    </row>
    <row r="1403" spans="1:18">
      <c r="A1403">
        <v>2424</v>
      </c>
      <c r="B1403" t="s">
        <v>3931</v>
      </c>
      <c r="C1403" t="s">
        <v>0</v>
      </c>
      <c r="D1403" t="s">
        <v>3929</v>
      </c>
      <c r="G1403" t="s">
        <v>3930</v>
      </c>
      <c r="H1403" t="s">
        <v>3927</v>
      </c>
      <c r="I1403" t="s">
        <v>3928</v>
      </c>
      <c r="J1403">
        <v>1</v>
      </c>
      <c r="K1403" t="s">
        <v>313</v>
      </c>
      <c r="L1403" s="67">
        <v>0.03</v>
      </c>
      <c r="M1403" t="s">
        <v>4</v>
      </c>
      <c r="N1403" s="67" t="s">
        <v>8</v>
      </c>
      <c r="O1403" s="68">
        <v>45371</v>
      </c>
      <c r="P1403" s="68">
        <v>45371</v>
      </c>
      <c r="Q1403" s="57">
        <v>702.12723143970879</v>
      </c>
      <c r="R1403" t="s">
        <v>3910</v>
      </c>
    </row>
    <row r="1404" spans="1:18">
      <c r="A1404">
        <v>2425</v>
      </c>
      <c r="B1404" t="s">
        <v>3937</v>
      </c>
      <c r="C1404" t="s">
        <v>0</v>
      </c>
      <c r="D1404" t="s">
        <v>3932</v>
      </c>
      <c r="E1404" t="s">
        <v>3933</v>
      </c>
      <c r="G1404" t="s">
        <v>3935</v>
      </c>
      <c r="H1404" t="s">
        <v>3934</v>
      </c>
      <c r="I1404" t="s">
        <v>3936</v>
      </c>
      <c r="J1404">
        <v>1</v>
      </c>
      <c r="K1404" t="s">
        <v>313</v>
      </c>
      <c r="L1404" s="67">
        <v>0.03</v>
      </c>
      <c r="M1404" t="s">
        <v>4</v>
      </c>
      <c r="N1404" s="67" t="s">
        <v>8</v>
      </c>
      <c r="O1404" s="68">
        <v>45371</v>
      </c>
      <c r="P1404" s="68">
        <v>45371</v>
      </c>
      <c r="Q1404" s="57">
        <v>216.03914813529499</v>
      </c>
      <c r="R1404" t="s">
        <v>3910</v>
      </c>
    </row>
    <row r="1405" spans="1:18">
      <c r="A1405">
        <v>2426</v>
      </c>
      <c r="B1405" t="s">
        <v>3941</v>
      </c>
      <c r="C1405" t="s">
        <v>0</v>
      </c>
      <c r="D1405" t="s">
        <v>3939</v>
      </c>
      <c r="E1405" t="s">
        <v>3940</v>
      </c>
      <c r="I1405" t="s">
        <v>3938</v>
      </c>
      <c r="J1405">
        <v>1</v>
      </c>
      <c r="K1405" t="s">
        <v>313</v>
      </c>
      <c r="L1405" s="67">
        <v>0.03</v>
      </c>
      <c r="M1405" t="s">
        <v>4</v>
      </c>
      <c r="N1405" s="67" t="s">
        <v>8</v>
      </c>
      <c r="O1405" s="68">
        <v>45371</v>
      </c>
      <c r="P1405" s="68">
        <v>45371</v>
      </c>
      <c r="Q1405" s="57">
        <v>127.37416719454421</v>
      </c>
      <c r="R1405" t="s">
        <v>3910</v>
      </c>
    </row>
    <row r="1406" spans="1:18">
      <c r="A1406">
        <v>2427</v>
      </c>
      <c r="B1406" t="s">
        <v>3944</v>
      </c>
      <c r="C1406" t="s">
        <v>0</v>
      </c>
      <c r="D1406" t="s">
        <v>3942</v>
      </c>
      <c r="E1406" t="s">
        <v>1823</v>
      </c>
      <c r="H1406" t="s">
        <v>3943</v>
      </c>
      <c r="I1406" t="s">
        <v>1997</v>
      </c>
      <c r="J1406">
        <v>1</v>
      </c>
      <c r="K1406" t="s">
        <v>313</v>
      </c>
      <c r="L1406" s="67">
        <v>0.03</v>
      </c>
      <c r="M1406" t="s">
        <v>4</v>
      </c>
      <c r="N1406" s="67" t="s">
        <v>8</v>
      </c>
      <c r="O1406" s="68">
        <v>45372</v>
      </c>
      <c r="P1406" s="68">
        <v>45372</v>
      </c>
      <c r="Q1406" s="57">
        <v>168.75393763751782</v>
      </c>
      <c r="R1406" t="s">
        <v>3910</v>
      </c>
    </row>
    <row r="1407" spans="1:18">
      <c r="A1407">
        <v>2428</v>
      </c>
      <c r="B1407" t="s">
        <v>3948</v>
      </c>
      <c r="C1407" t="s">
        <v>0</v>
      </c>
      <c r="D1407" t="s">
        <v>3945</v>
      </c>
      <c r="E1407" t="s">
        <v>3946</v>
      </c>
      <c r="I1407" t="s">
        <v>3947</v>
      </c>
      <c r="J1407">
        <v>1</v>
      </c>
      <c r="K1407" t="s">
        <v>313</v>
      </c>
      <c r="L1407" s="67">
        <v>0.03</v>
      </c>
      <c r="M1407" t="s">
        <v>4</v>
      </c>
      <c r="N1407" s="67" t="s">
        <v>8</v>
      </c>
      <c r="O1407" s="68">
        <v>45372</v>
      </c>
      <c r="P1407" s="68">
        <v>45372</v>
      </c>
      <c r="Q1407" s="57">
        <v>991.64685003489831</v>
      </c>
      <c r="R1407" t="s">
        <v>3910</v>
      </c>
    </row>
    <row r="1408" spans="1:18">
      <c r="A1408">
        <v>2429</v>
      </c>
      <c r="B1408" t="s">
        <v>3950</v>
      </c>
      <c r="C1408" t="s">
        <v>0</v>
      </c>
      <c r="D1408" t="s">
        <v>3949</v>
      </c>
      <c r="E1408" t="s">
        <v>838</v>
      </c>
      <c r="I1408" t="s">
        <v>24</v>
      </c>
      <c r="J1408">
        <v>1</v>
      </c>
      <c r="K1408" t="s">
        <v>313</v>
      </c>
      <c r="L1408" s="67">
        <v>0.03</v>
      </c>
      <c r="M1408" t="s">
        <v>4</v>
      </c>
      <c r="N1408" s="67" t="s">
        <v>8</v>
      </c>
      <c r="O1408" s="68">
        <v>45372</v>
      </c>
      <c r="P1408" s="68">
        <v>45372</v>
      </c>
      <c r="Q1408" s="57">
        <v>115.62658946596542</v>
      </c>
      <c r="R1408" t="s">
        <v>3910</v>
      </c>
    </row>
    <row r="1409" spans="1:18">
      <c r="A1409">
        <v>2430</v>
      </c>
      <c r="B1409" t="s">
        <v>3954</v>
      </c>
      <c r="C1409" t="s">
        <v>0</v>
      </c>
      <c r="D1409" t="s">
        <v>3951</v>
      </c>
      <c r="E1409" t="s">
        <v>3952</v>
      </c>
      <c r="I1409" t="s">
        <v>3953</v>
      </c>
      <c r="J1409">
        <v>1</v>
      </c>
      <c r="K1409" t="s">
        <v>313</v>
      </c>
      <c r="L1409" s="67">
        <v>0.03</v>
      </c>
      <c r="M1409" t="s">
        <v>4</v>
      </c>
      <c r="N1409" s="67" t="s">
        <v>8</v>
      </c>
      <c r="O1409" s="68">
        <v>45372</v>
      </c>
      <c r="P1409" s="68">
        <v>45372</v>
      </c>
      <c r="Q1409" s="57">
        <v>221.36599741393525</v>
      </c>
      <c r="R1409" t="s">
        <v>3910</v>
      </c>
    </row>
    <row r="1410" spans="1:18">
      <c r="A1410">
        <v>2431</v>
      </c>
      <c r="B1410" t="s">
        <v>3957</v>
      </c>
      <c r="C1410" t="s">
        <v>0</v>
      </c>
      <c r="D1410" t="s">
        <v>3955</v>
      </c>
      <c r="E1410" t="s">
        <v>3956</v>
      </c>
      <c r="I1410" t="s">
        <v>1079</v>
      </c>
      <c r="J1410">
        <v>1</v>
      </c>
      <c r="K1410" t="s">
        <v>313</v>
      </c>
      <c r="L1410" s="67">
        <v>0.03</v>
      </c>
      <c r="M1410" t="s">
        <v>4</v>
      </c>
      <c r="N1410" s="67" t="s">
        <v>8</v>
      </c>
      <c r="O1410" s="68">
        <v>45372</v>
      </c>
      <c r="P1410" s="68">
        <v>45372</v>
      </c>
      <c r="Q1410" s="57">
        <v>225.00525018335705</v>
      </c>
      <c r="R1410" t="s">
        <v>3910</v>
      </c>
    </row>
    <row r="1411" spans="1:18">
      <c r="A1411">
        <v>2432</v>
      </c>
      <c r="B1411" t="s">
        <v>3959</v>
      </c>
      <c r="C1411" t="s">
        <v>0</v>
      </c>
      <c r="D1411" t="s">
        <v>3958</v>
      </c>
      <c r="I1411" t="s">
        <v>1915</v>
      </c>
      <c r="J1411">
        <v>1</v>
      </c>
      <c r="K1411" t="s">
        <v>313</v>
      </c>
      <c r="L1411" s="67">
        <v>0.03</v>
      </c>
      <c r="M1411" t="s">
        <v>4</v>
      </c>
      <c r="N1411" s="67" t="s">
        <v>8</v>
      </c>
      <c r="O1411" s="68">
        <v>45372</v>
      </c>
      <c r="P1411" s="68">
        <v>45372</v>
      </c>
      <c r="Q1411" s="57">
        <v>295.15466321858031</v>
      </c>
      <c r="R1411" t="s">
        <v>3910</v>
      </c>
    </row>
    <row r="1412" spans="1:18">
      <c r="A1412">
        <v>2433</v>
      </c>
      <c r="B1412" t="s">
        <v>3961</v>
      </c>
      <c r="C1412" t="s">
        <v>0</v>
      </c>
      <c r="D1412" t="s">
        <v>3960</v>
      </c>
      <c r="I1412" t="s">
        <v>137</v>
      </c>
      <c r="J1412">
        <v>1</v>
      </c>
      <c r="K1412" t="s">
        <v>313</v>
      </c>
      <c r="L1412" s="67">
        <v>0.03</v>
      </c>
      <c r="M1412" t="s">
        <v>4</v>
      </c>
      <c r="N1412" s="67" t="s">
        <v>8</v>
      </c>
      <c r="O1412" s="68">
        <v>45374</v>
      </c>
      <c r="P1412" s="68">
        <v>45374</v>
      </c>
      <c r="Q1412" s="57">
        <v>324.05872220294253</v>
      </c>
      <c r="R1412" t="s">
        <v>3910</v>
      </c>
    </row>
    <row r="1413" spans="1:18">
      <c r="A1413">
        <v>2434</v>
      </c>
      <c r="B1413" t="s">
        <v>3962</v>
      </c>
      <c r="C1413" t="s">
        <v>0</v>
      </c>
      <c r="D1413" t="s">
        <v>3960</v>
      </c>
      <c r="I1413" t="s">
        <v>137</v>
      </c>
      <c r="J1413">
        <v>1</v>
      </c>
      <c r="K1413" t="s">
        <v>313</v>
      </c>
      <c r="L1413" s="67">
        <v>0.03</v>
      </c>
      <c r="M1413" t="s">
        <v>4</v>
      </c>
      <c r="N1413" s="67" t="s">
        <v>8</v>
      </c>
      <c r="O1413" s="68">
        <v>45374</v>
      </c>
      <c r="P1413" s="68">
        <v>45374</v>
      </c>
      <c r="Q1413" s="57">
        <v>324.05872220294253</v>
      </c>
      <c r="R1413" t="s">
        <v>3910</v>
      </c>
    </row>
    <row r="1414" spans="1:18">
      <c r="A1414">
        <v>2435</v>
      </c>
      <c r="B1414" t="s">
        <v>3963</v>
      </c>
      <c r="C1414" t="s">
        <v>0</v>
      </c>
      <c r="D1414" t="s">
        <v>3960</v>
      </c>
      <c r="I1414" t="s">
        <v>137</v>
      </c>
      <c r="J1414">
        <v>1</v>
      </c>
      <c r="K1414" t="s">
        <v>313</v>
      </c>
      <c r="L1414" s="67">
        <v>0.03</v>
      </c>
      <c r="M1414" t="s">
        <v>4</v>
      </c>
      <c r="N1414" s="67" t="s">
        <v>8</v>
      </c>
      <c r="O1414" s="68">
        <v>45374</v>
      </c>
      <c r="P1414" s="68">
        <v>45374</v>
      </c>
      <c r="Q1414" s="57">
        <v>324.05872220294253</v>
      </c>
      <c r="R1414" t="s">
        <v>3910</v>
      </c>
    </row>
    <row r="1415" spans="1:18">
      <c r="A1415">
        <v>2436</v>
      </c>
      <c r="B1415" t="s">
        <v>3964</v>
      </c>
      <c r="C1415" t="s">
        <v>0</v>
      </c>
      <c r="D1415" t="s">
        <v>3960</v>
      </c>
      <c r="I1415" t="s">
        <v>137</v>
      </c>
      <c r="J1415">
        <v>1</v>
      </c>
      <c r="K1415" t="s">
        <v>313</v>
      </c>
      <c r="L1415" s="67">
        <v>0.03</v>
      </c>
      <c r="M1415" t="s">
        <v>4</v>
      </c>
      <c r="N1415" s="67" t="s">
        <v>8</v>
      </c>
      <c r="O1415" s="68">
        <v>45374</v>
      </c>
      <c r="P1415" s="68">
        <v>45374</v>
      </c>
      <c r="Q1415" s="57">
        <v>324.05872220294253</v>
      </c>
      <c r="R1415" t="s">
        <v>3910</v>
      </c>
    </row>
    <row r="1416" spans="1:18">
      <c r="A1416">
        <v>2437</v>
      </c>
      <c r="B1416" t="s">
        <v>3965</v>
      </c>
      <c r="C1416" t="s">
        <v>0</v>
      </c>
      <c r="D1416" t="s">
        <v>3960</v>
      </c>
      <c r="I1416" t="s">
        <v>137</v>
      </c>
      <c r="J1416">
        <v>1</v>
      </c>
      <c r="K1416" t="s">
        <v>313</v>
      </c>
      <c r="L1416" s="67">
        <v>0.03</v>
      </c>
      <c r="M1416" t="s">
        <v>4</v>
      </c>
      <c r="N1416" s="67" t="s">
        <v>8</v>
      </c>
      <c r="O1416" s="68">
        <v>45374</v>
      </c>
      <c r="P1416" s="68">
        <v>45374</v>
      </c>
      <c r="Q1416" s="57">
        <v>324.05872220294253</v>
      </c>
      <c r="R1416" t="s">
        <v>3910</v>
      </c>
    </row>
    <row r="1417" spans="1:18">
      <c r="A1417">
        <v>2438</v>
      </c>
      <c r="B1417" t="s">
        <v>3967</v>
      </c>
      <c r="C1417" t="s">
        <v>0</v>
      </c>
      <c r="D1417" t="s">
        <v>3966</v>
      </c>
      <c r="J1417">
        <v>1</v>
      </c>
      <c r="K1417" t="s">
        <v>313</v>
      </c>
      <c r="L1417" s="67">
        <v>0.02</v>
      </c>
      <c r="M1417" t="s">
        <v>4</v>
      </c>
      <c r="N1417" s="67" t="s">
        <v>8</v>
      </c>
      <c r="O1417" s="68">
        <v>45374</v>
      </c>
      <c r="P1417" s="68">
        <v>45374</v>
      </c>
      <c r="Q1417" s="57">
        <v>616.2543863423931</v>
      </c>
      <c r="R1417" t="s">
        <v>3910</v>
      </c>
    </row>
    <row r="1418" spans="1:18">
      <c r="A1418">
        <v>2439</v>
      </c>
      <c r="B1418" t="s">
        <v>3968</v>
      </c>
      <c r="C1418" t="s">
        <v>0</v>
      </c>
      <c r="J1418">
        <v>1</v>
      </c>
      <c r="K1418" t="s">
        <v>313</v>
      </c>
      <c r="L1418" s="67">
        <v>0</v>
      </c>
      <c r="M1418" t="s">
        <v>4</v>
      </c>
      <c r="N1418" s="67" t="s">
        <v>8</v>
      </c>
      <c r="O1418" s="68">
        <v>45374</v>
      </c>
      <c r="P1418" s="68">
        <v>45374</v>
      </c>
      <c r="Q1418" s="57">
        <v>404.69306313087895</v>
      </c>
      <c r="R1418" t="s">
        <v>3910</v>
      </c>
    </row>
    <row r="1419" spans="1:18">
      <c r="A1419">
        <v>2440</v>
      </c>
      <c r="B1419" t="s">
        <v>3971</v>
      </c>
      <c r="C1419" t="s">
        <v>0</v>
      </c>
      <c r="D1419" t="s">
        <v>3969</v>
      </c>
      <c r="G1419" t="s">
        <v>3970</v>
      </c>
      <c r="I1419" t="s">
        <v>3230</v>
      </c>
      <c r="J1419">
        <v>1</v>
      </c>
      <c r="K1419" t="s">
        <v>313</v>
      </c>
      <c r="L1419" s="67">
        <v>0</v>
      </c>
      <c r="M1419" t="s">
        <v>4</v>
      </c>
      <c r="N1419" s="67" t="s">
        <v>8</v>
      </c>
      <c r="O1419" s="68">
        <v>45374</v>
      </c>
      <c r="P1419" s="68">
        <v>45374</v>
      </c>
      <c r="Q1419" s="57">
        <v>404.69306313087895</v>
      </c>
      <c r="R1419" t="s">
        <v>3910</v>
      </c>
    </row>
    <row r="1420" spans="1:18">
      <c r="A1420">
        <v>2441</v>
      </c>
      <c r="B1420" t="s">
        <v>3973</v>
      </c>
      <c r="C1420" t="s">
        <v>0</v>
      </c>
      <c r="D1420" t="s">
        <v>3972</v>
      </c>
      <c r="I1420" t="s">
        <v>1136</v>
      </c>
      <c r="J1420">
        <v>1</v>
      </c>
      <c r="K1420" t="s">
        <v>313</v>
      </c>
      <c r="L1420" s="67">
        <v>0.03</v>
      </c>
      <c r="M1420" t="s">
        <v>4</v>
      </c>
      <c r="N1420" s="67" t="s">
        <v>8</v>
      </c>
      <c r="O1420" s="68">
        <v>45377</v>
      </c>
      <c r="P1420" s="68">
        <v>45377</v>
      </c>
      <c r="Q1420" s="57">
        <v>254.74833438908843</v>
      </c>
      <c r="R1420" t="s">
        <v>3910</v>
      </c>
    </row>
    <row r="1421" spans="1:18">
      <c r="A1421">
        <v>2442</v>
      </c>
      <c r="B1421" t="s">
        <v>3974</v>
      </c>
      <c r="C1421" t="s">
        <v>0</v>
      </c>
      <c r="D1421" t="s">
        <v>3972</v>
      </c>
      <c r="I1421" t="s">
        <v>1136</v>
      </c>
      <c r="J1421">
        <v>1</v>
      </c>
      <c r="K1421" t="s">
        <v>313</v>
      </c>
      <c r="L1421" s="67">
        <v>0.03</v>
      </c>
      <c r="M1421" t="s">
        <v>4</v>
      </c>
      <c r="N1421" s="67" t="s">
        <v>8</v>
      </c>
      <c r="O1421" s="68">
        <v>45377</v>
      </c>
      <c r="P1421" s="68">
        <v>45377</v>
      </c>
      <c r="Q1421" s="57">
        <v>254.74833438908843</v>
      </c>
      <c r="R1421" t="s">
        <v>3910</v>
      </c>
    </row>
    <row r="1422" spans="1:18">
      <c r="A1422">
        <v>2443</v>
      </c>
      <c r="B1422" t="s">
        <v>3977</v>
      </c>
      <c r="C1422" t="s">
        <v>0</v>
      </c>
      <c r="D1422" t="s">
        <v>3975</v>
      </c>
      <c r="I1422" t="s">
        <v>3976</v>
      </c>
      <c r="J1422">
        <v>1</v>
      </c>
      <c r="K1422" t="s">
        <v>313</v>
      </c>
      <c r="L1422" s="67">
        <v>0.03</v>
      </c>
      <c r="M1422" t="s">
        <v>4</v>
      </c>
      <c r="N1422" s="67" t="s">
        <v>8</v>
      </c>
      <c r="O1422" s="68">
        <v>45377</v>
      </c>
      <c r="P1422" s="68">
        <v>45377</v>
      </c>
      <c r="Q1422" s="57">
        <v>193.55363015388915</v>
      </c>
      <c r="R1422" t="s">
        <v>3910</v>
      </c>
    </row>
    <row r="1423" spans="1:18">
      <c r="A1423">
        <v>2444</v>
      </c>
      <c r="B1423" t="s">
        <v>3981</v>
      </c>
      <c r="C1423" t="s">
        <v>0</v>
      </c>
      <c r="D1423" t="s">
        <v>3979</v>
      </c>
      <c r="I1423" t="s">
        <v>3980</v>
      </c>
      <c r="J1423">
        <v>1</v>
      </c>
      <c r="K1423" t="s">
        <v>313</v>
      </c>
      <c r="L1423" s="67">
        <v>0.03</v>
      </c>
      <c r="M1423" t="s">
        <v>4</v>
      </c>
      <c r="N1423" s="67" t="s">
        <v>8</v>
      </c>
      <c r="O1423" s="68">
        <v>45377</v>
      </c>
      <c r="P1423" s="68">
        <v>45377</v>
      </c>
      <c r="Q1423" s="57">
        <v>191.06125079181641</v>
      </c>
      <c r="R1423" t="s">
        <v>3910</v>
      </c>
    </row>
    <row r="1424" spans="1:18">
      <c r="A1424">
        <v>2445</v>
      </c>
      <c r="B1424" t="s">
        <v>3982</v>
      </c>
      <c r="C1424" t="s">
        <v>0</v>
      </c>
      <c r="D1424" t="s">
        <v>3979</v>
      </c>
      <c r="I1424" t="s">
        <v>3980</v>
      </c>
      <c r="J1424">
        <v>1</v>
      </c>
      <c r="K1424" t="s">
        <v>313</v>
      </c>
      <c r="L1424" s="67">
        <v>0.03</v>
      </c>
      <c r="M1424" t="s">
        <v>4</v>
      </c>
      <c r="N1424" s="67" t="s">
        <v>8</v>
      </c>
      <c r="O1424" s="68">
        <v>45377</v>
      </c>
      <c r="P1424" s="68">
        <v>45377</v>
      </c>
      <c r="Q1424" s="57">
        <v>191.06125079181641</v>
      </c>
      <c r="R1424" t="s">
        <v>3910</v>
      </c>
    </row>
    <row r="1425" spans="1:18">
      <c r="A1425">
        <v>2446</v>
      </c>
      <c r="B1425" t="s">
        <v>3983</v>
      </c>
      <c r="C1425" t="s">
        <v>0</v>
      </c>
      <c r="D1425" t="s">
        <v>3979</v>
      </c>
      <c r="I1425" t="s">
        <v>3980</v>
      </c>
      <c r="J1425">
        <v>1</v>
      </c>
      <c r="K1425" t="s">
        <v>313</v>
      </c>
      <c r="L1425" s="67">
        <v>0.03</v>
      </c>
      <c r="M1425" t="s">
        <v>4</v>
      </c>
      <c r="N1425" s="67" t="s">
        <v>8</v>
      </c>
      <c r="O1425" s="68">
        <v>45377</v>
      </c>
      <c r="P1425" s="68">
        <v>45377</v>
      </c>
      <c r="Q1425" s="57">
        <v>191.06125079181641</v>
      </c>
      <c r="R1425" t="s">
        <v>3910</v>
      </c>
    </row>
    <row r="1426" spans="1:18">
      <c r="A1426">
        <v>2447</v>
      </c>
      <c r="B1426" t="s">
        <v>3984</v>
      </c>
      <c r="C1426" t="s">
        <v>0</v>
      </c>
      <c r="D1426" t="s">
        <v>3979</v>
      </c>
      <c r="I1426" t="s">
        <v>3980</v>
      </c>
      <c r="J1426">
        <v>1</v>
      </c>
      <c r="K1426" t="s">
        <v>313</v>
      </c>
      <c r="L1426" s="67">
        <v>0.03</v>
      </c>
      <c r="M1426" t="s">
        <v>4</v>
      </c>
      <c r="N1426" s="67" t="s">
        <v>8</v>
      </c>
      <c r="O1426" s="68">
        <v>45377</v>
      </c>
      <c r="P1426" s="68">
        <v>45377</v>
      </c>
      <c r="Q1426" s="57">
        <v>191.06125079181641</v>
      </c>
      <c r="R1426" t="s">
        <v>3910</v>
      </c>
    </row>
    <row r="1427" spans="1:18">
      <c r="A1427">
        <v>2448</v>
      </c>
      <c r="B1427" t="s">
        <v>3985</v>
      </c>
      <c r="C1427" t="s">
        <v>0</v>
      </c>
      <c r="D1427" t="s">
        <v>3979</v>
      </c>
      <c r="I1427" t="s">
        <v>3980</v>
      </c>
      <c r="J1427">
        <v>1</v>
      </c>
      <c r="K1427" t="s">
        <v>313</v>
      </c>
      <c r="L1427" s="67">
        <v>0.03</v>
      </c>
      <c r="M1427" t="s">
        <v>4</v>
      </c>
      <c r="N1427" s="67" t="s">
        <v>8</v>
      </c>
      <c r="O1427" s="68">
        <v>45377</v>
      </c>
      <c r="P1427" s="68">
        <v>45377</v>
      </c>
      <c r="Q1427" s="57">
        <v>191.06125079181641</v>
      </c>
      <c r="R1427" t="s">
        <v>3910</v>
      </c>
    </row>
    <row r="1428" spans="1:18">
      <c r="A1428">
        <v>2449</v>
      </c>
      <c r="B1428" t="s">
        <v>3986</v>
      </c>
      <c r="C1428" t="s">
        <v>0</v>
      </c>
      <c r="D1428" t="s">
        <v>3979</v>
      </c>
      <c r="I1428" t="s">
        <v>3980</v>
      </c>
      <c r="J1428">
        <v>1</v>
      </c>
      <c r="K1428" t="s">
        <v>313</v>
      </c>
      <c r="L1428" s="67">
        <v>0.03</v>
      </c>
      <c r="M1428" t="s">
        <v>4</v>
      </c>
      <c r="N1428" s="67" t="s">
        <v>8</v>
      </c>
      <c r="O1428" s="68">
        <v>45377</v>
      </c>
      <c r="P1428" s="68">
        <v>45377</v>
      </c>
      <c r="Q1428" s="57">
        <v>191.06125079181641</v>
      </c>
      <c r="R1428" t="s">
        <v>3910</v>
      </c>
    </row>
    <row r="1429" spans="1:18">
      <c r="A1429">
        <v>2450</v>
      </c>
      <c r="B1429" t="s">
        <v>3987</v>
      </c>
      <c r="C1429" t="s">
        <v>0</v>
      </c>
      <c r="D1429" t="s">
        <v>3978</v>
      </c>
      <c r="I1429" t="s">
        <v>3042</v>
      </c>
      <c r="J1429">
        <v>1</v>
      </c>
      <c r="K1429" t="s">
        <v>313</v>
      </c>
      <c r="L1429" s="67">
        <v>0.03</v>
      </c>
      <c r="M1429" t="s">
        <v>4</v>
      </c>
      <c r="N1429" s="67" t="s">
        <v>8</v>
      </c>
      <c r="O1429" s="68">
        <v>45377</v>
      </c>
      <c r="P1429" s="68">
        <v>45377</v>
      </c>
      <c r="Q1429" s="57">
        <v>521.34188455311607</v>
      </c>
      <c r="R1429" t="s">
        <v>3910</v>
      </c>
    </row>
    <row r="1430" spans="1:18">
      <c r="A1430">
        <v>2451</v>
      </c>
      <c r="B1430" t="s">
        <v>3988</v>
      </c>
      <c r="C1430" t="s">
        <v>0</v>
      </c>
      <c r="D1430" t="s">
        <v>3978</v>
      </c>
      <c r="I1430" t="s">
        <v>3042</v>
      </c>
      <c r="J1430">
        <v>1</v>
      </c>
      <c r="K1430" t="s">
        <v>313</v>
      </c>
      <c r="L1430" s="67">
        <v>0.03</v>
      </c>
      <c r="M1430" t="s">
        <v>4</v>
      </c>
      <c r="N1430" s="67" t="s">
        <v>8</v>
      </c>
      <c r="O1430" s="68">
        <v>45377</v>
      </c>
      <c r="P1430" s="68">
        <v>45377</v>
      </c>
      <c r="Q1430" s="57">
        <v>521.34188455311607</v>
      </c>
      <c r="R1430" t="s">
        <v>3910</v>
      </c>
    </row>
    <row r="1431" spans="1:18">
      <c r="A1431">
        <v>2452</v>
      </c>
      <c r="B1431" t="s">
        <v>3989</v>
      </c>
      <c r="C1431" t="s">
        <v>0</v>
      </c>
      <c r="J1431">
        <v>1</v>
      </c>
      <c r="K1431" t="s">
        <v>313</v>
      </c>
      <c r="L1431" s="67">
        <v>0.03</v>
      </c>
      <c r="M1431" t="s">
        <v>4</v>
      </c>
      <c r="N1431" s="67" t="s">
        <v>8</v>
      </c>
      <c r="O1431" s="68">
        <v>45377</v>
      </c>
      <c r="P1431" s="68">
        <v>45377</v>
      </c>
      <c r="Q1431" s="57">
        <v>289.06647366491353</v>
      </c>
      <c r="R1431" t="s">
        <v>3910</v>
      </c>
    </row>
    <row r="1432" spans="1:18">
      <c r="A1432">
        <v>2453</v>
      </c>
      <c r="B1432" t="s">
        <v>3992</v>
      </c>
      <c r="C1432" t="s">
        <v>0</v>
      </c>
      <c r="D1432" t="s">
        <v>3990</v>
      </c>
      <c r="E1432" t="s">
        <v>3991</v>
      </c>
      <c r="J1432">
        <v>1</v>
      </c>
      <c r="K1432" t="s">
        <v>313</v>
      </c>
      <c r="L1432" s="67">
        <v>0.03</v>
      </c>
      <c r="M1432" t="s">
        <v>4</v>
      </c>
      <c r="N1432" s="67" t="s">
        <v>8</v>
      </c>
      <c r="O1432" s="68">
        <v>45377</v>
      </c>
      <c r="P1432" s="68">
        <v>45377</v>
      </c>
      <c r="Q1432" s="57">
        <v>442.73199482787049</v>
      </c>
      <c r="R1432" t="s">
        <v>3910</v>
      </c>
    </row>
    <row r="1433" spans="1:18">
      <c r="A1433">
        <v>2454</v>
      </c>
      <c r="B1433" t="s">
        <v>3994</v>
      </c>
      <c r="C1433" t="s">
        <v>7</v>
      </c>
      <c r="D1433" t="s">
        <v>3993</v>
      </c>
      <c r="E1433" t="s">
        <v>1823</v>
      </c>
      <c r="I1433" t="s">
        <v>24</v>
      </c>
      <c r="J1433">
        <v>1</v>
      </c>
      <c r="K1433" t="s">
        <v>313</v>
      </c>
      <c r="L1433" s="67">
        <v>0.03</v>
      </c>
      <c r="M1433" t="s">
        <v>4</v>
      </c>
      <c r="N1433" s="67" t="s">
        <v>8</v>
      </c>
      <c r="O1433" s="68">
        <v>45377</v>
      </c>
      <c r="P1433" s="68">
        <v>45377</v>
      </c>
      <c r="Q1433" s="57">
        <v>289.06647366491353</v>
      </c>
      <c r="R1433" t="s">
        <v>3910</v>
      </c>
    </row>
    <row r="1434" spans="1:18">
      <c r="A1434">
        <v>2455</v>
      </c>
      <c r="B1434" t="s">
        <v>3996</v>
      </c>
      <c r="C1434" t="s">
        <v>7</v>
      </c>
      <c r="D1434" t="s">
        <v>3995</v>
      </c>
      <c r="E1434" t="s">
        <v>1823</v>
      </c>
      <c r="I1434" t="s">
        <v>3042</v>
      </c>
      <c r="J1434">
        <v>1</v>
      </c>
      <c r="K1434" t="s">
        <v>313</v>
      </c>
      <c r="L1434" s="67">
        <v>0.03</v>
      </c>
      <c r="M1434" t="s">
        <v>4</v>
      </c>
      <c r="N1434" s="67" t="s">
        <v>8</v>
      </c>
      <c r="O1434" s="68">
        <v>45377</v>
      </c>
      <c r="P1434" s="68">
        <v>45377</v>
      </c>
      <c r="Q1434" s="57">
        <v>590.30932643716062</v>
      </c>
      <c r="R1434" t="s">
        <v>3910</v>
      </c>
    </row>
    <row r="1435" spans="1:18">
      <c r="A1435">
        <v>2456</v>
      </c>
      <c r="B1435" t="s">
        <v>3999</v>
      </c>
      <c r="C1435" t="s">
        <v>7</v>
      </c>
      <c r="D1435" t="s">
        <v>3997</v>
      </c>
      <c r="E1435" t="s">
        <v>1823</v>
      </c>
      <c r="H1435" t="s">
        <v>135</v>
      </c>
      <c r="I1435" t="s">
        <v>3998</v>
      </c>
      <c r="J1435">
        <v>1</v>
      </c>
      <c r="K1435" t="s">
        <v>313</v>
      </c>
      <c r="L1435" s="67">
        <v>0.03</v>
      </c>
      <c r="M1435" t="s">
        <v>4</v>
      </c>
      <c r="N1435" s="67" t="s">
        <v>8</v>
      </c>
      <c r="O1435" s="68">
        <v>45377</v>
      </c>
      <c r="P1435" s="68">
        <v>45377</v>
      </c>
      <c r="Q1435" s="57">
        <v>297.90964831606635</v>
      </c>
      <c r="R1435" t="s">
        <v>3910</v>
      </c>
    </row>
    <row r="1436" spans="1:18">
      <c r="A1436">
        <v>2457</v>
      </c>
      <c r="B1436" t="s">
        <v>4001</v>
      </c>
      <c r="C1436" t="s">
        <v>0</v>
      </c>
      <c r="D1436" t="s">
        <v>3997</v>
      </c>
      <c r="E1436" t="s">
        <v>1823</v>
      </c>
      <c r="H1436" t="s">
        <v>135</v>
      </c>
      <c r="I1436" t="s">
        <v>4000</v>
      </c>
      <c r="J1436">
        <v>1</v>
      </c>
      <c r="K1436" t="s">
        <v>313</v>
      </c>
      <c r="L1436" s="67">
        <v>0.03</v>
      </c>
      <c r="M1436" t="s">
        <v>4</v>
      </c>
      <c r="N1436" s="67" t="s">
        <v>8</v>
      </c>
      <c r="O1436" s="68">
        <v>45377</v>
      </c>
      <c r="P1436" s="68">
        <v>45377</v>
      </c>
      <c r="Q1436" s="57">
        <v>297.90964831606635</v>
      </c>
      <c r="R1436" t="s">
        <v>3910</v>
      </c>
    </row>
    <row r="1437" spans="1:18">
      <c r="A1437">
        <v>2458</v>
      </c>
      <c r="B1437" t="s">
        <v>4003</v>
      </c>
      <c r="C1437" t="s">
        <v>0</v>
      </c>
      <c r="D1437" t="s">
        <v>4002</v>
      </c>
      <c r="J1437">
        <v>1</v>
      </c>
      <c r="K1437" t="s">
        <v>313</v>
      </c>
      <c r="L1437" s="67">
        <v>0.03</v>
      </c>
      <c r="M1437" t="s">
        <v>4</v>
      </c>
      <c r="N1437" s="67" t="s">
        <v>8</v>
      </c>
      <c r="O1437" s="68">
        <v>45377</v>
      </c>
      <c r="P1437" s="68">
        <v>45377</v>
      </c>
      <c r="Q1437" s="57">
        <v>506.2618129125533</v>
      </c>
      <c r="R1437" t="s">
        <v>3910</v>
      </c>
    </row>
    <row r="1438" spans="1:18">
      <c r="A1438">
        <v>2459</v>
      </c>
      <c r="B1438" t="s">
        <v>4005</v>
      </c>
      <c r="C1438" t="s">
        <v>7</v>
      </c>
      <c r="D1438" t="s">
        <v>4004</v>
      </c>
      <c r="J1438">
        <v>1</v>
      </c>
      <c r="K1438" t="s">
        <v>313</v>
      </c>
      <c r="L1438" s="67">
        <v>0.01</v>
      </c>
      <c r="M1438" t="s">
        <v>4</v>
      </c>
      <c r="N1438" s="67" t="s">
        <v>8</v>
      </c>
      <c r="O1438" s="68">
        <v>45377</v>
      </c>
      <c r="P1438" s="68">
        <v>45377</v>
      </c>
      <c r="Q1438" s="57">
        <v>7183.3016754985583</v>
      </c>
      <c r="R1438" t="s">
        <v>3112</v>
      </c>
    </row>
    <row r="1439" spans="1:18">
      <c r="A1439">
        <v>2460</v>
      </c>
      <c r="B1439" t="s">
        <v>4006</v>
      </c>
      <c r="C1439" t="s">
        <v>7</v>
      </c>
      <c r="D1439" t="s">
        <v>4004</v>
      </c>
      <c r="J1439">
        <v>1</v>
      </c>
      <c r="K1439" t="s">
        <v>313</v>
      </c>
      <c r="L1439" s="67">
        <v>0.01</v>
      </c>
      <c r="M1439" t="s">
        <v>4</v>
      </c>
      <c r="N1439" s="67" t="s">
        <v>8</v>
      </c>
      <c r="O1439" s="68">
        <v>45377</v>
      </c>
      <c r="P1439" s="68">
        <v>45377</v>
      </c>
      <c r="Q1439" s="57">
        <v>7183.3016754985583</v>
      </c>
      <c r="R1439" t="s">
        <v>3112</v>
      </c>
    </row>
    <row r="1440" spans="1:18">
      <c r="A1440">
        <v>2461</v>
      </c>
      <c r="B1440" t="s">
        <v>4007</v>
      </c>
      <c r="C1440" t="s">
        <v>7</v>
      </c>
      <c r="D1440" t="s">
        <v>4004</v>
      </c>
      <c r="J1440">
        <v>1</v>
      </c>
      <c r="K1440" t="s">
        <v>313</v>
      </c>
      <c r="L1440" s="67">
        <v>0.01</v>
      </c>
      <c r="M1440" t="s">
        <v>4</v>
      </c>
      <c r="N1440" s="67" t="s">
        <v>8</v>
      </c>
      <c r="O1440" s="68">
        <v>45377</v>
      </c>
      <c r="P1440" s="68">
        <v>45377</v>
      </c>
      <c r="Q1440" s="57">
        <v>7183.3016754985583</v>
      </c>
      <c r="R1440" t="s">
        <v>3112</v>
      </c>
    </row>
    <row r="1441" spans="1:18">
      <c r="A1441">
        <v>2462</v>
      </c>
      <c r="B1441" t="s">
        <v>4009</v>
      </c>
      <c r="C1441" t="s">
        <v>0</v>
      </c>
      <c r="D1441" t="s">
        <v>4008</v>
      </c>
      <c r="I1441" t="s">
        <v>715</v>
      </c>
      <c r="J1441">
        <v>1</v>
      </c>
      <c r="K1441" t="s">
        <v>313</v>
      </c>
      <c r="L1441" s="67">
        <v>0.03</v>
      </c>
      <c r="M1441" t="s">
        <v>4</v>
      </c>
      <c r="N1441" s="67" t="s">
        <v>8</v>
      </c>
      <c r="O1441" s="68">
        <v>45385</v>
      </c>
      <c r="P1441" s="68">
        <v>45385</v>
      </c>
      <c r="Q1441" s="57">
        <v>709.24823254863497</v>
      </c>
      <c r="R1441" t="s">
        <v>3112</v>
      </c>
    </row>
    <row r="1442" spans="1:18">
      <c r="A1442">
        <v>2463</v>
      </c>
      <c r="B1442" t="s">
        <v>4010</v>
      </c>
      <c r="C1442" t="s">
        <v>0</v>
      </c>
      <c r="D1442" t="s">
        <v>4008</v>
      </c>
      <c r="I1442" t="s">
        <v>715</v>
      </c>
      <c r="J1442">
        <v>1</v>
      </c>
      <c r="K1442" t="s">
        <v>313</v>
      </c>
      <c r="L1442" s="67">
        <v>0.03</v>
      </c>
      <c r="M1442" t="s">
        <v>4</v>
      </c>
      <c r="N1442" s="67" t="s">
        <v>8</v>
      </c>
      <c r="O1442" s="68">
        <v>45385</v>
      </c>
      <c r="P1442" s="68">
        <v>45385</v>
      </c>
      <c r="Q1442" s="57">
        <v>709.24823254863497</v>
      </c>
      <c r="R1442" t="s">
        <v>3112</v>
      </c>
    </row>
    <row r="1443" spans="1:18">
      <c r="A1443">
        <v>2464</v>
      </c>
      <c r="B1443" t="s">
        <v>4011</v>
      </c>
      <c r="C1443" t="s">
        <v>0</v>
      </c>
      <c r="D1443" t="s">
        <v>2629</v>
      </c>
      <c r="I1443" t="s">
        <v>715</v>
      </c>
      <c r="J1443">
        <v>1</v>
      </c>
      <c r="K1443" t="s">
        <v>313</v>
      </c>
      <c r="L1443" s="67">
        <v>0.03</v>
      </c>
      <c r="M1443" t="s">
        <v>4</v>
      </c>
      <c r="N1443" s="67" t="s">
        <v>8</v>
      </c>
      <c r="O1443" s="68">
        <v>45385</v>
      </c>
      <c r="P1443" s="68">
        <v>45385</v>
      </c>
      <c r="Q1443" s="57">
        <v>4162.5572207747546</v>
      </c>
      <c r="R1443" t="s">
        <v>3112</v>
      </c>
    </row>
    <row r="1444" spans="1:18">
      <c r="A1444">
        <v>2465</v>
      </c>
      <c r="B1444" t="s">
        <v>4013</v>
      </c>
      <c r="C1444" t="s">
        <v>0</v>
      </c>
      <c r="D1444" t="s">
        <v>4012</v>
      </c>
      <c r="I1444" t="s">
        <v>867</v>
      </c>
      <c r="J1444">
        <v>1</v>
      </c>
      <c r="K1444" t="s">
        <v>313</v>
      </c>
      <c r="L1444" s="67">
        <v>0.03</v>
      </c>
      <c r="M1444" t="s">
        <v>4</v>
      </c>
      <c r="N1444" s="67" t="s">
        <v>8</v>
      </c>
      <c r="O1444" s="68">
        <v>45385</v>
      </c>
      <c r="P1444" s="68">
        <v>45385</v>
      </c>
      <c r="Q1444" s="57">
        <v>1122.976368202005</v>
      </c>
      <c r="R1444" t="s">
        <v>3112</v>
      </c>
    </row>
    <row r="1445" spans="1:18">
      <c r="A1445">
        <v>2466</v>
      </c>
      <c r="B1445" t="s">
        <v>4014</v>
      </c>
      <c r="C1445" t="s">
        <v>0</v>
      </c>
      <c r="D1445" t="s">
        <v>4012</v>
      </c>
      <c r="I1445" t="s">
        <v>867</v>
      </c>
      <c r="J1445">
        <v>2</v>
      </c>
      <c r="K1445" t="s">
        <v>313</v>
      </c>
      <c r="L1445" s="67">
        <v>-1.8047641807512171E-2</v>
      </c>
      <c r="M1445" t="s">
        <v>4</v>
      </c>
      <c r="N1445" s="67" t="s">
        <v>8</v>
      </c>
      <c r="O1445" s="68">
        <v>45385</v>
      </c>
      <c r="P1445" s="68">
        <v>45385</v>
      </c>
      <c r="Q1445" s="57">
        <v>1241.1844069601109</v>
      </c>
      <c r="R1445" t="s">
        <v>3112</v>
      </c>
    </row>
    <row r="1446" spans="1:18">
      <c r="A1446">
        <v>2467</v>
      </c>
      <c r="B1446" t="s">
        <v>4015</v>
      </c>
      <c r="C1446" t="s">
        <v>0</v>
      </c>
      <c r="D1446" t="s">
        <v>4012</v>
      </c>
      <c r="I1446" t="s">
        <v>867</v>
      </c>
      <c r="J1446">
        <v>2</v>
      </c>
      <c r="K1446" t="s">
        <v>313</v>
      </c>
      <c r="L1446" s="67">
        <v>1.1636198139813541E-2</v>
      </c>
      <c r="M1446" t="s">
        <v>4</v>
      </c>
      <c r="N1446" s="67" t="s">
        <v>8</v>
      </c>
      <c r="O1446" s="68">
        <v>45385</v>
      </c>
      <c r="P1446" s="68">
        <v>45385</v>
      </c>
      <c r="Q1446" s="57">
        <v>1241.1844069601109</v>
      </c>
      <c r="R1446" t="s">
        <v>3112</v>
      </c>
    </row>
    <row r="1447" spans="1:18">
      <c r="A1447">
        <v>2468</v>
      </c>
      <c r="B1447" t="s">
        <v>4017</v>
      </c>
      <c r="C1447" t="s">
        <v>0</v>
      </c>
      <c r="D1447" t="s">
        <v>4016</v>
      </c>
      <c r="I1447" t="s">
        <v>3072</v>
      </c>
      <c r="J1447">
        <v>1</v>
      </c>
      <c r="K1447" t="s">
        <v>313</v>
      </c>
      <c r="L1447" s="67">
        <v>0</v>
      </c>
      <c r="M1447" t="s">
        <v>4</v>
      </c>
      <c r="N1447" s="67" t="s">
        <v>8</v>
      </c>
      <c r="O1447" s="68">
        <v>45385</v>
      </c>
      <c r="P1447" s="68">
        <v>45385</v>
      </c>
      <c r="Q1447" s="57">
        <v>1004.7975348897299</v>
      </c>
      <c r="R1447" t="s">
        <v>3112</v>
      </c>
    </row>
    <row r="1448" spans="1:18">
      <c r="A1448">
        <v>2469</v>
      </c>
      <c r="B1448" t="s">
        <v>4020</v>
      </c>
      <c r="C1448" t="s">
        <v>7</v>
      </c>
      <c r="D1448" t="s">
        <v>4019</v>
      </c>
      <c r="I1448" t="s">
        <v>4018</v>
      </c>
      <c r="J1448">
        <v>1</v>
      </c>
      <c r="K1448" t="s">
        <v>313</v>
      </c>
      <c r="L1448" s="67">
        <v>0</v>
      </c>
      <c r="M1448" t="s">
        <v>4</v>
      </c>
      <c r="N1448" s="67" t="s">
        <v>8</v>
      </c>
      <c r="O1448" s="68">
        <v>45386</v>
      </c>
      <c r="P1448" s="68">
        <v>45386</v>
      </c>
      <c r="Q1448" s="57">
        <v>616.2543863423931</v>
      </c>
      <c r="R1448" t="s">
        <v>3112</v>
      </c>
    </row>
    <row r="1449" spans="1:18">
      <c r="A1449">
        <v>2470</v>
      </c>
      <c r="B1449" t="s">
        <v>4023</v>
      </c>
      <c r="C1449" t="s">
        <v>7</v>
      </c>
      <c r="D1449" t="s">
        <v>4021</v>
      </c>
      <c r="E1449" t="s">
        <v>4022</v>
      </c>
      <c r="I1449" t="s">
        <v>867</v>
      </c>
      <c r="J1449">
        <v>1</v>
      </c>
      <c r="K1449" t="s">
        <v>313</v>
      </c>
      <c r="L1449" s="67">
        <v>0</v>
      </c>
      <c r="M1449" t="s">
        <v>4</v>
      </c>
      <c r="N1449" s="67" t="s">
        <v>8</v>
      </c>
      <c r="O1449" s="68">
        <v>45386</v>
      </c>
      <c r="P1449" s="68">
        <v>45386</v>
      </c>
      <c r="Q1449" s="57">
        <v>118.20803875810579</v>
      </c>
      <c r="R1449" t="s">
        <v>3112</v>
      </c>
    </row>
    <row r="1450" spans="1:18">
      <c r="A1450">
        <v>2471</v>
      </c>
      <c r="B1450" t="s">
        <v>4024</v>
      </c>
      <c r="C1450" t="s">
        <v>7</v>
      </c>
      <c r="D1450" t="s">
        <v>4021</v>
      </c>
      <c r="E1450" t="s">
        <v>4022</v>
      </c>
      <c r="I1450" t="s">
        <v>867</v>
      </c>
      <c r="J1450">
        <v>102</v>
      </c>
      <c r="K1450" t="s">
        <v>313</v>
      </c>
      <c r="L1450" s="67">
        <v>0</v>
      </c>
      <c r="M1450" t="s">
        <v>4</v>
      </c>
      <c r="N1450" s="67" t="s">
        <v>8</v>
      </c>
      <c r="O1450" s="68">
        <v>45386</v>
      </c>
      <c r="P1450" s="68">
        <v>45386</v>
      </c>
      <c r="Q1450" s="57">
        <v>11998.11593394774</v>
      </c>
      <c r="R1450" t="s">
        <v>3112</v>
      </c>
    </row>
    <row r="1451" spans="1:18">
      <c r="A1451">
        <v>2472</v>
      </c>
      <c r="B1451" t="s">
        <v>4028</v>
      </c>
      <c r="C1451" t="s">
        <v>7</v>
      </c>
      <c r="D1451" t="s">
        <v>4025</v>
      </c>
      <c r="E1451" t="s">
        <v>4026</v>
      </c>
      <c r="I1451" t="s">
        <v>4027</v>
      </c>
      <c r="J1451">
        <v>1</v>
      </c>
      <c r="K1451" t="s">
        <v>313</v>
      </c>
      <c r="L1451" s="67">
        <v>0</v>
      </c>
      <c r="M1451" t="s">
        <v>4</v>
      </c>
      <c r="N1451" s="67" t="s">
        <v>8</v>
      </c>
      <c r="O1451" s="68">
        <v>45386</v>
      </c>
      <c r="P1451" s="68">
        <v>45386</v>
      </c>
      <c r="Q1451" s="57">
        <v>502.39876744486497</v>
      </c>
      <c r="R1451" t="s">
        <v>3112</v>
      </c>
    </row>
    <row r="1452" spans="1:18">
      <c r="A1452">
        <v>2473</v>
      </c>
      <c r="B1452" t="s">
        <v>4031</v>
      </c>
      <c r="C1452" t="s">
        <v>7</v>
      </c>
      <c r="D1452" t="s">
        <v>4029</v>
      </c>
      <c r="E1452" t="s">
        <v>4030</v>
      </c>
      <c r="I1452" t="s">
        <v>1915</v>
      </c>
      <c r="J1452">
        <v>5</v>
      </c>
      <c r="K1452" t="s">
        <v>313</v>
      </c>
      <c r="L1452" s="67">
        <v>0</v>
      </c>
      <c r="M1452" t="s">
        <v>4</v>
      </c>
      <c r="N1452" s="67" t="s">
        <v>8</v>
      </c>
      <c r="O1452" s="68">
        <v>45386</v>
      </c>
      <c r="P1452" s="68">
        <v>45386</v>
      </c>
      <c r="Q1452" s="57">
        <v>2979.0964831606639</v>
      </c>
      <c r="R1452" t="s">
        <v>3112</v>
      </c>
    </row>
    <row r="1453" spans="1:18">
      <c r="A1453">
        <v>2474</v>
      </c>
      <c r="B1453" t="s">
        <v>4033</v>
      </c>
      <c r="C1453" t="s">
        <v>7</v>
      </c>
      <c r="D1453" t="s">
        <v>4032</v>
      </c>
      <c r="I1453" t="s">
        <v>24</v>
      </c>
      <c r="J1453">
        <v>1</v>
      </c>
      <c r="K1453" t="s">
        <v>313</v>
      </c>
      <c r="L1453" s="67">
        <v>0.03</v>
      </c>
      <c r="M1453" t="s">
        <v>4</v>
      </c>
      <c r="N1453" s="67" t="s">
        <v>8</v>
      </c>
      <c r="O1453" s="68">
        <v>45387</v>
      </c>
      <c r="P1453" s="68">
        <v>45387</v>
      </c>
      <c r="Q1453" s="57">
        <v>3700.0508629108936</v>
      </c>
      <c r="R1453" t="s">
        <v>3112</v>
      </c>
    </row>
    <row r="1454" spans="1:18">
      <c r="A1454">
        <v>2475</v>
      </c>
      <c r="B1454" t="s">
        <v>4037</v>
      </c>
      <c r="C1454" t="s">
        <v>0</v>
      </c>
      <c r="D1454" t="s">
        <v>4034</v>
      </c>
      <c r="E1454" t="s">
        <v>4036</v>
      </c>
      <c r="H1454" t="s">
        <v>4035</v>
      </c>
      <c r="I1454" t="s">
        <v>24</v>
      </c>
      <c r="J1454">
        <v>2</v>
      </c>
      <c r="K1454" t="s">
        <v>313</v>
      </c>
      <c r="L1454" s="67">
        <v>0</v>
      </c>
      <c r="M1454" t="s">
        <v>4</v>
      </c>
      <c r="N1454" s="67" t="s">
        <v>8</v>
      </c>
      <c r="O1454" s="68">
        <v>45390</v>
      </c>
      <c r="P1454" s="68">
        <v>45390</v>
      </c>
      <c r="Q1454" s="57">
        <v>1560.9589577905335</v>
      </c>
      <c r="R1454" t="s">
        <v>3112</v>
      </c>
    </row>
    <row r="1455" spans="1:18">
      <c r="A1455">
        <v>2476</v>
      </c>
      <c r="B1455" t="s">
        <v>4040</v>
      </c>
      <c r="C1455" t="s">
        <v>0</v>
      </c>
      <c r="D1455" t="s">
        <v>927</v>
      </c>
      <c r="E1455" t="s">
        <v>4039</v>
      </c>
      <c r="I1455" t="s">
        <v>4038</v>
      </c>
      <c r="J1455">
        <v>1</v>
      </c>
      <c r="K1455" t="s">
        <v>313</v>
      </c>
      <c r="L1455" s="67">
        <v>0</v>
      </c>
      <c r="M1455" t="s">
        <v>4</v>
      </c>
      <c r="N1455" s="67" t="s">
        <v>8</v>
      </c>
      <c r="O1455" s="68">
        <v>45390</v>
      </c>
      <c r="P1455" s="68">
        <v>45390</v>
      </c>
      <c r="Q1455" s="57">
        <v>472.83215503242315</v>
      </c>
      <c r="R1455" t="s">
        <v>3112</v>
      </c>
    </row>
    <row r="1456" spans="1:18">
      <c r="A1456">
        <v>2477</v>
      </c>
      <c r="B1456" t="s">
        <v>4042</v>
      </c>
      <c r="C1456" t="s">
        <v>0</v>
      </c>
      <c r="D1456" t="s">
        <v>4041</v>
      </c>
      <c r="I1456" t="s">
        <v>1434</v>
      </c>
      <c r="J1456">
        <v>1</v>
      </c>
      <c r="K1456" t="s">
        <v>313</v>
      </c>
      <c r="L1456" s="67">
        <v>0.03</v>
      </c>
      <c r="M1456" t="s">
        <v>4</v>
      </c>
      <c r="N1456" s="67" t="s">
        <v>8</v>
      </c>
      <c r="O1456" s="68">
        <v>45391</v>
      </c>
      <c r="P1456" s="68">
        <v>45391</v>
      </c>
      <c r="Q1456" s="57">
        <v>635.9462420628098</v>
      </c>
      <c r="R1456" t="s">
        <v>3112</v>
      </c>
    </row>
    <row r="1457" spans="1:18">
      <c r="A1457">
        <v>2478</v>
      </c>
      <c r="B1457" t="s">
        <v>4044</v>
      </c>
      <c r="C1457" t="s">
        <v>0</v>
      </c>
      <c r="D1457" t="s">
        <v>4043</v>
      </c>
      <c r="I1457" t="s">
        <v>135</v>
      </c>
      <c r="J1457">
        <v>1</v>
      </c>
      <c r="K1457" t="s">
        <v>313</v>
      </c>
      <c r="L1457" s="67">
        <v>0.05</v>
      </c>
      <c r="M1457" t="s">
        <v>4</v>
      </c>
      <c r="N1457" s="67" t="s">
        <v>8</v>
      </c>
      <c r="O1457" s="68">
        <v>45394</v>
      </c>
      <c r="P1457" s="68">
        <v>45394</v>
      </c>
      <c r="Q1457" s="57">
        <v>893.72894494819923</v>
      </c>
      <c r="R1457" t="s">
        <v>3112</v>
      </c>
    </row>
    <row r="1458" spans="1:18">
      <c r="A1458">
        <v>2479</v>
      </c>
      <c r="B1458" t="s">
        <v>4046</v>
      </c>
      <c r="C1458" t="s">
        <v>0</v>
      </c>
      <c r="D1458" t="s">
        <v>4045</v>
      </c>
      <c r="I1458" t="s">
        <v>135</v>
      </c>
      <c r="J1458">
        <v>1</v>
      </c>
      <c r="K1458" t="s">
        <v>313</v>
      </c>
      <c r="L1458" s="67">
        <v>0.05</v>
      </c>
      <c r="M1458" t="s">
        <v>4</v>
      </c>
      <c r="N1458" s="67" t="s">
        <v>8</v>
      </c>
      <c r="O1458" s="68">
        <v>45394</v>
      </c>
      <c r="P1458" s="68">
        <v>45394</v>
      </c>
      <c r="Q1458" s="57">
        <v>1489.5482415803319</v>
      </c>
      <c r="R1458" t="s">
        <v>3112</v>
      </c>
    </row>
    <row r="1459" spans="1:18">
      <c r="A1459">
        <v>2480</v>
      </c>
      <c r="B1459" t="s">
        <v>4047</v>
      </c>
      <c r="C1459" t="s">
        <v>0</v>
      </c>
      <c r="D1459" t="s">
        <v>2629</v>
      </c>
      <c r="I1459" t="s">
        <v>24</v>
      </c>
      <c r="J1459">
        <v>4</v>
      </c>
      <c r="K1459" t="s">
        <v>313</v>
      </c>
      <c r="L1459" s="67">
        <v>0</v>
      </c>
      <c r="M1459" t="s">
        <v>4</v>
      </c>
      <c r="N1459" s="67" t="s">
        <v>8</v>
      </c>
      <c r="O1459" s="68">
        <v>45394</v>
      </c>
      <c r="P1459" s="68">
        <v>45394</v>
      </c>
      <c r="Q1459" s="57">
        <v>4335.9971049737042</v>
      </c>
      <c r="R1459" t="s">
        <v>3112</v>
      </c>
    </row>
    <row r="1460" spans="1:18">
      <c r="A1460">
        <v>2481</v>
      </c>
      <c r="B1460" t="s">
        <v>4049</v>
      </c>
      <c r="C1460" t="s">
        <v>0</v>
      </c>
      <c r="D1460" t="s">
        <v>4048</v>
      </c>
      <c r="I1460" t="s">
        <v>1046</v>
      </c>
      <c r="J1460">
        <v>1</v>
      </c>
      <c r="K1460" t="s">
        <v>313</v>
      </c>
      <c r="L1460" s="67">
        <v>0.05</v>
      </c>
      <c r="M1460" t="s">
        <v>4</v>
      </c>
      <c r="N1460" s="67" t="s">
        <v>8</v>
      </c>
      <c r="O1460" s="68">
        <v>45394</v>
      </c>
      <c r="P1460" s="68">
        <v>45394</v>
      </c>
      <c r="Q1460" s="57">
        <v>295.52009689526454</v>
      </c>
      <c r="R1460" t="s">
        <v>3112</v>
      </c>
    </row>
    <row r="1461" spans="1:18">
      <c r="A1461">
        <v>2482</v>
      </c>
      <c r="B1461" t="s">
        <v>4050</v>
      </c>
      <c r="C1461" t="s">
        <v>0</v>
      </c>
      <c r="D1461" t="s">
        <v>4048</v>
      </c>
      <c r="I1461" t="s">
        <v>1046</v>
      </c>
      <c r="J1461">
        <v>1</v>
      </c>
      <c r="K1461" t="s">
        <v>313</v>
      </c>
      <c r="L1461" s="67">
        <v>0.05</v>
      </c>
      <c r="M1461" t="s">
        <v>4</v>
      </c>
      <c r="N1461" s="67" t="s">
        <v>8</v>
      </c>
      <c r="O1461" s="68">
        <v>45394</v>
      </c>
      <c r="P1461" s="68">
        <v>45394</v>
      </c>
      <c r="Q1461" s="57">
        <v>295.52009689526454</v>
      </c>
      <c r="R1461" t="s">
        <v>3112</v>
      </c>
    </row>
    <row r="1462" spans="1:18">
      <c r="A1462">
        <v>2483</v>
      </c>
      <c r="B1462" t="s">
        <v>4052</v>
      </c>
      <c r="C1462" t="s">
        <v>0</v>
      </c>
      <c r="D1462" t="s">
        <v>4051</v>
      </c>
      <c r="I1462" t="s">
        <v>2503</v>
      </c>
      <c r="J1462">
        <v>1</v>
      </c>
      <c r="K1462" t="s">
        <v>313</v>
      </c>
      <c r="L1462" s="67">
        <v>0.03</v>
      </c>
      <c r="M1462" t="s">
        <v>4</v>
      </c>
      <c r="N1462" s="67" t="s">
        <v>8</v>
      </c>
      <c r="O1462" s="68">
        <v>45397</v>
      </c>
      <c r="P1462" s="68">
        <v>45397</v>
      </c>
      <c r="Q1462" s="57">
        <v>376.7990755836488</v>
      </c>
      <c r="R1462" t="s">
        <v>3112</v>
      </c>
    </row>
    <row r="1463" spans="1:18">
      <c r="A1463">
        <v>2484</v>
      </c>
      <c r="B1463" t="s">
        <v>4053</v>
      </c>
      <c r="C1463" t="s">
        <v>0</v>
      </c>
      <c r="D1463" t="s">
        <v>2629</v>
      </c>
      <c r="I1463" t="s">
        <v>24</v>
      </c>
      <c r="J1463">
        <v>1</v>
      </c>
      <c r="K1463" t="s">
        <v>313</v>
      </c>
      <c r="L1463" s="67">
        <v>0</v>
      </c>
      <c r="M1463" t="s">
        <v>4</v>
      </c>
      <c r="N1463" s="67" t="s">
        <v>8</v>
      </c>
      <c r="O1463" s="68">
        <v>45397</v>
      </c>
      <c r="P1463" s="68">
        <v>45397</v>
      </c>
      <c r="Q1463" s="57">
        <v>4335.9971049737042</v>
      </c>
      <c r="R1463" t="s">
        <v>3112</v>
      </c>
    </row>
    <row r="1464" spans="1:18">
      <c r="A1464">
        <v>2485</v>
      </c>
      <c r="B1464" t="s">
        <v>4055</v>
      </c>
      <c r="C1464" t="s">
        <v>0</v>
      </c>
      <c r="D1464" t="s">
        <v>4054</v>
      </c>
      <c r="I1464" t="s">
        <v>2503</v>
      </c>
      <c r="J1464">
        <v>1</v>
      </c>
      <c r="K1464" t="s">
        <v>313</v>
      </c>
      <c r="L1464" s="67">
        <v>0.03</v>
      </c>
      <c r="M1464" t="s">
        <v>4</v>
      </c>
      <c r="N1464" s="67" t="s">
        <v>8</v>
      </c>
      <c r="O1464" s="68">
        <v>45397</v>
      </c>
      <c r="P1464" s="68">
        <v>45397</v>
      </c>
      <c r="Q1464" s="57">
        <v>188.3995377918244</v>
      </c>
      <c r="R1464" t="s">
        <v>3112</v>
      </c>
    </row>
    <row r="1465" spans="1:18">
      <c r="A1465">
        <v>2486</v>
      </c>
      <c r="B1465" t="s">
        <v>4057</v>
      </c>
      <c r="C1465" t="s">
        <v>0</v>
      </c>
      <c r="D1465" t="s">
        <v>4056</v>
      </c>
      <c r="I1465" t="s">
        <v>1434</v>
      </c>
      <c r="J1465">
        <v>1</v>
      </c>
      <c r="K1465" t="s">
        <v>313</v>
      </c>
      <c r="L1465" s="67">
        <v>0.03</v>
      </c>
      <c r="M1465" t="s">
        <v>4</v>
      </c>
      <c r="N1465" s="67" t="s">
        <v>8</v>
      </c>
      <c r="O1465" s="68">
        <v>45397</v>
      </c>
      <c r="P1465" s="68">
        <v>45397</v>
      </c>
      <c r="Q1465" s="57">
        <v>712.01636671147128</v>
      </c>
      <c r="R1465" t="s">
        <v>3112</v>
      </c>
    </row>
    <row r="1466" spans="1:18">
      <c r="A1466">
        <v>2487</v>
      </c>
      <c r="B1466" t="s">
        <v>4059</v>
      </c>
      <c r="C1466" t="s">
        <v>0</v>
      </c>
      <c r="D1466" t="s">
        <v>4058</v>
      </c>
      <c r="H1466" t="s">
        <v>3748</v>
      </c>
      <c r="I1466" t="s">
        <v>24</v>
      </c>
      <c r="J1466">
        <v>2</v>
      </c>
      <c r="K1466" t="s">
        <v>313</v>
      </c>
      <c r="L1466" s="67">
        <v>0</v>
      </c>
      <c r="M1466" t="s">
        <v>4</v>
      </c>
      <c r="N1466" s="67" t="s">
        <v>8</v>
      </c>
      <c r="O1466" s="68">
        <v>45398</v>
      </c>
      <c r="P1466" s="68">
        <v>45398</v>
      </c>
      <c r="Q1466" s="57">
        <v>2485.9716735182569</v>
      </c>
      <c r="R1466" t="s">
        <v>3112</v>
      </c>
    </row>
    <row r="1467" spans="1:18">
      <c r="A1467">
        <v>2488</v>
      </c>
      <c r="B1467" t="s">
        <v>4060</v>
      </c>
      <c r="C1467" t="s">
        <v>0</v>
      </c>
      <c r="D1467" t="s">
        <v>4058</v>
      </c>
      <c r="H1467" t="s">
        <v>3748</v>
      </c>
      <c r="I1467" t="s">
        <v>24</v>
      </c>
      <c r="J1467">
        <v>2</v>
      </c>
      <c r="K1467" t="s">
        <v>313</v>
      </c>
      <c r="L1467" s="67">
        <v>0</v>
      </c>
      <c r="M1467" t="s">
        <v>4</v>
      </c>
      <c r="N1467" s="67" t="s">
        <v>8</v>
      </c>
      <c r="O1467" s="68">
        <v>45398</v>
      </c>
      <c r="P1467" s="68">
        <v>45398</v>
      </c>
      <c r="Q1467" s="57">
        <v>2485.9716735182569</v>
      </c>
      <c r="R1467" t="s">
        <v>3112</v>
      </c>
    </row>
    <row r="1468" spans="1:18">
      <c r="A1468">
        <v>2489</v>
      </c>
      <c r="B1468" t="s">
        <v>4062</v>
      </c>
      <c r="C1468" t="s">
        <v>0</v>
      </c>
      <c r="D1468" t="s">
        <v>4061</v>
      </c>
      <c r="H1468" t="s">
        <v>3748</v>
      </c>
      <c r="I1468" t="s">
        <v>24</v>
      </c>
      <c r="J1468">
        <v>2</v>
      </c>
      <c r="K1468" t="s">
        <v>313</v>
      </c>
      <c r="L1468" s="67">
        <v>0.05</v>
      </c>
      <c r="M1468" t="s">
        <v>4</v>
      </c>
      <c r="N1468" s="67" t="s">
        <v>8</v>
      </c>
      <c r="O1468" s="68">
        <v>45398</v>
      </c>
      <c r="P1468" s="68">
        <v>45398</v>
      </c>
      <c r="Q1468" s="57">
        <v>2023.4653156543948</v>
      </c>
      <c r="R1468" t="s">
        <v>3112</v>
      </c>
    </row>
    <row r="1469" spans="1:18">
      <c r="A1469">
        <v>2490</v>
      </c>
      <c r="B1469" t="s">
        <v>4064</v>
      </c>
      <c r="C1469" t="s">
        <v>0</v>
      </c>
      <c r="D1469" t="s">
        <v>4063</v>
      </c>
      <c r="H1469" t="s">
        <v>3748</v>
      </c>
      <c r="I1469" t="s">
        <v>24</v>
      </c>
      <c r="J1469">
        <v>4</v>
      </c>
      <c r="K1469" t="s">
        <v>313</v>
      </c>
      <c r="M1469" t="s">
        <v>4</v>
      </c>
      <c r="N1469" s="67" t="s">
        <v>8</v>
      </c>
      <c r="O1469" s="68">
        <v>45398</v>
      </c>
      <c r="P1469" s="68">
        <v>45398</v>
      </c>
      <c r="Q1469" s="57">
        <v>4509.436989172651</v>
      </c>
      <c r="R1469" t="s">
        <v>3112</v>
      </c>
    </row>
    <row r="1470" spans="1:18">
      <c r="A1470">
        <v>2491</v>
      </c>
      <c r="B1470" t="s">
        <v>4067</v>
      </c>
      <c r="C1470" t="s">
        <v>0</v>
      </c>
      <c r="D1470" t="s">
        <v>4066</v>
      </c>
      <c r="H1470" t="s">
        <v>4065</v>
      </c>
      <c r="I1470" t="s">
        <v>4065</v>
      </c>
      <c r="J1470">
        <v>1</v>
      </c>
      <c r="K1470" t="s">
        <v>313</v>
      </c>
      <c r="L1470" s="67">
        <v>0.03</v>
      </c>
      <c r="M1470" t="s">
        <v>4</v>
      </c>
      <c r="N1470" s="67" t="s">
        <v>8</v>
      </c>
      <c r="O1470" s="68">
        <v>45398</v>
      </c>
      <c r="P1470" s="68">
        <v>45398</v>
      </c>
      <c r="Q1470" s="57">
        <v>1638.503065738365</v>
      </c>
      <c r="R1470" t="s">
        <v>3112</v>
      </c>
    </row>
    <row r="1471" spans="1:18">
      <c r="A1471">
        <v>2492</v>
      </c>
      <c r="B1471" t="s">
        <v>4070</v>
      </c>
      <c r="C1471" t="s">
        <v>7</v>
      </c>
      <c r="D1471" t="s">
        <v>4068</v>
      </c>
      <c r="H1471" t="s">
        <v>4069</v>
      </c>
      <c r="I1471" t="s">
        <v>24</v>
      </c>
      <c r="J1471">
        <v>1</v>
      </c>
      <c r="K1471" t="s">
        <v>313</v>
      </c>
      <c r="L1471" s="67">
        <v>0.03</v>
      </c>
      <c r="M1471" t="s">
        <v>4</v>
      </c>
      <c r="N1471" s="67" t="s">
        <v>8</v>
      </c>
      <c r="O1471" s="68">
        <v>45398</v>
      </c>
      <c r="P1471" s="68">
        <v>45398</v>
      </c>
      <c r="Q1471" s="57">
        <v>1503.1456630575503</v>
      </c>
      <c r="R1471" t="s">
        <v>3112</v>
      </c>
    </row>
    <row r="1472" spans="1:18">
      <c r="A1472">
        <v>2493</v>
      </c>
      <c r="B1472" t="s">
        <v>4071</v>
      </c>
      <c r="C1472" t="s">
        <v>7</v>
      </c>
      <c r="D1472" t="s">
        <v>4068</v>
      </c>
      <c r="H1472" t="s">
        <v>4069</v>
      </c>
      <c r="I1472" t="s">
        <v>24</v>
      </c>
      <c r="J1472">
        <v>1</v>
      </c>
      <c r="K1472" t="s">
        <v>313</v>
      </c>
      <c r="L1472" s="67">
        <v>0.05</v>
      </c>
      <c r="M1472" t="s">
        <v>4</v>
      </c>
      <c r="N1472" s="67" t="s">
        <v>8</v>
      </c>
      <c r="O1472" s="68">
        <v>45398</v>
      </c>
      <c r="P1472" s="68">
        <v>45398</v>
      </c>
      <c r="Q1472" s="57">
        <v>1676.5855472564988</v>
      </c>
      <c r="R1472" t="s">
        <v>3112</v>
      </c>
    </row>
    <row r="1473" spans="1:18">
      <c r="A1473">
        <v>2494</v>
      </c>
      <c r="B1473" t="s">
        <v>4073</v>
      </c>
      <c r="C1473" t="s">
        <v>7</v>
      </c>
      <c r="D1473" t="s">
        <v>4004</v>
      </c>
      <c r="H1473" t="s">
        <v>4072</v>
      </c>
      <c r="I1473" t="s">
        <v>4072</v>
      </c>
      <c r="J1473">
        <v>1</v>
      </c>
      <c r="K1473" t="s">
        <v>313</v>
      </c>
      <c r="L1473" s="67">
        <v>0</v>
      </c>
      <c r="M1473" t="s">
        <v>4</v>
      </c>
      <c r="N1473" s="67" t="s">
        <v>8</v>
      </c>
      <c r="O1473" s="68">
        <v>45398</v>
      </c>
      <c r="P1473" s="68">
        <v>45398</v>
      </c>
      <c r="Q1473" s="57">
        <v>7001.4942726628005</v>
      </c>
      <c r="R1473" t="s">
        <v>3112</v>
      </c>
    </row>
    <row r="1474" spans="1:18">
      <c r="A1474">
        <v>2495</v>
      </c>
      <c r="B1474" t="s">
        <v>4074</v>
      </c>
      <c r="C1474" t="s">
        <v>7</v>
      </c>
      <c r="D1474" t="s">
        <v>4004</v>
      </c>
      <c r="H1474" t="s">
        <v>4072</v>
      </c>
      <c r="I1474" t="s">
        <v>4072</v>
      </c>
      <c r="J1474">
        <v>1</v>
      </c>
      <c r="K1474" t="s">
        <v>313</v>
      </c>
      <c r="L1474" s="67">
        <v>0</v>
      </c>
      <c r="M1474" t="s">
        <v>4</v>
      </c>
      <c r="N1474" s="67" t="s">
        <v>8</v>
      </c>
      <c r="O1474" s="68">
        <v>45398</v>
      </c>
      <c r="P1474" s="68">
        <v>45398</v>
      </c>
      <c r="Q1474" s="57">
        <v>7001.4942726628005</v>
      </c>
      <c r="R1474" t="s">
        <v>3112</v>
      </c>
    </row>
    <row r="1475" spans="1:18">
      <c r="A1475">
        <v>2496</v>
      </c>
      <c r="B1475" t="s">
        <v>4076</v>
      </c>
      <c r="C1475" t="s">
        <v>7</v>
      </c>
      <c r="D1475" t="s">
        <v>4075</v>
      </c>
      <c r="I1475" t="s">
        <v>24</v>
      </c>
      <c r="J1475">
        <v>1</v>
      </c>
      <c r="K1475" t="s">
        <v>313</v>
      </c>
      <c r="L1475" s="67">
        <v>0.03</v>
      </c>
      <c r="M1475" t="s">
        <v>4</v>
      </c>
      <c r="N1475" s="67" t="s">
        <v>8</v>
      </c>
      <c r="O1475" s="68">
        <v>45399</v>
      </c>
      <c r="P1475" s="68">
        <v>45399</v>
      </c>
      <c r="Q1475" s="57">
        <v>890.02045838933918</v>
      </c>
      <c r="R1475" t="s">
        <v>3112</v>
      </c>
    </row>
    <row r="1476" spans="1:18">
      <c r="A1476">
        <v>2497</v>
      </c>
      <c r="B1476" t="s">
        <v>4079</v>
      </c>
      <c r="C1476" t="s">
        <v>0</v>
      </c>
      <c r="D1476" t="s">
        <v>4077</v>
      </c>
      <c r="I1476" t="s">
        <v>4078</v>
      </c>
      <c r="J1476">
        <v>1</v>
      </c>
      <c r="K1476" t="s">
        <v>313</v>
      </c>
      <c r="L1476" s="67">
        <v>0.03</v>
      </c>
      <c r="M1476" t="s">
        <v>4</v>
      </c>
      <c r="N1476" s="67" t="s">
        <v>8</v>
      </c>
      <c r="O1476" s="68">
        <v>45399</v>
      </c>
      <c r="P1476" s="68">
        <v>45399</v>
      </c>
      <c r="Q1476" s="57">
        <v>917.24812770999404</v>
      </c>
      <c r="R1476" t="s">
        <v>3112</v>
      </c>
    </row>
    <row r="1477" spans="1:18">
      <c r="A1477">
        <v>2498</v>
      </c>
      <c r="B1477" t="s">
        <v>4082</v>
      </c>
      <c r="C1477" t="s">
        <v>0</v>
      </c>
      <c r="D1477" t="s">
        <v>4080</v>
      </c>
      <c r="I1477" t="s">
        <v>4081</v>
      </c>
      <c r="J1477">
        <v>1</v>
      </c>
      <c r="K1477" t="s">
        <v>313</v>
      </c>
      <c r="L1477" s="67">
        <v>0</v>
      </c>
      <c r="M1477" t="s">
        <v>4</v>
      </c>
      <c r="N1477" s="67" t="s">
        <v>8</v>
      </c>
      <c r="O1477" s="68">
        <v>45399</v>
      </c>
      <c r="P1477" s="68">
        <v>45399</v>
      </c>
      <c r="Q1477" s="57">
        <v>1363.1485103910752</v>
      </c>
      <c r="R1477" t="s">
        <v>3112</v>
      </c>
    </row>
    <row r="1478" spans="1:18">
      <c r="A1478">
        <v>2499</v>
      </c>
      <c r="B1478" t="s">
        <v>4083</v>
      </c>
      <c r="C1478" t="s">
        <v>0</v>
      </c>
      <c r="D1478" t="s">
        <v>4080</v>
      </c>
      <c r="I1478" t="s">
        <v>4081</v>
      </c>
      <c r="J1478">
        <v>2</v>
      </c>
      <c r="K1478" t="s">
        <v>313</v>
      </c>
      <c r="L1478" s="67">
        <v>0.03</v>
      </c>
      <c r="M1478" t="s">
        <v>4</v>
      </c>
      <c r="N1478" s="67" t="s">
        <v>8</v>
      </c>
      <c r="O1478" s="68">
        <v>45399</v>
      </c>
      <c r="P1478" s="68">
        <v>45399</v>
      </c>
      <c r="Q1478" s="57">
        <v>1780.0409167786784</v>
      </c>
      <c r="R1478" t="s">
        <v>3112</v>
      </c>
    </row>
    <row r="1479" spans="1:18">
      <c r="A1479">
        <v>2500</v>
      </c>
      <c r="B1479" t="s">
        <v>4085</v>
      </c>
      <c r="C1479" t="s">
        <v>0</v>
      </c>
      <c r="D1479" t="s">
        <v>4084</v>
      </c>
      <c r="I1479" t="s">
        <v>4078</v>
      </c>
      <c r="J1479">
        <v>1</v>
      </c>
      <c r="K1479" t="s">
        <v>313</v>
      </c>
      <c r="L1479" s="67">
        <v>0.05</v>
      </c>
      <c r="M1479" t="s">
        <v>4</v>
      </c>
      <c r="N1479" s="67" t="s">
        <v>8</v>
      </c>
      <c r="O1479" s="68">
        <v>45399</v>
      </c>
      <c r="P1479" s="68">
        <v>45399</v>
      </c>
      <c r="Q1479" s="57">
        <v>1299.4348475891577</v>
      </c>
      <c r="R1479" t="s">
        <v>3112</v>
      </c>
    </row>
    <row r="1480" spans="1:18">
      <c r="A1480">
        <v>2501</v>
      </c>
      <c r="B1480" t="s">
        <v>4087</v>
      </c>
      <c r="C1480" t="s">
        <v>0</v>
      </c>
      <c r="D1480" t="s">
        <v>4086</v>
      </c>
      <c r="I1480" t="s">
        <v>1997</v>
      </c>
      <c r="J1480">
        <v>1</v>
      </c>
      <c r="K1480" t="s">
        <v>313</v>
      </c>
      <c r="L1480" s="67">
        <v>0</v>
      </c>
      <c r="M1480" t="s">
        <v>4</v>
      </c>
      <c r="N1480" s="67" t="s">
        <v>8</v>
      </c>
      <c r="O1480" s="68">
        <v>45399</v>
      </c>
      <c r="P1480" s="68">
        <v>45399</v>
      </c>
      <c r="Q1480" s="57">
        <v>356.00818335573564</v>
      </c>
      <c r="R1480" t="s">
        <v>3112</v>
      </c>
    </row>
    <row r="1481" spans="1:18">
      <c r="A1481">
        <v>2502</v>
      </c>
      <c r="B1481" t="s">
        <v>4090</v>
      </c>
      <c r="C1481" t="s">
        <v>7</v>
      </c>
      <c r="D1481" t="s">
        <v>4089</v>
      </c>
      <c r="I1481" t="s">
        <v>4088</v>
      </c>
      <c r="J1481">
        <v>1</v>
      </c>
      <c r="K1481" t="s">
        <v>313</v>
      </c>
      <c r="L1481" s="67">
        <v>0</v>
      </c>
      <c r="M1481" t="s">
        <v>4</v>
      </c>
      <c r="N1481" s="67" t="s">
        <v>8</v>
      </c>
      <c r="O1481" s="68">
        <v>45399</v>
      </c>
      <c r="P1481" s="68">
        <v>45399</v>
      </c>
      <c r="Q1481" s="57">
        <v>3996.0533542160651</v>
      </c>
      <c r="R1481" t="s">
        <v>3112</v>
      </c>
    </row>
    <row r="1482" spans="1:18">
      <c r="A1482">
        <v>2503</v>
      </c>
      <c r="B1482" t="s">
        <v>4093</v>
      </c>
      <c r="C1482" t="s">
        <v>0</v>
      </c>
      <c r="D1482" t="s">
        <v>4092</v>
      </c>
      <c r="I1482" t="s">
        <v>4091</v>
      </c>
      <c r="J1482">
        <v>2</v>
      </c>
      <c r="K1482" t="s">
        <v>313</v>
      </c>
      <c r="L1482" s="67">
        <v>0</v>
      </c>
      <c r="M1482" t="s">
        <v>4</v>
      </c>
      <c r="N1482" s="67" t="s">
        <v>8</v>
      </c>
      <c r="O1482" s="68">
        <v>45400</v>
      </c>
      <c r="P1482" s="68">
        <v>45400</v>
      </c>
      <c r="Q1482" s="57">
        <v>332.58658331354627</v>
      </c>
      <c r="R1482" t="s">
        <v>3112</v>
      </c>
    </row>
    <row r="1483" spans="1:18">
      <c r="A1483">
        <v>2504</v>
      </c>
      <c r="B1483" t="s">
        <v>4096</v>
      </c>
      <c r="C1483" t="s">
        <v>0</v>
      </c>
      <c r="D1483" t="s">
        <v>4095</v>
      </c>
      <c r="H1483" t="s">
        <v>4094</v>
      </c>
      <c r="I1483" t="s">
        <v>24</v>
      </c>
      <c r="J1483">
        <v>3</v>
      </c>
      <c r="K1483" t="s">
        <v>313</v>
      </c>
      <c r="L1483" s="67">
        <v>0.01</v>
      </c>
      <c r="M1483" t="s">
        <v>4</v>
      </c>
      <c r="N1483" s="67" t="s">
        <v>8</v>
      </c>
      <c r="O1483" s="68">
        <v>45401</v>
      </c>
      <c r="P1483" s="68">
        <v>45401</v>
      </c>
      <c r="Q1483" s="57">
        <v>2373.387889038238</v>
      </c>
      <c r="R1483" t="s">
        <v>3112</v>
      </c>
    </row>
    <row r="1484" spans="1:18">
      <c r="A1484">
        <v>2505</v>
      </c>
      <c r="B1484" t="s">
        <v>4098</v>
      </c>
      <c r="C1484" t="s">
        <v>0</v>
      </c>
      <c r="D1484" t="s">
        <v>4097</v>
      </c>
      <c r="I1484" t="s">
        <v>2503</v>
      </c>
      <c r="J1484">
        <v>1</v>
      </c>
      <c r="K1484" t="s">
        <v>313</v>
      </c>
      <c r="L1484" s="67">
        <v>0.01</v>
      </c>
      <c r="M1484" t="s">
        <v>4</v>
      </c>
      <c r="N1484" s="67" t="s">
        <v>8</v>
      </c>
      <c r="O1484" s="68">
        <v>45404</v>
      </c>
      <c r="P1484" s="68">
        <v>45404</v>
      </c>
      <c r="Q1484" s="57">
        <v>1417.9544160121516</v>
      </c>
      <c r="R1484" t="s">
        <v>3112</v>
      </c>
    </row>
    <row r="1485" spans="1:18">
      <c r="A1485">
        <v>2506</v>
      </c>
      <c r="B1485" t="s">
        <v>4100</v>
      </c>
      <c r="C1485" t="s">
        <v>0</v>
      </c>
      <c r="D1485" t="s">
        <v>4099</v>
      </c>
      <c r="I1485" t="s">
        <v>2503</v>
      </c>
      <c r="J1485">
        <v>3</v>
      </c>
      <c r="K1485" t="s">
        <v>313</v>
      </c>
      <c r="L1485" s="67">
        <v>0.01</v>
      </c>
      <c r="M1485" t="s">
        <v>4</v>
      </c>
      <c r="N1485" s="67" t="s">
        <v>8</v>
      </c>
      <c r="O1485" s="68">
        <v>45404</v>
      </c>
      <c r="P1485" s="68">
        <v>45404</v>
      </c>
      <c r="Q1485" s="57">
        <v>2373.387889038238</v>
      </c>
      <c r="R1485" t="s">
        <v>3112</v>
      </c>
    </row>
    <row r="1486" spans="1:18">
      <c r="A1486">
        <v>2507</v>
      </c>
      <c r="B1486" t="s">
        <v>4103</v>
      </c>
      <c r="C1486" t="s">
        <v>7</v>
      </c>
      <c r="D1486" t="s">
        <v>4101</v>
      </c>
      <c r="I1486" t="s">
        <v>4102</v>
      </c>
      <c r="J1486">
        <v>2</v>
      </c>
      <c r="K1486" t="s">
        <v>313</v>
      </c>
      <c r="L1486" s="67">
        <v>0</v>
      </c>
      <c r="M1486" t="s">
        <v>4</v>
      </c>
      <c r="N1486" s="67" t="s">
        <v>8</v>
      </c>
      <c r="O1486" s="68">
        <v>45404</v>
      </c>
      <c r="P1486" s="68">
        <v>45404</v>
      </c>
      <c r="Q1486" s="57">
        <v>1905.1431380656616</v>
      </c>
      <c r="R1486" t="s">
        <v>3112</v>
      </c>
    </row>
    <row r="1487" spans="1:18">
      <c r="A1487">
        <v>2508</v>
      </c>
      <c r="B1487" t="s">
        <v>4106</v>
      </c>
      <c r="C1487" t="s">
        <v>0</v>
      </c>
      <c r="D1487" t="s">
        <v>4105</v>
      </c>
      <c r="I1487" t="s">
        <v>867</v>
      </c>
      <c r="J1487">
        <v>1</v>
      </c>
      <c r="K1487" t="s">
        <v>313</v>
      </c>
      <c r="L1487" s="67">
        <v>0</v>
      </c>
      <c r="M1487" t="s">
        <v>4</v>
      </c>
      <c r="N1487" s="67" t="s">
        <v>8</v>
      </c>
      <c r="O1487" s="68">
        <v>45404</v>
      </c>
      <c r="P1487" s="68">
        <v>45404</v>
      </c>
      <c r="Q1487" s="57">
        <v>121.3187766201612</v>
      </c>
      <c r="R1487" t="s">
        <v>3112</v>
      </c>
    </row>
    <row r="1488" spans="1:18">
      <c r="A1488">
        <v>2509</v>
      </c>
      <c r="B1488" t="s">
        <v>4107</v>
      </c>
      <c r="C1488" t="s">
        <v>0</v>
      </c>
      <c r="D1488" t="s">
        <v>4104</v>
      </c>
      <c r="I1488" t="s">
        <v>867</v>
      </c>
      <c r="J1488">
        <v>1</v>
      </c>
      <c r="K1488" t="s">
        <v>313</v>
      </c>
      <c r="L1488" s="67">
        <v>0</v>
      </c>
      <c r="M1488" t="s">
        <v>4</v>
      </c>
      <c r="N1488" s="67" t="s">
        <v>8</v>
      </c>
      <c r="O1488" s="68">
        <v>45404</v>
      </c>
      <c r="P1488" s="68">
        <v>45404</v>
      </c>
      <c r="Q1488" s="57">
        <v>181.97816493024186</v>
      </c>
      <c r="R1488" t="s">
        <v>3112</v>
      </c>
    </row>
    <row r="1489" spans="1:18">
      <c r="A1489">
        <v>2510</v>
      </c>
      <c r="B1489" t="s">
        <v>4109</v>
      </c>
      <c r="C1489" t="s">
        <v>0</v>
      </c>
      <c r="D1489" t="s">
        <v>4108</v>
      </c>
      <c r="I1489" t="s">
        <v>938</v>
      </c>
      <c r="J1489">
        <v>1</v>
      </c>
      <c r="K1489" t="s">
        <v>313</v>
      </c>
      <c r="L1489" s="67">
        <v>0</v>
      </c>
      <c r="M1489" t="s">
        <v>4</v>
      </c>
      <c r="N1489" s="67" t="s">
        <v>8</v>
      </c>
      <c r="O1489" s="68">
        <v>45404</v>
      </c>
      <c r="P1489" s="68">
        <v>45404</v>
      </c>
      <c r="Q1489" s="57">
        <v>332.58658331354627</v>
      </c>
      <c r="R1489" t="s">
        <v>3112</v>
      </c>
    </row>
    <row r="1490" spans="1:18">
      <c r="A1490">
        <v>2511</v>
      </c>
      <c r="B1490" t="s">
        <v>4111</v>
      </c>
      <c r="C1490" t="s">
        <v>0</v>
      </c>
      <c r="D1490" t="s">
        <v>4110</v>
      </c>
      <c r="I1490" t="s">
        <v>24</v>
      </c>
      <c r="J1490">
        <v>1</v>
      </c>
      <c r="K1490" t="s">
        <v>313</v>
      </c>
      <c r="L1490" s="67">
        <v>0</v>
      </c>
      <c r="M1490" t="s">
        <v>4</v>
      </c>
      <c r="N1490" s="67" t="s">
        <v>8</v>
      </c>
      <c r="O1490" s="68">
        <v>45404</v>
      </c>
      <c r="P1490" s="68">
        <v>45404</v>
      </c>
      <c r="Q1490" s="57">
        <v>1127.3592472931628</v>
      </c>
      <c r="R1490" t="s">
        <v>3112</v>
      </c>
    </row>
    <row r="1491" spans="1:18">
      <c r="A1491">
        <v>2512</v>
      </c>
      <c r="B1491" t="s">
        <v>4113</v>
      </c>
      <c r="C1491" t="s">
        <v>0</v>
      </c>
      <c r="D1491" t="s">
        <v>4112</v>
      </c>
      <c r="I1491" t="s">
        <v>24</v>
      </c>
      <c r="J1491">
        <v>2</v>
      </c>
      <c r="K1491" t="s">
        <v>313</v>
      </c>
      <c r="L1491" s="67">
        <v>0</v>
      </c>
      <c r="M1491" t="s">
        <v>4</v>
      </c>
      <c r="N1491" s="67" t="s">
        <v>8</v>
      </c>
      <c r="O1491" s="68">
        <v>45405</v>
      </c>
      <c r="P1491" s="68">
        <v>45405</v>
      </c>
      <c r="Q1491" s="57">
        <v>1483.3674306488983</v>
      </c>
      <c r="R1491" t="s">
        <v>3112</v>
      </c>
    </row>
    <row r="1492" spans="1:18">
      <c r="A1492">
        <v>2513</v>
      </c>
      <c r="B1492" t="s">
        <v>4114</v>
      </c>
      <c r="C1492" t="s">
        <v>0</v>
      </c>
      <c r="D1492" t="s">
        <v>4112</v>
      </c>
      <c r="I1492" t="s">
        <v>24</v>
      </c>
      <c r="J1492">
        <v>1</v>
      </c>
      <c r="K1492" t="s">
        <v>313</v>
      </c>
      <c r="L1492" s="67">
        <v>0</v>
      </c>
      <c r="M1492" t="s">
        <v>4</v>
      </c>
      <c r="N1492" s="67" t="s">
        <v>8</v>
      </c>
      <c r="O1492" s="68">
        <v>45405</v>
      </c>
      <c r="P1492" s="68">
        <v>45405</v>
      </c>
      <c r="Q1492" s="57">
        <v>6408.1473004032423</v>
      </c>
      <c r="R1492" t="s">
        <v>3112</v>
      </c>
    </row>
    <row r="1493" spans="1:18">
      <c r="A1493">
        <v>2514</v>
      </c>
      <c r="B1493" t="s">
        <v>4116</v>
      </c>
      <c r="C1493" t="s">
        <v>0</v>
      </c>
      <c r="D1493" t="s">
        <v>4115</v>
      </c>
      <c r="I1493" t="s">
        <v>24</v>
      </c>
      <c r="J1493">
        <v>1</v>
      </c>
      <c r="K1493" t="s">
        <v>313</v>
      </c>
      <c r="L1493" s="67">
        <v>0</v>
      </c>
      <c r="M1493" t="s">
        <v>4</v>
      </c>
      <c r="N1493" s="67" t="s">
        <v>8</v>
      </c>
      <c r="O1493" s="68">
        <v>45405</v>
      </c>
      <c r="P1493" s="68">
        <v>45405</v>
      </c>
      <c r="Q1493" s="57">
        <v>6408.1473004032423</v>
      </c>
      <c r="R1493" t="s">
        <v>3112</v>
      </c>
    </row>
    <row r="1494" spans="1:18">
      <c r="A1494">
        <v>2515</v>
      </c>
      <c r="B1494" t="s">
        <v>4118</v>
      </c>
      <c r="C1494" t="s">
        <v>0</v>
      </c>
      <c r="D1494" t="s">
        <v>4117</v>
      </c>
      <c r="I1494" t="s">
        <v>24</v>
      </c>
      <c r="J1494">
        <v>1</v>
      </c>
      <c r="K1494" t="s">
        <v>313</v>
      </c>
      <c r="L1494" s="67">
        <v>0</v>
      </c>
      <c r="M1494" t="s">
        <v>4</v>
      </c>
      <c r="N1494" s="67" t="s">
        <v>8</v>
      </c>
      <c r="O1494" s="68">
        <v>45405</v>
      </c>
      <c r="P1494" s="68">
        <v>45405</v>
      </c>
      <c r="Q1494" s="57">
        <v>1008.6898528412509</v>
      </c>
      <c r="R1494" t="s">
        <v>3112</v>
      </c>
    </row>
    <row r="1495" spans="1:18">
      <c r="A1495">
        <v>2516</v>
      </c>
      <c r="B1495" t="s">
        <v>4120</v>
      </c>
      <c r="C1495" t="s">
        <v>0</v>
      </c>
      <c r="D1495" t="s">
        <v>4119</v>
      </c>
      <c r="I1495" t="s">
        <v>2503</v>
      </c>
      <c r="J1495">
        <v>1</v>
      </c>
      <c r="K1495" t="s">
        <v>313</v>
      </c>
      <c r="L1495" s="67">
        <v>0</v>
      </c>
      <c r="M1495" t="s">
        <v>4</v>
      </c>
      <c r="N1495" s="67" t="s">
        <v>8</v>
      </c>
      <c r="O1495" s="68">
        <v>45405</v>
      </c>
      <c r="P1495" s="68">
        <v>45405</v>
      </c>
      <c r="Q1495" s="57">
        <v>773.42968146117391</v>
      </c>
      <c r="R1495" t="s">
        <v>3112</v>
      </c>
    </row>
    <row r="1496" spans="1:18">
      <c r="A1496">
        <v>2517</v>
      </c>
      <c r="B1496" t="s">
        <v>4122</v>
      </c>
      <c r="C1496" t="s">
        <v>0</v>
      </c>
      <c r="D1496" t="s">
        <v>4121</v>
      </c>
      <c r="I1496" t="s">
        <v>24</v>
      </c>
      <c r="J1496">
        <v>1</v>
      </c>
      <c r="K1496" t="s">
        <v>313</v>
      </c>
      <c r="L1496" s="67">
        <v>0.03</v>
      </c>
      <c r="M1496" t="s">
        <v>4</v>
      </c>
      <c r="N1496" s="67" t="s">
        <v>8</v>
      </c>
      <c r="O1496" s="68">
        <v>45408</v>
      </c>
      <c r="P1496" s="68">
        <v>45408</v>
      </c>
      <c r="Q1496" s="57">
        <v>231.25317893193085</v>
      </c>
      <c r="R1496" t="s">
        <v>3112</v>
      </c>
    </row>
    <row r="1497" spans="1:18">
      <c r="A1497">
        <v>2518</v>
      </c>
      <c r="B1497" t="s">
        <v>4124</v>
      </c>
      <c r="C1497" t="s">
        <v>0</v>
      </c>
      <c r="D1497" t="s">
        <v>4123</v>
      </c>
      <c r="I1497" t="s">
        <v>938</v>
      </c>
      <c r="J1497">
        <v>1</v>
      </c>
      <c r="K1497" t="s">
        <v>313</v>
      </c>
      <c r="L1497" s="67">
        <v>0</v>
      </c>
      <c r="M1497" t="s">
        <v>4</v>
      </c>
      <c r="N1497" s="67" t="s">
        <v>8</v>
      </c>
      <c r="O1497" s="68">
        <v>45408</v>
      </c>
      <c r="P1497" s="68">
        <v>45408</v>
      </c>
      <c r="Q1497" s="57">
        <v>324.05872220294253</v>
      </c>
      <c r="R1497" t="s">
        <v>3112</v>
      </c>
    </row>
    <row r="1498" spans="1:18">
      <c r="A1498">
        <v>2519</v>
      </c>
      <c r="B1498" t="s">
        <v>4125</v>
      </c>
      <c r="C1498" t="s">
        <v>0</v>
      </c>
      <c r="D1498" t="s">
        <v>4123</v>
      </c>
      <c r="I1498" t="s">
        <v>938</v>
      </c>
      <c r="J1498">
        <v>1</v>
      </c>
      <c r="K1498" t="s">
        <v>313</v>
      </c>
      <c r="L1498" s="67">
        <v>0</v>
      </c>
      <c r="M1498" t="s">
        <v>4</v>
      </c>
      <c r="N1498" s="67" t="s">
        <v>8</v>
      </c>
      <c r="O1498" s="68">
        <v>45408</v>
      </c>
      <c r="P1498" s="68">
        <v>45408</v>
      </c>
      <c r="Q1498" s="57">
        <v>432.07829627058999</v>
      </c>
      <c r="R1498" t="s">
        <v>3112</v>
      </c>
    </row>
    <row r="1499" spans="1:18">
      <c r="A1499">
        <v>2520</v>
      </c>
      <c r="B1499" t="s">
        <v>4159</v>
      </c>
      <c r="C1499" t="s">
        <v>7</v>
      </c>
      <c r="D1499" t="s">
        <v>4158</v>
      </c>
      <c r="I1499" t="s">
        <v>2503</v>
      </c>
      <c r="J1499">
        <v>1</v>
      </c>
      <c r="K1499" t="s">
        <v>313</v>
      </c>
      <c r="L1499" s="67">
        <v>0</v>
      </c>
      <c r="M1499" t="s">
        <v>4</v>
      </c>
      <c r="N1499" s="67" t="s">
        <v>8</v>
      </c>
      <c r="O1499" s="68">
        <v>45415</v>
      </c>
      <c r="P1499" s="68">
        <v>45415</v>
      </c>
      <c r="Q1499" s="57">
        <v>565.19861337547309</v>
      </c>
      <c r="R1499" t="s">
        <v>623</v>
      </c>
    </row>
    <row r="1500" spans="1:18">
      <c r="A1500">
        <v>2521</v>
      </c>
      <c r="B1500" t="s">
        <v>4161</v>
      </c>
      <c r="C1500" t="s">
        <v>0</v>
      </c>
      <c r="D1500" t="s">
        <v>4160</v>
      </c>
      <c r="I1500" t="s">
        <v>1069</v>
      </c>
      <c r="J1500">
        <v>1</v>
      </c>
      <c r="K1500" t="s">
        <v>313</v>
      </c>
      <c r="L1500" s="67">
        <v>0</v>
      </c>
      <c r="M1500" t="s">
        <v>4</v>
      </c>
      <c r="N1500" s="67" t="s">
        <v>8</v>
      </c>
      <c r="O1500" s="68">
        <v>45415</v>
      </c>
      <c r="P1500" s="68">
        <v>45415</v>
      </c>
      <c r="Q1500" s="57">
        <v>590.30932643716062</v>
      </c>
      <c r="R1500" t="s">
        <v>623</v>
      </c>
    </row>
    <row r="1501" spans="1:18">
      <c r="A1501">
        <v>2522</v>
      </c>
      <c r="B1501" t="s">
        <v>4164</v>
      </c>
      <c r="C1501" t="s">
        <v>0</v>
      </c>
      <c r="D1501" t="s">
        <v>4163</v>
      </c>
      <c r="I1501" t="s">
        <v>4162</v>
      </c>
      <c r="J1501">
        <v>1</v>
      </c>
      <c r="K1501" t="s">
        <v>313</v>
      </c>
      <c r="L1501" s="67">
        <v>0</v>
      </c>
      <c r="M1501" t="s">
        <v>4</v>
      </c>
      <c r="N1501" s="67" t="s">
        <v>8</v>
      </c>
      <c r="O1501" s="68">
        <v>45415</v>
      </c>
      <c r="P1501" s="68">
        <v>45415</v>
      </c>
      <c r="Q1501" s="57">
        <v>313.99922965304069</v>
      </c>
      <c r="R1501" t="s">
        <v>623</v>
      </c>
    </row>
    <row r="1502" spans="1:18">
      <c r="A1502">
        <v>2523</v>
      </c>
      <c r="B1502" t="s">
        <v>4166</v>
      </c>
      <c r="C1502" t="s">
        <v>0</v>
      </c>
      <c r="D1502" t="s">
        <v>4165</v>
      </c>
      <c r="I1502" t="s">
        <v>24</v>
      </c>
      <c r="J1502">
        <v>1</v>
      </c>
      <c r="K1502" t="s">
        <v>313</v>
      </c>
      <c r="L1502" s="67">
        <v>0.03</v>
      </c>
      <c r="M1502" t="s">
        <v>4</v>
      </c>
      <c r="N1502" s="67" t="s">
        <v>8</v>
      </c>
      <c r="O1502" s="68">
        <v>45415</v>
      </c>
      <c r="P1502" s="68">
        <v>45415</v>
      </c>
      <c r="Q1502" s="57">
        <v>115.62658946596542</v>
      </c>
      <c r="R1502" t="s">
        <v>623</v>
      </c>
    </row>
    <row r="1503" spans="1:18">
      <c r="A1503">
        <v>2524</v>
      </c>
      <c r="B1503" t="s">
        <v>4167</v>
      </c>
      <c r="C1503" t="s">
        <v>0</v>
      </c>
      <c r="D1503" t="s">
        <v>4165</v>
      </c>
      <c r="I1503" t="s">
        <v>24</v>
      </c>
      <c r="J1503">
        <v>1</v>
      </c>
      <c r="K1503" t="s">
        <v>313</v>
      </c>
      <c r="L1503" s="67">
        <v>0.03</v>
      </c>
      <c r="M1503" t="s">
        <v>4</v>
      </c>
      <c r="N1503" s="67" t="s">
        <v>8</v>
      </c>
      <c r="O1503" s="68">
        <v>45415</v>
      </c>
      <c r="P1503" s="68">
        <v>45415</v>
      </c>
      <c r="Q1503" s="57">
        <v>115.62658946596542</v>
      </c>
      <c r="R1503" t="s">
        <v>623</v>
      </c>
    </row>
    <row r="1504" spans="1:18">
      <c r="A1504">
        <v>2525</v>
      </c>
      <c r="B1504" t="s">
        <v>4169</v>
      </c>
      <c r="C1504" t="s">
        <v>0</v>
      </c>
      <c r="D1504" t="s">
        <v>4168</v>
      </c>
      <c r="I1504" t="s">
        <v>2503</v>
      </c>
      <c r="J1504">
        <v>1</v>
      </c>
      <c r="K1504" t="s">
        <v>313</v>
      </c>
      <c r="L1504" s="67">
        <v>0.03</v>
      </c>
      <c r="M1504" t="s">
        <v>4</v>
      </c>
      <c r="N1504" s="67" t="s">
        <v>8</v>
      </c>
      <c r="O1504" s="68">
        <v>45418</v>
      </c>
      <c r="P1504" s="68">
        <v>45418</v>
      </c>
      <c r="Q1504" s="57">
        <v>2763.1932209467577</v>
      </c>
      <c r="R1504" t="s">
        <v>3112</v>
      </c>
    </row>
    <row r="1505" spans="1:18">
      <c r="A1505">
        <v>2526</v>
      </c>
      <c r="B1505" t="s">
        <v>4170</v>
      </c>
      <c r="C1505" t="s">
        <v>0</v>
      </c>
      <c r="D1505" t="s">
        <v>4168</v>
      </c>
      <c r="I1505" t="s">
        <v>2503</v>
      </c>
      <c r="J1505">
        <v>1</v>
      </c>
      <c r="K1505" t="s">
        <v>313</v>
      </c>
      <c r="L1505" s="67">
        <v>0.03</v>
      </c>
      <c r="M1505" t="s">
        <v>4</v>
      </c>
      <c r="N1505" s="67" t="s">
        <v>8</v>
      </c>
      <c r="O1505" s="68">
        <v>45418</v>
      </c>
      <c r="P1505" s="68">
        <v>45418</v>
      </c>
      <c r="Q1505" s="57">
        <v>2763.1932209467577</v>
      </c>
      <c r="R1505" t="s">
        <v>3112</v>
      </c>
    </row>
    <row r="1506" spans="1:18">
      <c r="A1506">
        <v>2527</v>
      </c>
      <c r="B1506" t="s">
        <v>4171</v>
      </c>
      <c r="C1506" t="s">
        <v>0</v>
      </c>
      <c r="D1506" t="s">
        <v>4168</v>
      </c>
      <c r="I1506" t="s">
        <v>2503</v>
      </c>
      <c r="J1506">
        <v>1</v>
      </c>
      <c r="K1506" t="s">
        <v>313</v>
      </c>
      <c r="L1506" s="67">
        <v>0.03</v>
      </c>
      <c r="M1506" t="s">
        <v>4</v>
      </c>
      <c r="N1506" s="67" t="s">
        <v>8</v>
      </c>
      <c r="O1506" s="68">
        <v>45418</v>
      </c>
      <c r="P1506" s="68">
        <v>45418</v>
      </c>
      <c r="Q1506" s="57">
        <v>3544.8860400303797</v>
      </c>
      <c r="R1506" t="s">
        <v>3112</v>
      </c>
    </row>
    <row r="1507" spans="1:18">
      <c r="A1507">
        <v>2528</v>
      </c>
      <c r="B1507" t="s">
        <v>4172</v>
      </c>
      <c r="C1507" t="s">
        <v>0</v>
      </c>
      <c r="D1507" t="s">
        <v>4168</v>
      </c>
      <c r="I1507" t="s">
        <v>2503</v>
      </c>
      <c r="J1507">
        <v>1</v>
      </c>
      <c r="K1507" t="s">
        <v>313</v>
      </c>
      <c r="L1507" s="67">
        <v>0.03</v>
      </c>
      <c r="M1507" t="s">
        <v>4</v>
      </c>
      <c r="N1507" s="67" t="s">
        <v>8</v>
      </c>
      <c r="O1507" s="68">
        <v>45418</v>
      </c>
      <c r="P1507" s="68">
        <v>45418</v>
      </c>
      <c r="Q1507" s="57">
        <v>6509.6998189648803</v>
      </c>
      <c r="R1507" t="s">
        <v>3112</v>
      </c>
    </row>
    <row r="1508" spans="1:18">
      <c r="A1508">
        <v>2529</v>
      </c>
      <c r="B1508" t="s">
        <v>4173</v>
      </c>
      <c r="C1508" t="s">
        <v>0</v>
      </c>
      <c r="D1508" t="s">
        <v>4168</v>
      </c>
      <c r="I1508" t="s">
        <v>2503</v>
      </c>
      <c r="J1508">
        <v>1</v>
      </c>
      <c r="K1508" t="s">
        <v>313</v>
      </c>
      <c r="L1508" s="67">
        <v>0.03</v>
      </c>
      <c r="M1508" t="s">
        <v>4</v>
      </c>
      <c r="N1508" s="67" t="s">
        <v>8</v>
      </c>
      <c r="O1508" s="68">
        <v>45418</v>
      </c>
      <c r="P1508" s="68">
        <v>45418</v>
      </c>
      <c r="Q1508" s="57">
        <v>6509.6998189648803</v>
      </c>
      <c r="R1508" t="s">
        <v>3112</v>
      </c>
    </row>
    <row r="1509" spans="1:18">
      <c r="A1509">
        <v>2530</v>
      </c>
      <c r="B1509" t="s">
        <v>4174</v>
      </c>
      <c r="C1509" t="s">
        <v>0</v>
      </c>
      <c r="D1509" t="s">
        <v>4168</v>
      </c>
      <c r="I1509" t="s">
        <v>2503</v>
      </c>
      <c r="J1509">
        <v>1</v>
      </c>
      <c r="K1509" t="s">
        <v>313</v>
      </c>
      <c r="L1509" s="67">
        <v>0.03</v>
      </c>
      <c r="M1509" t="s">
        <v>4</v>
      </c>
      <c r="N1509" s="67" t="s">
        <v>8</v>
      </c>
      <c r="O1509" s="68">
        <v>45418</v>
      </c>
      <c r="P1509" s="68">
        <v>45418</v>
      </c>
      <c r="Q1509" s="57">
        <v>6509.6998189648803</v>
      </c>
      <c r="R1509" t="s">
        <v>3112</v>
      </c>
    </row>
    <row r="1510" spans="1:18">
      <c r="A1510">
        <v>2531</v>
      </c>
      <c r="B1510" t="s">
        <v>4175</v>
      </c>
      <c r="C1510" t="s">
        <v>0</v>
      </c>
      <c r="D1510" t="s">
        <v>4168</v>
      </c>
      <c r="I1510" t="s">
        <v>2503</v>
      </c>
      <c r="J1510">
        <v>1</v>
      </c>
      <c r="K1510" t="s">
        <v>313</v>
      </c>
      <c r="L1510" s="67">
        <v>0.03</v>
      </c>
      <c r="M1510" t="s">
        <v>4</v>
      </c>
      <c r="N1510" s="67" t="s">
        <v>8</v>
      </c>
      <c r="O1510" s="68">
        <v>45418</v>
      </c>
      <c r="P1510" s="68">
        <v>45418</v>
      </c>
      <c r="Q1510" s="57">
        <v>6509.6998189648803</v>
      </c>
      <c r="R1510" t="s">
        <v>3112</v>
      </c>
    </row>
    <row r="1511" spans="1:18">
      <c r="A1511">
        <v>2532</v>
      </c>
      <c r="B1511" t="s">
        <v>4177</v>
      </c>
      <c r="C1511" t="s">
        <v>0</v>
      </c>
      <c r="D1511" t="s">
        <v>4176</v>
      </c>
      <c r="I1511" t="s">
        <v>24</v>
      </c>
      <c r="J1511">
        <v>1</v>
      </c>
      <c r="K1511" t="s">
        <v>313</v>
      </c>
      <c r="L1511" s="67">
        <v>0.02</v>
      </c>
      <c r="M1511" t="s">
        <v>4</v>
      </c>
      <c r="N1511" s="67" t="s">
        <v>8</v>
      </c>
      <c r="O1511" s="68">
        <v>45418</v>
      </c>
      <c r="P1511" s="68">
        <v>45418</v>
      </c>
      <c r="Q1511" s="57">
        <v>7476.1718504704486</v>
      </c>
      <c r="R1511" t="s">
        <v>3112</v>
      </c>
    </row>
    <row r="1512" spans="1:18">
      <c r="A1512">
        <v>2533</v>
      </c>
      <c r="B1512" t="s">
        <v>4178</v>
      </c>
      <c r="C1512" t="s">
        <v>0</v>
      </c>
      <c r="D1512" t="s">
        <v>4058</v>
      </c>
      <c r="I1512" t="s">
        <v>3348</v>
      </c>
      <c r="J1512">
        <v>1</v>
      </c>
      <c r="K1512" t="s">
        <v>313</v>
      </c>
      <c r="L1512" s="67">
        <v>0</v>
      </c>
      <c r="M1512" t="s">
        <v>4</v>
      </c>
      <c r="N1512" s="67" t="s">
        <v>8</v>
      </c>
      <c r="O1512" s="68">
        <v>45419</v>
      </c>
      <c r="P1512" s="68">
        <v>45419</v>
      </c>
      <c r="Q1512" s="57">
        <v>773.42968146117391</v>
      </c>
      <c r="R1512" t="s">
        <v>3112</v>
      </c>
    </row>
    <row r="1513" spans="1:18">
      <c r="A1513">
        <v>2534</v>
      </c>
      <c r="B1513" t="s">
        <v>4180</v>
      </c>
      <c r="C1513" t="s">
        <v>0</v>
      </c>
      <c r="D1513" t="s">
        <v>4179</v>
      </c>
      <c r="I1513" t="s">
        <v>24</v>
      </c>
      <c r="J1513">
        <v>1</v>
      </c>
      <c r="K1513" t="s">
        <v>313</v>
      </c>
      <c r="L1513" s="67">
        <v>0</v>
      </c>
      <c r="M1513" t="s">
        <v>4</v>
      </c>
      <c r="N1513" s="67" t="s">
        <v>8</v>
      </c>
      <c r="O1513" s="68">
        <v>45419</v>
      </c>
      <c r="P1513" s="68">
        <v>45419</v>
      </c>
      <c r="Q1513" s="57">
        <v>59.334697225955942</v>
      </c>
      <c r="R1513" t="s">
        <v>3112</v>
      </c>
    </row>
    <row r="1514" spans="1:18">
      <c r="A1514">
        <v>2535</v>
      </c>
      <c r="B1514" t="s">
        <v>4182</v>
      </c>
      <c r="C1514" t="s">
        <v>0</v>
      </c>
      <c r="D1514" t="s">
        <v>4181</v>
      </c>
      <c r="I1514" t="s">
        <v>1434</v>
      </c>
      <c r="J1514">
        <v>1</v>
      </c>
      <c r="K1514" t="s">
        <v>313</v>
      </c>
      <c r="L1514" s="67">
        <v>0</v>
      </c>
      <c r="M1514" t="s">
        <v>4</v>
      </c>
      <c r="N1514" s="67" t="s">
        <v>8</v>
      </c>
      <c r="O1514" s="68">
        <v>45420</v>
      </c>
      <c r="P1514" s="68">
        <v>45420</v>
      </c>
      <c r="Q1514" s="57">
        <v>1305.3633389710305</v>
      </c>
      <c r="R1514" t="s">
        <v>3112</v>
      </c>
    </row>
    <row r="1515" spans="1:18">
      <c r="A1515">
        <v>2536</v>
      </c>
      <c r="B1515" t="s">
        <v>4184</v>
      </c>
      <c r="C1515" t="s">
        <v>0</v>
      </c>
      <c r="D1515" t="s">
        <v>4183</v>
      </c>
      <c r="I1515" t="s">
        <v>24</v>
      </c>
      <c r="J1515">
        <v>2</v>
      </c>
      <c r="K1515" t="s">
        <v>313</v>
      </c>
      <c r="L1515" s="67">
        <v>0</v>
      </c>
      <c r="M1515" t="s">
        <v>4</v>
      </c>
      <c r="N1515" s="67" t="s">
        <v>8</v>
      </c>
      <c r="O1515" s="68">
        <v>45422</v>
      </c>
      <c r="P1515" s="68">
        <v>45422</v>
      </c>
      <c r="Q1515" s="57">
        <v>2373.387889038238</v>
      </c>
      <c r="R1515" t="s">
        <v>3112</v>
      </c>
    </row>
    <row r="1516" spans="1:18">
      <c r="A1516">
        <v>2537</v>
      </c>
      <c r="B1516" t="s">
        <v>4185</v>
      </c>
      <c r="C1516" t="s">
        <v>0</v>
      </c>
      <c r="D1516" t="s">
        <v>4183</v>
      </c>
      <c r="I1516" t="s">
        <v>24</v>
      </c>
      <c r="J1516">
        <v>2</v>
      </c>
      <c r="K1516" t="s">
        <v>313</v>
      </c>
      <c r="L1516" s="67">
        <v>0</v>
      </c>
      <c r="M1516" t="s">
        <v>4</v>
      </c>
      <c r="N1516" s="67" t="s">
        <v>8</v>
      </c>
      <c r="O1516" s="68">
        <v>45422</v>
      </c>
      <c r="P1516" s="68">
        <v>45422</v>
      </c>
      <c r="Q1516" s="57">
        <v>2373.387889038238</v>
      </c>
      <c r="R1516" t="s">
        <v>3112</v>
      </c>
    </row>
    <row r="1517" spans="1:18">
      <c r="A1517">
        <v>2538</v>
      </c>
      <c r="B1517" t="s">
        <v>4186</v>
      </c>
      <c r="C1517" t="s">
        <v>0</v>
      </c>
      <c r="D1517" t="s">
        <v>4183</v>
      </c>
      <c r="I1517" t="s">
        <v>24</v>
      </c>
      <c r="J1517">
        <v>2</v>
      </c>
      <c r="K1517" t="s">
        <v>313</v>
      </c>
      <c r="L1517" s="67">
        <v>0</v>
      </c>
      <c r="M1517" t="s">
        <v>4</v>
      </c>
      <c r="N1517" s="67" t="s">
        <v>8</v>
      </c>
      <c r="O1517" s="68">
        <v>45422</v>
      </c>
      <c r="P1517" s="68">
        <v>45422</v>
      </c>
      <c r="Q1517" s="57">
        <v>2373.387889038238</v>
      </c>
      <c r="R1517" t="s">
        <v>3112</v>
      </c>
    </row>
    <row r="1518" spans="1:18">
      <c r="A1518">
        <v>2539</v>
      </c>
      <c r="B1518" t="s">
        <v>4188</v>
      </c>
      <c r="C1518" t="s">
        <v>0</v>
      </c>
      <c r="D1518" t="s">
        <v>4187</v>
      </c>
      <c r="I1518" t="s">
        <v>1434</v>
      </c>
      <c r="J1518">
        <v>1</v>
      </c>
      <c r="K1518" t="s">
        <v>313</v>
      </c>
      <c r="L1518" s="67">
        <v>0</v>
      </c>
      <c r="M1518" t="s">
        <v>4</v>
      </c>
      <c r="N1518" s="67" t="s">
        <v>8</v>
      </c>
      <c r="O1518" s="68">
        <v>45427</v>
      </c>
      <c r="P1518" s="68">
        <v>45427</v>
      </c>
      <c r="Q1518" s="57">
        <v>178.00409167786782</v>
      </c>
      <c r="R1518" t="s">
        <v>3112</v>
      </c>
    </row>
    <row r="1519" spans="1:18">
      <c r="A1519">
        <v>2540</v>
      </c>
      <c r="B1519" t="s">
        <v>4189</v>
      </c>
      <c r="C1519" t="s">
        <v>0</v>
      </c>
      <c r="D1519" t="s">
        <v>4187</v>
      </c>
      <c r="I1519" t="s">
        <v>1434</v>
      </c>
      <c r="J1519">
        <v>127</v>
      </c>
      <c r="K1519" t="s">
        <v>313</v>
      </c>
      <c r="L1519" s="67">
        <v>0</v>
      </c>
      <c r="M1519" t="s">
        <v>4</v>
      </c>
      <c r="N1519" s="67" t="s">
        <v>8</v>
      </c>
      <c r="O1519" s="68">
        <v>45427</v>
      </c>
      <c r="P1519" s="68">
        <v>45427</v>
      </c>
      <c r="Q1519" s="57">
        <v>30082.691493559658</v>
      </c>
      <c r="R1519" t="s">
        <v>3112</v>
      </c>
    </row>
    <row r="1520" spans="1:18">
      <c r="A1520">
        <v>2541</v>
      </c>
      <c r="B1520" t="s">
        <v>4190</v>
      </c>
      <c r="C1520" t="s">
        <v>0</v>
      </c>
      <c r="D1520" t="s">
        <v>4187</v>
      </c>
      <c r="I1520" t="s">
        <v>1434</v>
      </c>
      <c r="J1520">
        <v>1</v>
      </c>
      <c r="K1520" t="s">
        <v>313</v>
      </c>
      <c r="L1520" s="67">
        <v>0</v>
      </c>
      <c r="M1520" t="s">
        <v>4</v>
      </c>
      <c r="N1520" s="67" t="s">
        <v>8</v>
      </c>
      <c r="O1520" s="68">
        <v>45427</v>
      </c>
      <c r="P1520" s="68">
        <v>45427</v>
      </c>
      <c r="Q1520" s="57">
        <v>178.00409167786782</v>
      </c>
      <c r="R1520" t="s">
        <v>3112</v>
      </c>
    </row>
    <row r="1521" spans="1:18">
      <c r="A1521">
        <v>2542</v>
      </c>
      <c r="B1521" t="s">
        <v>4192</v>
      </c>
      <c r="C1521" t="s">
        <v>3</v>
      </c>
      <c r="D1521" t="s">
        <v>4191</v>
      </c>
      <c r="I1521" t="s">
        <v>2362</v>
      </c>
      <c r="J1521">
        <v>2</v>
      </c>
      <c r="K1521" t="s">
        <v>313</v>
      </c>
      <c r="L1521" s="67">
        <v>0.05</v>
      </c>
      <c r="M1521" t="s">
        <v>4</v>
      </c>
      <c r="N1521" s="67" t="s">
        <v>4</v>
      </c>
      <c r="O1521" s="68">
        <v>45427</v>
      </c>
      <c r="P1521" s="68">
        <v>45427</v>
      </c>
      <c r="Q1521" s="57">
        <v>16802.650561892329</v>
      </c>
      <c r="R1521" t="s">
        <v>3112</v>
      </c>
    </row>
    <row r="1522" spans="1:18">
      <c r="A1522">
        <v>2543</v>
      </c>
      <c r="B1522" t="s">
        <v>4194</v>
      </c>
      <c r="C1522" t="s">
        <v>3</v>
      </c>
      <c r="D1522" t="s">
        <v>4193</v>
      </c>
      <c r="I1522" t="s">
        <v>2362</v>
      </c>
      <c r="J1522">
        <v>2</v>
      </c>
      <c r="K1522" t="s">
        <v>313</v>
      </c>
      <c r="L1522" s="67">
        <v>0.05</v>
      </c>
      <c r="M1522" t="s">
        <v>4</v>
      </c>
      <c r="N1522" s="67" t="s">
        <v>4</v>
      </c>
      <c r="O1522" s="68">
        <v>45427</v>
      </c>
      <c r="P1522" s="68">
        <v>45427</v>
      </c>
      <c r="Q1522" s="57">
        <v>10312.096012713706</v>
      </c>
      <c r="R1522" t="s">
        <v>3112</v>
      </c>
    </row>
    <row r="1523" spans="1:18">
      <c r="A1523">
        <v>2544</v>
      </c>
      <c r="B1523" t="s">
        <v>4195</v>
      </c>
      <c r="C1523" t="s">
        <v>3</v>
      </c>
      <c r="D1523" t="s">
        <v>4193</v>
      </c>
      <c r="I1523" t="s">
        <v>2362</v>
      </c>
      <c r="J1523">
        <v>2</v>
      </c>
      <c r="K1523" t="s">
        <v>313</v>
      </c>
      <c r="L1523" s="67">
        <v>0.05</v>
      </c>
      <c r="M1523" t="s">
        <v>4</v>
      </c>
      <c r="N1523" s="67" t="s">
        <v>4</v>
      </c>
      <c r="O1523" s="68">
        <v>45427</v>
      </c>
      <c r="P1523" s="68">
        <v>45427</v>
      </c>
      <c r="Q1523" s="57">
        <v>10312.096012713706</v>
      </c>
      <c r="R1523" t="s">
        <v>3112</v>
      </c>
    </row>
    <row r="1524" spans="1:18">
      <c r="A1524">
        <v>2545</v>
      </c>
      <c r="B1524" t="s">
        <v>4196</v>
      </c>
      <c r="C1524" t="s">
        <v>3</v>
      </c>
      <c r="D1524" t="s">
        <v>4193</v>
      </c>
      <c r="I1524" t="s">
        <v>2362</v>
      </c>
      <c r="J1524">
        <v>1</v>
      </c>
      <c r="K1524" t="s">
        <v>313</v>
      </c>
      <c r="L1524" s="67">
        <v>0.05</v>
      </c>
      <c r="M1524" t="s">
        <v>4</v>
      </c>
      <c r="N1524" s="67" t="s">
        <v>8</v>
      </c>
      <c r="O1524" s="68">
        <v>45427</v>
      </c>
      <c r="P1524" s="68">
        <v>45427</v>
      </c>
      <c r="Q1524" s="57">
        <v>12920.449710047169</v>
      </c>
      <c r="R1524" t="s">
        <v>3112</v>
      </c>
    </row>
    <row r="1525" spans="1:18">
      <c r="A1525">
        <v>2546</v>
      </c>
      <c r="B1525" t="s">
        <v>4201</v>
      </c>
      <c r="C1525" t="s">
        <v>0</v>
      </c>
      <c r="D1525" t="s">
        <v>4187</v>
      </c>
      <c r="I1525" t="s">
        <v>1434</v>
      </c>
      <c r="J1525">
        <v>1</v>
      </c>
      <c r="K1525" t="s">
        <v>313</v>
      </c>
      <c r="L1525" s="67">
        <v>0</v>
      </c>
      <c r="M1525" t="s">
        <v>4</v>
      </c>
      <c r="N1525" s="67" t="s">
        <v>8</v>
      </c>
      <c r="O1525" s="68">
        <v>45428</v>
      </c>
      <c r="P1525" s="68">
        <v>45428</v>
      </c>
      <c r="Q1525" s="57">
        <v>237.33878890382377</v>
      </c>
      <c r="R1525" t="s">
        <v>3112</v>
      </c>
    </row>
    <row r="1526" spans="1:18">
      <c r="A1526">
        <v>2547</v>
      </c>
      <c r="B1526" t="s">
        <v>4202</v>
      </c>
      <c r="C1526" t="s">
        <v>0</v>
      </c>
      <c r="D1526" t="s">
        <v>4187</v>
      </c>
      <c r="I1526" t="s">
        <v>1434</v>
      </c>
      <c r="J1526">
        <v>1</v>
      </c>
      <c r="K1526" t="s">
        <v>313</v>
      </c>
      <c r="L1526" s="67">
        <v>0</v>
      </c>
      <c r="M1526" t="s">
        <v>4</v>
      </c>
      <c r="N1526" s="67" t="s">
        <v>8</v>
      </c>
      <c r="O1526" s="68">
        <v>45428</v>
      </c>
      <c r="P1526" s="68">
        <v>45428</v>
      </c>
      <c r="Q1526" s="57">
        <v>237.33878890382377</v>
      </c>
      <c r="R1526" t="s">
        <v>3112</v>
      </c>
    </row>
    <row r="1527" spans="1:18">
      <c r="A1527">
        <v>2548</v>
      </c>
      <c r="B1527" t="s">
        <v>4204</v>
      </c>
      <c r="C1527" t="s">
        <v>7</v>
      </c>
      <c r="D1527" t="s">
        <v>4203</v>
      </c>
      <c r="I1527" t="s">
        <v>24</v>
      </c>
      <c r="J1527">
        <v>2</v>
      </c>
      <c r="K1527" t="s">
        <v>313</v>
      </c>
      <c r="L1527" s="67">
        <v>0</v>
      </c>
      <c r="M1527" t="s">
        <v>4</v>
      </c>
      <c r="N1527" s="67" t="s">
        <v>8</v>
      </c>
      <c r="O1527" s="68">
        <v>45428</v>
      </c>
      <c r="P1527" s="68">
        <v>45428</v>
      </c>
      <c r="Q1527" s="57">
        <v>2610.7266779420611</v>
      </c>
      <c r="R1527" t="s">
        <v>3112</v>
      </c>
    </row>
    <row r="1528" spans="1:18">
      <c r="A1528">
        <v>2549</v>
      </c>
      <c r="B1528" t="s">
        <v>4205</v>
      </c>
      <c r="C1528" t="s">
        <v>7</v>
      </c>
      <c r="D1528" t="s">
        <v>4203</v>
      </c>
      <c r="I1528" t="s">
        <v>24</v>
      </c>
      <c r="J1528">
        <v>2</v>
      </c>
      <c r="K1528" t="s">
        <v>313</v>
      </c>
      <c r="L1528" s="67">
        <v>0</v>
      </c>
      <c r="M1528" t="s">
        <v>4</v>
      </c>
      <c r="N1528" s="67" t="s">
        <v>8</v>
      </c>
      <c r="O1528" s="68">
        <v>45428</v>
      </c>
      <c r="P1528" s="68">
        <v>45428</v>
      </c>
      <c r="Q1528" s="57">
        <v>2610.7266779420611</v>
      </c>
      <c r="R1528" t="s">
        <v>3112</v>
      </c>
    </row>
    <row r="1529" spans="1:18">
      <c r="A1529">
        <v>2550</v>
      </c>
      <c r="B1529" t="s">
        <v>4206</v>
      </c>
      <c r="C1529" t="s">
        <v>0</v>
      </c>
      <c r="D1529" t="s">
        <v>2350</v>
      </c>
      <c r="I1529" t="s">
        <v>2341</v>
      </c>
      <c r="J1529">
        <v>1</v>
      </c>
      <c r="K1529" t="s">
        <v>313</v>
      </c>
      <c r="L1529" s="67">
        <v>0</v>
      </c>
      <c r="M1529" t="s">
        <v>4</v>
      </c>
      <c r="N1529" s="67" t="s">
        <v>8</v>
      </c>
      <c r="O1529" s="68">
        <v>45429</v>
      </c>
      <c r="P1529" s="68">
        <v>45429</v>
      </c>
      <c r="Q1529" s="57">
        <v>303.29694155040312</v>
      </c>
      <c r="R1529" t="s">
        <v>3112</v>
      </c>
    </row>
    <row r="1530" spans="1:18">
      <c r="A1530">
        <v>2551</v>
      </c>
      <c r="B1530" t="s">
        <v>4210</v>
      </c>
      <c r="C1530" t="s">
        <v>0</v>
      </c>
      <c r="D1530" t="s">
        <v>4208</v>
      </c>
      <c r="I1530" t="s">
        <v>1046</v>
      </c>
      <c r="J1530">
        <v>1</v>
      </c>
      <c r="K1530" t="s">
        <v>313</v>
      </c>
      <c r="L1530" s="67">
        <v>0.03</v>
      </c>
      <c r="M1530" t="s">
        <v>4</v>
      </c>
      <c r="N1530" s="67" t="s">
        <v>8</v>
      </c>
      <c r="O1530" s="68">
        <v>45429</v>
      </c>
      <c r="P1530" s="68">
        <v>45429</v>
      </c>
      <c r="Q1530" s="57">
        <v>181.97816493024186</v>
      </c>
      <c r="R1530" t="s">
        <v>3112</v>
      </c>
    </row>
    <row r="1531" spans="1:18">
      <c r="A1531">
        <v>2552</v>
      </c>
      <c r="B1531" t="s">
        <v>4211</v>
      </c>
      <c r="C1531" t="s">
        <v>0</v>
      </c>
      <c r="D1531" t="s">
        <v>4208</v>
      </c>
      <c r="I1531" t="s">
        <v>1046</v>
      </c>
      <c r="J1531">
        <v>1</v>
      </c>
      <c r="K1531" t="s">
        <v>313</v>
      </c>
      <c r="L1531" s="67">
        <v>0.03</v>
      </c>
      <c r="M1531" t="s">
        <v>4</v>
      </c>
      <c r="N1531" s="67" t="s">
        <v>8</v>
      </c>
      <c r="O1531" s="68">
        <v>45429</v>
      </c>
      <c r="P1531" s="68">
        <v>45429</v>
      </c>
      <c r="Q1531" s="57">
        <v>181.97816493024186</v>
      </c>
      <c r="R1531" t="s">
        <v>3112</v>
      </c>
    </row>
    <row r="1532" spans="1:18">
      <c r="A1532">
        <v>2553</v>
      </c>
      <c r="B1532" t="s">
        <v>4212</v>
      </c>
      <c r="C1532" t="s">
        <v>0</v>
      </c>
      <c r="D1532" t="s">
        <v>4208</v>
      </c>
      <c r="I1532" t="s">
        <v>1046</v>
      </c>
      <c r="J1532">
        <v>1</v>
      </c>
      <c r="K1532" t="s">
        <v>313</v>
      </c>
      <c r="L1532" s="67">
        <v>0.03</v>
      </c>
      <c r="M1532" t="s">
        <v>4</v>
      </c>
      <c r="N1532" s="67" t="s">
        <v>8</v>
      </c>
      <c r="O1532" s="68">
        <v>45429</v>
      </c>
      <c r="P1532" s="68">
        <v>45429</v>
      </c>
      <c r="Q1532" s="57">
        <v>181.97816493024186</v>
      </c>
      <c r="R1532" t="s">
        <v>3112</v>
      </c>
    </row>
    <row r="1533" spans="1:18">
      <c r="A1533">
        <v>2554</v>
      </c>
      <c r="B1533" t="s">
        <v>4221</v>
      </c>
      <c r="C1533" t="s">
        <v>0</v>
      </c>
      <c r="D1533" t="s">
        <v>2823</v>
      </c>
      <c r="I1533" t="s">
        <v>1434</v>
      </c>
      <c r="J1533">
        <v>1</v>
      </c>
      <c r="K1533" t="s">
        <v>313</v>
      </c>
      <c r="L1533" s="67">
        <v>0</v>
      </c>
      <c r="M1533" t="s">
        <v>4</v>
      </c>
      <c r="N1533" s="67" t="s">
        <v>8</v>
      </c>
      <c r="O1533" s="68">
        <v>45429</v>
      </c>
      <c r="P1533" s="68">
        <v>45429</v>
      </c>
      <c r="Q1533" s="57">
        <v>6764.1554837589765</v>
      </c>
      <c r="R1533" t="s">
        <v>3112</v>
      </c>
    </row>
    <row r="1534" spans="1:18">
      <c r="A1534">
        <v>2555</v>
      </c>
      <c r="B1534" t="s">
        <v>4222</v>
      </c>
      <c r="C1534" t="s">
        <v>0</v>
      </c>
      <c r="D1534" t="s">
        <v>2823</v>
      </c>
      <c r="I1534" t="s">
        <v>1434</v>
      </c>
      <c r="J1534">
        <v>1</v>
      </c>
      <c r="K1534" t="s">
        <v>313</v>
      </c>
      <c r="L1534" s="67">
        <v>0</v>
      </c>
      <c r="M1534" t="s">
        <v>4</v>
      </c>
      <c r="N1534" s="67" t="s">
        <v>8</v>
      </c>
      <c r="O1534" s="68">
        <v>45429</v>
      </c>
      <c r="P1534" s="68">
        <v>45429</v>
      </c>
      <c r="Q1534" s="57">
        <v>6764.1554837589765</v>
      </c>
      <c r="R1534" t="s">
        <v>3112</v>
      </c>
    </row>
    <row r="1535" spans="1:18">
      <c r="A1535">
        <v>2556</v>
      </c>
      <c r="B1535" t="s">
        <v>4224</v>
      </c>
      <c r="C1535" t="s">
        <v>0</v>
      </c>
      <c r="D1535" t="s">
        <v>4223</v>
      </c>
      <c r="I1535" t="s">
        <v>1434</v>
      </c>
      <c r="J1535">
        <v>1</v>
      </c>
      <c r="K1535" t="s">
        <v>313</v>
      </c>
      <c r="L1535" s="67">
        <v>0</v>
      </c>
      <c r="M1535" t="s">
        <v>4</v>
      </c>
      <c r="N1535" s="67" t="s">
        <v>8</v>
      </c>
      <c r="O1535" s="68">
        <v>45429</v>
      </c>
      <c r="P1535" s="68">
        <v>45429</v>
      </c>
      <c r="Q1535" s="57">
        <v>6764.1554837589765</v>
      </c>
      <c r="R1535" t="s">
        <v>3112</v>
      </c>
    </row>
    <row r="1536" spans="1:18">
      <c r="A1536">
        <v>2557</v>
      </c>
      <c r="B1536" t="s">
        <v>4227</v>
      </c>
      <c r="C1536" t="s">
        <v>0</v>
      </c>
      <c r="D1536" t="s">
        <v>4225</v>
      </c>
      <c r="I1536" t="s">
        <v>4226</v>
      </c>
      <c r="J1536">
        <v>1</v>
      </c>
      <c r="K1536" t="s">
        <v>313</v>
      </c>
      <c r="L1536" s="67">
        <v>0</v>
      </c>
      <c r="M1536" t="s">
        <v>4</v>
      </c>
      <c r="N1536" s="67" t="s">
        <v>8</v>
      </c>
      <c r="O1536" s="68">
        <v>45432</v>
      </c>
      <c r="P1536" s="68">
        <v>45432</v>
      </c>
      <c r="Q1536" s="57">
        <v>363.95632986048372</v>
      </c>
      <c r="R1536" t="s">
        <v>3112</v>
      </c>
    </row>
    <row r="1537" spans="1:18">
      <c r="A1537">
        <v>2558</v>
      </c>
      <c r="B1537" t="s">
        <v>4228</v>
      </c>
      <c r="C1537" t="s">
        <v>0</v>
      </c>
      <c r="D1537" t="s">
        <v>4225</v>
      </c>
      <c r="I1537" t="s">
        <v>4226</v>
      </c>
      <c r="J1537">
        <v>1</v>
      </c>
      <c r="K1537" t="s">
        <v>313</v>
      </c>
      <c r="L1537" s="67">
        <v>0</v>
      </c>
      <c r="M1537" t="s">
        <v>4</v>
      </c>
      <c r="N1537" s="67" t="s">
        <v>8</v>
      </c>
      <c r="O1537" s="68">
        <v>45432</v>
      </c>
      <c r="P1537" s="68">
        <v>45432</v>
      </c>
      <c r="Q1537" s="57">
        <v>363.95632986048372</v>
      </c>
      <c r="R1537" t="s">
        <v>3112</v>
      </c>
    </row>
    <row r="1538" spans="1:18">
      <c r="A1538">
        <v>2559</v>
      </c>
      <c r="B1538" t="s">
        <v>4230</v>
      </c>
      <c r="C1538" t="s">
        <v>0</v>
      </c>
      <c r="D1538" t="s">
        <v>4229</v>
      </c>
      <c r="I1538" t="s">
        <v>1434</v>
      </c>
      <c r="J1538">
        <v>1</v>
      </c>
      <c r="K1538" t="s">
        <v>313</v>
      </c>
      <c r="L1538" s="67">
        <v>0.03</v>
      </c>
      <c r="M1538" t="s">
        <v>4</v>
      </c>
      <c r="N1538" s="67" t="s">
        <v>8</v>
      </c>
      <c r="O1538" s="68">
        <v>45432</v>
      </c>
      <c r="P1538" s="68">
        <v>45432</v>
      </c>
      <c r="Q1538" s="57">
        <v>3382.0777418794883</v>
      </c>
      <c r="R1538" t="s">
        <v>3112</v>
      </c>
    </row>
    <row r="1539" spans="1:18">
      <c r="A1539">
        <v>2560</v>
      </c>
      <c r="B1539" t="s">
        <v>4231</v>
      </c>
      <c r="C1539" t="s">
        <v>0</v>
      </c>
      <c r="D1539" t="s">
        <v>4229</v>
      </c>
      <c r="I1539" t="s">
        <v>1434</v>
      </c>
      <c r="J1539">
        <v>1</v>
      </c>
      <c r="K1539" t="s">
        <v>313</v>
      </c>
      <c r="L1539" s="67">
        <v>0.03</v>
      </c>
      <c r="M1539" t="s">
        <v>4</v>
      </c>
      <c r="N1539" s="67" t="s">
        <v>8</v>
      </c>
      <c r="O1539" s="68">
        <v>45432</v>
      </c>
      <c r="P1539" s="68">
        <v>45432</v>
      </c>
      <c r="Q1539" s="57">
        <v>3382.0777418794883</v>
      </c>
      <c r="R1539" t="s">
        <v>3112</v>
      </c>
    </row>
    <row r="1540" spans="1:18">
      <c r="A1540">
        <v>2561</v>
      </c>
      <c r="B1540" t="s">
        <v>4234</v>
      </c>
      <c r="C1540" t="s">
        <v>0</v>
      </c>
      <c r="D1540" t="s">
        <v>4233</v>
      </c>
      <c r="I1540" t="s">
        <v>4232</v>
      </c>
      <c r="J1540">
        <v>1</v>
      </c>
      <c r="K1540" t="s">
        <v>313</v>
      </c>
      <c r="L1540" s="67">
        <v>0.01</v>
      </c>
      <c r="M1540" t="s">
        <v>4</v>
      </c>
      <c r="N1540" s="67" t="s">
        <v>8</v>
      </c>
      <c r="O1540" s="68">
        <v>45432</v>
      </c>
      <c r="P1540" s="68">
        <v>45432</v>
      </c>
      <c r="Q1540" s="57">
        <v>606.59388310080624</v>
      </c>
      <c r="R1540" t="s">
        <v>3112</v>
      </c>
    </row>
    <row r="1541" spans="1:18">
      <c r="A1541">
        <v>2562</v>
      </c>
      <c r="B1541" t="s">
        <v>4236</v>
      </c>
      <c r="C1541" t="s">
        <v>0</v>
      </c>
      <c r="D1541" t="s">
        <v>4235</v>
      </c>
      <c r="I1541" t="s">
        <v>2503</v>
      </c>
      <c r="J1541">
        <v>1</v>
      </c>
      <c r="K1541" t="s">
        <v>313</v>
      </c>
      <c r="L1541" s="67">
        <v>0.01</v>
      </c>
      <c r="M1541" t="s">
        <v>4</v>
      </c>
      <c r="N1541" s="67" t="s">
        <v>8</v>
      </c>
      <c r="O1541" s="68">
        <v>45434</v>
      </c>
      <c r="P1541" s="68">
        <v>45434</v>
      </c>
      <c r="Q1541" s="57">
        <v>257.80989382039127</v>
      </c>
      <c r="R1541" t="s">
        <v>3112</v>
      </c>
    </row>
    <row r="1542" spans="1:18">
      <c r="A1542">
        <v>2563</v>
      </c>
      <c r="B1542" t="s">
        <v>4238</v>
      </c>
      <c r="C1542" t="s">
        <v>7</v>
      </c>
      <c r="D1542" t="s">
        <v>4237</v>
      </c>
      <c r="I1542" t="s">
        <v>24</v>
      </c>
      <c r="J1542">
        <v>2</v>
      </c>
      <c r="K1542" t="s">
        <v>313</v>
      </c>
      <c r="L1542" s="67">
        <v>0.01</v>
      </c>
      <c r="M1542" t="s">
        <v>4</v>
      </c>
      <c r="N1542" s="67" t="s">
        <v>8</v>
      </c>
      <c r="O1542" s="68">
        <v>45434</v>
      </c>
      <c r="P1542" s="68">
        <v>45434</v>
      </c>
      <c r="Q1542" s="57">
        <v>15427.021278748545</v>
      </c>
      <c r="R1542" t="s">
        <v>3112</v>
      </c>
    </row>
    <row r="1543" spans="1:18">
      <c r="A1543">
        <v>2564</v>
      </c>
      <c r="B1543" t="s">
        <v>4239</v>
      </c>
      <c r="C1543" t="s">
        <v>7</v>
      </c>
      <c r="D1543" t="s">
        <v>4237</v>
      </c>
      <c r="I1543" t="s">
        <v>24</v>
      </c>
      <c r="J1543">
        <v>2</v>
      </c>
      <c r="K1543" t="s">
        <v>313</v>
      </c>
      <c r="L1543" s="67">
        <v>0.01</v>
      </c>
      <c r="M1543" t="s">
        <v>4</v>
      </c>
      <c r="N1543" s="67" t="s">
        <v>8</v>
      </c>
      <c r="O1543" s="68">
        <v>45434</v>
      </c>
      <c r="P1543" s="68">
        <v>45434</v>
      </c>
      <c r="Q1543" s="57">
        <v>15427.021278748545</v>
      </c>
      <c r="R1543" t="s">
        <v>3112</v>
      </c>
    </row>
    <row r="1544" spans="1:18">
      <c r="A1544">
        <v>2565</v>
      </c>
      <c r="B1544" t="s">
        <v>4241</v>
      </c>
      <c r="C1544" t="s">
        <v>0</v>
      </c>
      <c r="D1544" t="s">
        <v>4240</v>
      </c>
      <c r="I1544" t="s">
        <v>1915</v>
      </c>
      <c r="J1544">
        <v>1</v>
      </c>
      <c r="K1544" t="s">
        <v>313</v>
      </c>
      <c r="L1544" s="67">
        <v>0</v>
      </c>
      <c r="M1544" t="s">
        <v>4</v>
      </c>
      <c r="N1544" s="67" t="s">
        <v>8</v>
      </c>
      <c r="O1544" s="68">
        <v>45435</v>
      </c>
      <c r="P1544" s="68">
        <v>45435</v>
      </c>
      <c r="Q1544" s="57">
        <v>681.5742551955376</v>
      </c>
      <c r="R1544" t="s">
        <v>3112</v>
      </c>
    </row>
    <row r="1545" spans="1:18">
      <c r="A1545">
        <v>2566</v>
      </c>
      <c r="B1545" t="s">
        <v>4243</v>
      </c>
      <c r="C1545" t="s">
        <v>10</v>
      </c>
      <c r="I1545" t="s">
        <v>4242</v>
      </c>
      <c r="J1545">
        <v>2</v>
      </c>
      <c r="K1545" t="s">
        <v>313</v>
      </c>
      <c r="L1545" s="67">
        <v>0</v>
      </c>
      <c r="M1545" t="s">
        <v>4</v>
      </c>
      <c r="N1545" s="67" t="s">
        <v>8</v>
      </c>
      <c r="O1545" s="68">
        <v>45435</v>
      </c>
      <c r="P1545" s="68">
        <v>45435</v>
      </c>
      <c r="Q1545" s="57">
        <v>29989.267228603643</v>
      </c>
      <c r="R1545" t="s">
        <v>3112</v>
      </c>
    </row>
    <row r="1546" spans="1:18">
      <c r="A1546">
        <v>2567</v>
      </c>
      <c r="B1546" t="s">
        <v>4245</v>
      </c>
      <c r="C1546" t="s">
        <v>7</v>
      </c>
      <c r="D1546" t="s">
        <v>4244</v>
      </c>
      <c r="I1546" t="s">
        <v>3590</v>
      </c>
      <c r="J1546">
        <v>2</v>
      </c>
      <c r="K1546" t="s">
        <v>313</v>
      </c>
      <c r="L1546" s="67">
        <v>0</v>
      </c>
      <c r="M1546" t="s">
        <v>4</v>
      </c>
      <c r="N1546" s="67" t="s">
        <v>8</v>
      </c>
      <c r="O1546" s="68">
        <v>45435</v>
      </c>
      <c r="P1546" s="68">
        <v>45435</v>
      </c>
      <c r="Q1546" s="57">
        <v>2017.3797056825017</v>
      </c>
      <c r="R1546" t="s">
        <v>3112</v>
      </c>
    </row>
    <row r="1547" spans="1:18">
      <c r="A1547">
        <v>2568</v>
      </c>
      <c r="B1547" t="s">
        <v>4248</v>
      </c>
      <c r="C1547" t="s">
        <v>0</v>
      </c>
      <c r="D1547" t="s">
        <v>4247</v>
      </c>
      <c r="I1547" t="s">
        <v>4246</v>
      </c>
      <c r="J1547">
        <v>1</v>
      </c>
      <c r="K1547" t="s">
        <v>313</v>
      </c>
      <c r="L1547" s="67">
        <v>0</v>
      </c>
      <c r="M1547" t="s">
        <v>4</v>
      </c>
      <c r="N1547" s="67" t="s">
        <v>8</v>
      </c>
      <c r="O1547" s="68">
        <v>45435</v>
      </c>
      <c r="P1547" s="68">
        <v>45435</v>
      </c>
      <c r="Q1547" s="57">
        <v>363.95632986048372</v>
      </c>
      <c r="R1547" t="s">
        <v>3112</v>
      </c>
    </row>
    <row r="1548" spans="1:18">
      <c r="A1548">
        <v>2569</v>
      </c>
      <c r="B1548" t="s">
        <v>4251</v>
      </c>
      <c r="C1548" t="s">
        <v>7</v>
      </c>
      <c r="D1548" t="s">
        <v>4250</v>
      </c>
      <c r="I1548" t="s">
        <v>4249</v>
      </c>
      <c r="J1548">
        <v>1</v>
      </c>
      <c r="K1548" t="s">
        <v>313</v>
      </c>
      <c r="L1548" s="67">
        <v>0.01</v>
      </c>
      <c r="M1548" t="s">
        <v>4</v>
      </c>
      <c r="N1548" s="67" t="s">
        <v>8</v>
      </c>
      <c r="O1548" s="68">
        <v>45439</v>
      </c>
      <c r="P1548" s="68">
        <v>45439</v>
      </c>
      <c r="Q1548" s="57">
        <v>1008.6898528412509</v>
      </c>
      <c r="R1548" t="s">
        <v>3112</v>
      </c>
    </row>
    <row r="1549" spans="1:18">
      <c r="A1549">
        <v>2570</v>
      </c>
      <c r="B1549" t="s">
        <v>4253</v>
      </c>
      <c r="C1549" t="s">
        <v>0</v>
      </c>
      <c r="D1549" t="s">
        <v>4252</v>
      </c>
      <c r="I1549" t="s">
        <v>3590</v>
      </c>
      <c r="J1549">
        <v>1</v>
      </c>
      <c r="K1549" t="s">
        <v>313</v>
      </c>
      <c r="L1549" s="67">
        <v>0.01</v>
      </c>
      <c r="M1549" t="s">
        <v>4</v>
      </c>
      <c r="N1549" s="67" t="s">
        <v>8</v>
      </c>
      <c r="O1549" s="68">
        <v>45439</v>
      </c>
      <c r="P1549" s="68">
        <v>45439</v>
      </c>
      <c r="Q1549" s="57">
        <v>771.35106393742717</v>
      </c>
      <c r="R1549" t="s">
        <v>3112</v>
      </c>
    </row>
    <row r="1550" spans="1:18">
      <c r="A1550">
        <v>2571</v>
      </c>
      <c r="B1550" t="s">
        <v>4254</v>
      </c>
      <c r="C1550" t="s">
        <v>0</v>
      </c>
      <c r="I1550" t="s">
        <v>1434</v>
      </c>
      <c r="J1550">
        <v>1</v>
      </c>
      <c r="K1550" t="s">
        <v>313</v>
      </c>
      <c r="L1550" s="67">
        <v>0.01</v>
      </c>
      <c r="M1550" t="s">
        <v>4</v>
      </c>
      <c r="N1550" s="67" t="s">
        <v>8</v>
      </c>
      <c r="O1550" s="68">
        <v>45439</v>
      </c>
      <c r="P1550" s="68">
        <v>45439</v>
      </c>
      <c r="Q1550" s="57">
        <v>474.67757780764754</v>
      </c>
      <c r="R1550" t="s">
        <v>3112</v>
      </c>
    </row>
    <row r="1551" spans="1:18">
      <c r="A1551">
        <v>2572</v>
      </c>
      <c r="B1551" t="s">
        <v>4256</v>
      </c>
      <c r="C1551" t="s">
        <v>0</v>
      </c>
      <c r="D1551" t="s">
        <v>4255</v>
      </c>
      <c r="I1551" t="s">
        <v>1434</v>
      </c>
      <c r="J1551">
        <v>1</v>
      </c>
      <c r="K1551" t="s">
        <v>313</v>
      </c>
      <c r="L1551" s="67">
        <v>0.02</v>
      </c>
      <c r="M1551" t="s">
        <v>4</v>
      </c>
      <c r="N1551" s="67" t="s">
        <v>8</v>
      </c>
      <c r="O1551" s="68">
        <v>45440</v>
      </c>
      <c r="P1551" s="68">
        <v>45440</v>
      </c>
      <c r="Q1551" s="57">
        <v>1720.7062195527224</v>
      </c>
      <c r="R1551" t="s">
        <v>3112</v>
      </c>
    </row>
    <row r="1552" spans="1:18">
      <c r="A1552">
        <v>2573</v>
      </c>
      <c r="B1552" t="s">
        <v>4258</v>
      </c>
      <c r="C1552" t="s">
        <v>0</v>
      </c>
      <c r="D1552" t="s">
        <v>4257</v>
      </c>
      <c r="I1552" t="s">
        <v>135</v>
      </c>
      <c r="J1552">
        <v>1</v>
      </c>
      <c r="K1552" t="s">
        <v>313</v>
      </c>
      <c r="L1552" s="67">
        <v>0.05</v>
      </c>
      <c r="M1552" t="s">
        <v>4</v>
      </c>
      <c r="N1552" s="67" t="s">
        <v>8</v>
      </c>
      <c r="O1552" s="68">
        <v>45441</v>
      </c>
      <c r="P1552" s="68">
        <v>45441</v>
      </c>
      <c r="Q1552" s="57">
        <v>382.18671987916417</v>
      </c>
      <c r="R1552" t="s">
        <v>3112</v>
      </c>
    </row>
    <row r="1553" spans="1:18">
      <c r="A1553">
        <v>2574</v>
      </c>
      <c r="B1553" t="s">
        <v>4259</v>
      </c>
      <c r="C1553" t="s">
        <v>0</v>
      </c>
      <c r="D1553" t="s">
        <v>4257</v>
      </c>
      <c r="I1553" t="s">
        <v>135</v>
      </c>
      <c r="J1553">
        <v>1</v>
      </c>
      <c r="K1553" t="s">
        <v>313</v>
      </c>
      <c r="L1553" s="67">
        <v>0.05</v>
      </c>
      <c r="M1553" t="s">
        <v>4</v>
      </c>
      <c r="N1553" s="67" t="s">
        <v>8</v>
      </c>
      <c r="O1553" s="68">
        <v>45441</v>
      </c>
      <c r="P1553" s="68">
        <v>45441</v>
      </c>
      <c r="Q1553" s="57">
        <v>382.18671987916417</v>
      </c>
      <c r="R1553" t="s">
        <v>3112</v>
      </c>
    </row>
    <row r="1554" spans="1:18">
      <c r="A1554">
        <v>2575</v>
      </c>
      <c r="B1554" t="s">
        <v>4261</v>
      </c>
      <c r="C1554" t="s">
        <v>0</v>
      </c>
      <c r="D1554" t="s">
        <v>4260</v>
      </c>
      <c r="I1554" t="s">
        <v>3590</v>
      </c>
      <c r="J1554">
        <v>3</v>
      </c>
      <c r="K1554" t="s">
        <v>313</v>
      </c>
      <c r="L1554" s="67">
        <v>0.01</v>
      </c>
      <c r="M1554" t="s">
        <v>4</v>
      </c>
      <c r="N1554" s="67" t="s">
        <v>8</v>
      </c>
      <c r="O1554" s="68">
        <v>45441</v>
      </c>
      <c r="P1554" s="68">
        <v>45441</v>
      </c>
      <c r="Q1554" s="57">
        <v>1127.3592472931628</v>
      </c>
      <c r="R1554" t="s">
        <v>3112</v>
      </c>
    </row>
    <row r="1555" spans="1:18">
      <c r="A1555">
        <v>2576</v>
      </c>
      <c r="B1555" t="s">
        <v>4263</v>
      </c>
      <c r="C1555" t="s">
        <v>0</v>
      </c>
      <c r="D1555" t="s">
        <v>4262</v>
      </c>
      <c r="I1555" t="s">
        <v>2503</v>
      </c>
      <c r="J1555">
        <v>2</v>
      </c>
      <c r="K1555" t="s">
        <v>313</v>
      </c>
      <c r="L1555" s="67">
        <v>0.01</v>
      </c>
      <c r="M1555" t="s">
        <v>4</v>
      </c>
      <c r="N1555" s="67" t="s">
        <v>8</v>
      </c>
      <c r="O1555" s="68">
        <v>45441</v>
      </c>
      <c r="P1555" s="68">
        <v>45441</v>
      </c>
      <c r="Q1555" s="57">
        <v>2513.6464647488151</v>
      </c>
      <c r="R1555" t="s">
        <v>3112</v>
      </c>
    </row>
    <row r="1556" spans="1:18">
      <c r="A1556">
        <v>2577</v>
      </c>
      <c r="B1556" t="s">
        <v>4265</v>
      </c>
      <c r="C1556" t="s">
        <v>0</v>
      </c>
      <c r="D1556" t="s">
        <v>4264</v>
      </c>
      <c r="I1556" t="s">
        <v>1272</v>
      </c>
      <c r="J1556">
        <v>1</v>
      </c>
      <c r="K1556" t="s">
        <v>313</v>
      </c>
      <c r="L1556" s="67">
        <v>0.01</v>
      </c>
      <c r="M1556" t="s">
        <v>4</v>
      </c>
      <c r="N1556" s="67" t="s">
        <v>8</v>
      </c>
      <c r="O1556" s="68">
        <v>45441</v>
      </c>
      <c r="P1556" s="68">
        <v>45441</v>
      </c>
      <c r="Q1556" s="57">
        <v>118.66939445191188</v>
      </c>
      <c r="R1556" t="s">
        <v>3112</v>
      </c>
    </row>
    <row r="1557" spans="1:18">
      <c r="A1557">
        <v>2578</v>
      </c>
      <c r="B1557" t="s">
        <v>4266</v>
      </c>
      <c r="C1557" t="s">
        <v>0</v>
      </c>
      <c r="D1557" t="s">
        <v>4097</v>
      </c>
      <c r="I1557" t="s">
        <v>2503</v>
      </c>
      <c r="J1557">
        <v>4</v>
      </c>
      <c r="K1557" t="s">
        <v>313</v>
      </c>
      <c r="L1557" s="67">
        <v>1.6E-2</v>
      </c>
      <c r="M1557" t="s">
        <v>4</v>
      </c>
      <c r="N1557" s="67" t="s">
        <v>8</v>
      </c>
      <c r="O1557" s="68">
        <v>45443</v>
      </c>
      <c r="P1557" s="68">
        <v>45443</v>
      </c>
      <c r="Q1557" s="57">
        <v>1031.2395752815651</v>
      </c>
      <c r="R1557" t="s">
        <v>3112</v>
      </c>
    </row>
    <row r="1558" spans="1:18">
      <c r="A1558">
        <v>2579</v>
      </c>
      <c r="B1558" t="s">
        <v>4268</v>
      </c>
      <c r="C1558" t="s">
        <v>0</v>
      </c>
      <c r="D1558" t="s">
        <v>4267</v>
      </c>
      <c r="I1558" t="s">
        <v>1434</v>
      </c>
      <c r="J1558">
        <v>2</v>
      </c>
      <c r="K1558" t="s">
        <v>313</v>
      </c>
      <c r="L1558" s="67">
        <v>0.03</v>
      </c>
      <c r="M1558" t="s">
        <v>4</v>
      </c>
      <c r="N1558" s="67" t="s">
        <v>8</v>
      </c>
      <c r="O1558" s="68">
        <v>45443</v>
      </c>
      <c r="P1558" s="68">
        <v>45443</v>
      </c>
      <c r="Q1558" s="57">
        <v>7594.8412449223606</v>
      </c>
      <c r="R1558" t="s">
        <v>3112</v>
      </c>
    </row>
    <row r="1559" spans="1:18">
      <c r="A1559">
        <v>2580</v>
      </c>
      <c r="B1559" t="s">
        <v>4270</v>
      </c>
      <c r="C1559" t="s">
        <v>0</v>
      </c>
      <c r="D1559" t="s">
        <v>4269</v>
      </c>
      <c r="I1559" t="s">
        <v>715</v>
      </c>
      <c r="J1559">
        <v>1</v>
      </c>
      <c r="K1559" t="s">
        <v>313</v>
      </c>
      <c r="L1559" s="67">
        <v>0.05</v>
      </c>
      <c r="M1559" t="s">
        <v>4</v>
      </c>
      <c r="N1559" s="67" t="s">
        <v>8</v>
      </c>
      <c r="O1559" s="68">
        <v>45443</v>
      </c>
      <c r="P1559" s="68">
        <v>45443</v>
      </c>
      <c r="Q1559" s="57">
        <v>363.95632986048372</v>
      </c>
      <c r="R1559" t="s">
        <v>3112</v>
      </c>
    </row>
    <row r="1560" spans="1:18">
      <c r="A1560">
        <v>2581</v>
      </c>
      <c r="B1560" t="s">
        <v>4273</v>
      </c>
      <c r="C1560" t="s">
        <v>0</v>
      </c>
      <c r="D1560" t="s">
        <v>4272</v>
      </c>
      <c r="I1560" t="s">
        <v>4271</v>
      </c>
      <c r="J1560">
        <v>1</v>
      </c>
      <c r="K1560" t="s">
        <v>313</v>
      </c>
      <c r="L1560" s="67">
        <v>0</v>
      </c>
      <c r="M1560" t="s">
        <v>4</v>
      </c>
      <c r="N1560" s="67" t="s">
        <v>8</v>
      </c>
      <c r="O1560" s="68">
        <v>45443</v>
      </c>
      <c r="P1560" s="68">
        <v>45443</v>
      </c>
      <c r="Q1560" s="57">
        <v>708.97720800607578</v>
      </c>
      <c r="R1560" t="s">
        <v>3112</v>
      </c>
    </row>
    <row r="1561" spans="1:18">
      <c r="A1561">
        <v>2582</v>
      </c>
      <c r="B1561" t="s">
        <v>4274</v>
      </c>
      <c r="C1561" t="s">
        <v>0</v>
      </c>
      <c r="D1561" t="s">
        <v>4097</v>
      </c>
      <c r="I1561" t="s">
        <v>2503</v>
      </c>
      <c r="J1561">
        <v>5</v>
      </c>
      <c r="K1561" t="s">
        <v>313</v>
      </c>
      <c r="L1561" s="67">
        <v>0</v>
      </c>
      <c r="M1561" t="s">
        <v>4</v>
      </c>
      <c r="N1561" s="67" t="s">
        <v>8</v>
      </c>
      <c r="O1561" s="68">
        <v>45443</v>
      </c>
      <c r="P1561" s="68">
        <v>45443</v>
      </c>
      <c r="Q1561" s="57">
        <v>1289.0494691019564</v>
      </c>
      <c r="R1561" t="s">
        <v>3112</v>
      </c>
    </row>
    <row r="1562" spans="1:18">
      <c r="A1562">
        <v>2583</v>
      </c>
      <c r="B1562" t="s">
        <v>4275</v>
      </c>
      <c r="C1562" t="s">
        <v>0</v>
      </c>
      <c r="D1562" t="s">
        <v>4097</v>
      </c>
      <c r="I1562" t="s">
        <v>2503</v>
      </c>
      <c r="J1562">
        <v>5</v>
      </c>
      <c r="K1562" t="s">
        <v>313</v>
      </c>
      <c r="L1562" s="67">
        <v>0.01</v>
      </c>
      <c r="M1562" t="s">
        <v>4</v>
      </c>
      <c r="N1562" s="67" t="s">
        <v>8</v>
      </c>
      <c r="O1562" s="68">
        <v>45443</v>
      </c>
      <c r="P1562" s="68">
        <v>45443</v>
      </c>
      <c r="Q1562" s="57">
        <v>1289.0494691019564</v>
      </c>
      <c r="R1562" t="s">
        <v>3112</v>
      </c>
    </row>
    <row r="1563" spans="1:18">
      <c r="A1563">
        <v>2584</v>
      </c>
      <c r="B1563" t="s">
        <v>4277</v>
      </c>
      <c r="C1563" t="s">
        <v>0</v>
      </c>
      <c r="D1563" t="s">
        <v>4276</v>
      </c>
      <c r="I1563" t="s">
        <v>1012</v>
      </c>
      <c r="J1563">
        <v>1</v>
      </c>
      <c r="K1563" t="s">
        <v>313</v>
      </c>
      <c r="L1563" s="67">
        <v>0.03</v>
      </c>
      <c r="M1563" t="s">
        <v>4</v>
      </c>
      <c r="N1563" s="67" t="s">
        <v>8</v>
      </c>
      <c r="O1563" s="68">
        <v>45447</v>
      </c>
      <c r="P1563" s="68">
        <v>45447</v>
      </c>
      <c r="Q1563" s="57">
        <v>181.97816493024186</v>
      </c>
      <c r="R1563" t="s">
        <v>3112</v>
      </c>
    </row>
    <row r="1564" spans="1:18">
      <c r="A1564">
        <v>2585</v>
      </c>
      <c r="B1564" t="s">
        <v>4279</v>
      </c>
      <c r="C1564" t="s">
        <v>0</v>
      </c>
      <c r="D1564" t="s">
        <v>4278</v>
      </c>
      <c r="I1564" t="s">
        <v>4038</v>
      </c>
      <c r="J1564">
        <v>1</v>
      </c>
      <c r="K1564" t="s">
        <v>313</v>
      </c>
      <c r="L1564" s="67">
        <v>0.03</v>
      </c>
      <c r="M1564" t="s">
        <v>4</v>
      </c>
      <c r="N1564" s="67" t="s">
        <v>8</v>
      </c>
      <c r="O1564" s="68">
        <v>45447</v>
      </c>
      <c r="P1564" s="68">
        <v>45447</v>
      </c>
      <c r="Q1564" s="57">
        <v>606.59388310080624</v>
      </c>
      <c r="R1564" t="s">
        <v>3112</v>
      </c>
    </row>
    <row r="1565" spans="1:18">
      <c r="A1565">
        <v>2586</v>
      </c>
      <c r="B1565" t="s">
        <v>4281</v>
      </c>
      <c r="C1565" t="s">
        <v>0</v>
      </c>
      <c r="D1565" t="s">
        <v>4280</v>
      </c>
      <c r="I1565" t="s">
        <v>24</v>
      </c>
      <c r="J1565">
        <v>1</v>
      </c>
      <c r="K1565" t="s">
        <v>313</v>
      </c>
      <c r="L1565" s="67">
        <v>0.03</v>
      </c>
      <c r="M1565" t="s">
        <v>4</v>
      </c>
      <c r="N1565" s="67" t="s">
        <v>8</v>
      </c>
      <c r="O1565" s="68">
        <v>45455</v>
      </c>
      <c r="P1565" s="68">
        <v>45455</v>
      </c>
      <c r="Q1565" s="57">
        <v>296.67348612977975</v>
      </c>
      <c r="R1565" t="s">
        <v>3112</v>
      </c>
    </row>
    <row r="1566" spans="1:18">
      <c r="A1566">
        <v>2587</v>
      </c>
      <c r="B1566" t="s">
        <v>4283</v>
      </c>
      <c r="C1566" t="s">
        <v>0</v>
      </c>
      <c r="D1566" t="s">
        <v>4282</v>
      </c>
      <c r="I1566" t="s">
        <v>3446</v>
      </c>
      <c r="J1566">
        <v>1</v>
      </c>
      <c r="K1566" t="s">
        <v>313</v>
      </c>
      <c r="L1566" s="67">
        <v>0</v>
      </c>
      <c r="M1566" t="s">
        <v>4</v>
      </c>
      <c r="N1566" s="67" t="s">
        <v>8</v>
      </c>
      <c r="O1566" s="68">
        <v>45464</v>
      </c>
      <c r="P1566" s="68">
        <v>45464</v>
      </c>
      <c r="Q1566" s="57">
        <v>118.66939445191188</v>
      </c>
      <c r="R1566" t="s">
        <v>3112</v>
      </c>
    </row>
    <row r="1567" spans="1:18">
      <c r="A1567">
        <v>2588</v>
      </c>
      <c r="B1567" t="s">
        <v>4286</v>
      </c>
      <c r="C1567" t="s">
        <v>7</v>
      </c>
      <c r="D1567" t="s">
        <v>4285</v>
      </c>
      <c r="I1567" t="s">
        <v>4284</v>
      </c>
      <c r="J1567">
        <v>3</v>
      </c>
      <c r="K1567" t="s">
        <v>313</v>
      </c>
      <c r="L1567" s="67">
        <v>0.03</v>
      </c>
      <c r="M1567" t="s">
        <v>4</v>
      </c>
      <c r="N1567" s="67" t="s">
        <v>8</v>
      </c>
      <c r="O1567" s="68">
        <v>45477</v>
      </c>
      <c r="P1567" s="68">
        <v>45477</v>
      </c>
      <c r="Q1567" s="57">
        <v>1780.0409167786784</v>
      </c>
      <c r="R1567" t="s">
        <v>3112</v>
      </c>
    </row>
    <row r="1568" spans="1:18">
      <c r="A1568">
        <v>2589</v>
      </c>
      <c r="B1568" t="s">
        <v>4288</v>
      </c>
      <c r="C1568" t="s">
        <v>7</v>
      </c>
      <c r="D1568" t="s">
        <v>4287</v>
      </c>
      <c r="I1568" t="s">
        <v>24</v>
      </c>
      <c r="J1568">
        <v>1</v>
      </c>
      <c r="K1568" t="s">
        <v>313</v>
      </c>
      <c r="L1568" s="67">
        <v>0.03</v>
      </c>
      <c r="M1568" t="s">
        <v>4</v>
      </c>
      <c r="N1568" s="67" t="s">
        <v>8</v>
      </c>
      <c r="O1568" s="68">
        <v>45477</v>
      </c>
      <c r="P1568" s="68">
        <v>45477</v>
      </c>
      <c r="Q1568" s="57">
        <v>830.68576116338329</v>
      </c>
      <c r="R1568" t="s">
        <v>3112</v>
      </c>
    </row>
    <row r="1569" spans="1:18">
      <c r="A1569">
        <v>2590</v>
      </c>
      <c r="B1569" t="s">
        <v>4290</v>
      </c>
      <c r="C1569" t="s">
        <v>0</v>
      </c>
      <c r="D1569" t="s">
        <v>4289</v>
      </c>
      <c r="I1569" t="s">
        <v>1055</v>
      </c>
      <c r="J1569">
        <v>1</v>
      </c>
      <c r="K1569" t="s">
        <v>313</v>
      </c>
      <c r="L1569" s="67">
        <v>0.03</v>
      </c>
      <c r="M1569" t="s">
        <v>4</v>
      </c>
      <c r="N1569" s="67" t="s">
        <v>8</v>
      </c>
      <c r="O1569" s="68">
        <v>45482</v>
      </c>
      <c r="P1569" s="68">
        <v>45482</v>
      </c>
      <c r="Q1569" s="57">
        <v>257.80989382039127</v>
      </c>
      <c r="R1569" t="s">
        <v>3112</v>
      </c>
    </row>
    <row r="1570" spans="1:18">
      <c r="A1570">
        <v>2591</v>
      </c>
      <c r="B1570" t="s">
        <v>4291</v>
      </c>
      <c r="C1570" t="s">
        <v>0</v>
      </c>
      <c r="D1570" t="s">
        <v>4289</v>
      </c>
      <c r="I1570" t="s">
        <v>1055</v>
      </c>
      <c r="J1570">
        <v>1</v>
      </c>
      <c r="K1570" t="s">
        <v>313</v>
      </c>
      <c r="L1570" s="67">
        <v>0.03</v>
      </c>
      <c r="M1570" t="s">
        <v>4</v>
      </c>
      <c r="N1570" s="67" t="s">
        <v>8</v>
      </c>
      <c r="O1570" s="68">
        <v>45482</v>
      </c>
      <c r="P1570" s="68">
        <v>45482</v>
      </c>
      <c r="Q1570" s="57">
        <v>386.71484073058696</v>
      </c>
      <c r="R1570" t="s">
        <v>3112</v>
      </c>
    </row>
    <row r="1571" spans="1:18">
      <c r="A1571">
        <v>2592</v>
      </c>
      <c r="B1571" t="s">
        <v>4292</v>
      </c>
      <c r="C1571" t="s">
        <v>0</v>
      </c>
      <c r="D1571" t="s">
        <v>4289</v>
      </c>
      <c r="I1571" t="s">
        <v>1055</v>
      </c>
      <c r="J1571">
        <v>2</v>
      </c>
      <c r="K1571" t="s">
        <v>313</v>
      </c>
      <c r="L1571" s="67">
        <v>0.03</v>
      </c>
      <c r="M1571" t="s">
        <v>4</v>
      </c>
      <c r="N1571" s="67" t="s">
        <v>8</v>
      </c>
      <c r="O1571" s="68">
        <v>45482</v>
      </c>
      <c r="P1571" s="68">
        <v>45482</v>
      </c>
      <c r="Q1571" s="57">
        <v>515.61978764078253</v>
      </c>
      <c r="R1571" t="s">
        <v>3112</v>
      </c>
    </row>
    <row r="1572" spans="1:18">
      <c r="A1572">
        <v>2593</v>
      </c>
      <c r="B1572" t="s">
        <v>4295</v>
      </c>
      <c r="C1572" t="s">
        <v>10</v>
      </c>
      <c r="D1572" t="s">
        <v>4294</v>
      </c>
      <c r="I1572" t="s">
        <v>4293</v>
      </c>
      <c r="J1572">
        <v>2</v>
      </c>
      <c r="K1572" t="s">
        <v>313</v>
      </c>
      <c r="L1572" s="67">
        <v>0.03</v>
      </c>
      <c r="M1572" t="s">
        <v>4</v>
      </c>
      <c r="N1572" s="67" t="s">
        <v>8</v>
      </c>
      <c r="O1572" s="68">
        <v>45482</v>
      </c>
      <c r="P1572" s="68">
        <v>45482</v>
      </c>
      <c r="Q1572" s="57">
        <v>9042.1480146933245</v>
      </c>
      <c r="R1572" t="s">
        <v>3112</v>
      </c>
    </row>
    <row r="1573" spans="1:18">
      <c r="A1573">
        <v>2594</v>
      </c>
      <c r="B1573" t="s">
        <v>4297</v>
      </c>
      <c r="C1573" t="s">
        <v>10</v>
      </c>
      <c r="D1573" t="s">
        <v>4296</v>
      </c>
      <c r="I1573" t="s">
        <v>4293</v>
      </c>
      <c r="J1573">
        <v>2</v>
      </c>
      <c r="K1573" t="s">
        <v>313</v>
      </c>
      <c r="L1573" s="67">
        <v>0.05</v>
      </c>
      <c r="M1573" t="s">
        <v>4</v>
      </c>
      <c r="N1573" s="67" t="s">
        <v>8</v>
      </c>
      <c r="O1573" s="68">
        <v>45482</v>
      </c>
      <c r="P1573" s="68">
        <v>45482</v>
      </c>
      <c r="Q1573" s="57">
        <v>2275.1211133744496</v>
      </c>
      <c r="R1573" t="s">
        <v>3112</v>
      </c>
    </row>
    <row r="1574" spans="1:18">
      <c r="A1574">
        <v>2595</v>
      </c>
      <c r="B1574" t="s">
        <v>4299</v>
      </c>
      <c r="C1574" t="s">
        <v>10</v>
      </c>
      <c r="D1574" t="s">
        <v>4298</v>
      </c>
      <c r="I1574" t="s">
        <v>4293</v>
      </c>
      <c r="J1574">
        <v>2</v>
      </c>
      <c r="K1574" t="s">
        <v>313</v>
      </c>
      <c r="L1574" s="67">
        <v>0.05</v>
      </c>
      <c r="M1574" t="s">
        <v>4</v>
      </c>
      <c r="N1574" s="67" t="s">
        <v>8</v>
      </c>
      <c r="O1574" s="68">
        <v>45482</v>
      </c>
      <c r="P1574" s="68">
        <v>45482</v>
      </c>
      <c r="Q1574" s="57">
        <v>9217.1573311067423</v>
      </c>
      <c r="R1574" t="s">
        <v>3112</v>
      </c>
    </row>
    <row r="1575" spans="1:18">
      <c r="A1575">
        <v>2596</v>
      </c>
      <c r="B1575" t="s">
        <v>4301</v>
      </c>
      <c r="C1575" t="s">
        <v>10</v>
      </c>
      <c r="D1575" t="s">
        <v>4300</v>
      </c>
      <c r="I1575" t="s">
        <v>4293</v>
      </c>
      <c r="J1575">
        <v>3</v>
      </c>
      <c r="K1575" t="s">
        <v>313</v>
      </c>
      <c r="L1575" s="67">
        <v>0.05</v>
      </c>
      <c r="M1575" t="s">
        <v>4</v>
      </c>
      <c r="N1575" s="67" t="s">
        <v>8</v>
      </c>
      <c r="O1575" s="68">
        <v>45482</v>
      </c>
      <c r="P1575" s="68">
        <v>45482</v>
      </c>
      <c r="Q1575" s="57">
        <v>38502.049610952221</v>
      </c>
      <c r="R1575" t="s">
        <v>3112</v>
      </c>
    </row>
    <row r="1576" spans="1:18">
      <c r="A1576">
        <v>2597</v>
      </c>
      <c r="B1576" t="s">
        <v>4302</v>
      </c>
      <c r="C1576" t="s">
        <v>10</v>
      </c>
      <c r="D1576" t="s">
        <v>4300</v>
      </c>
      <c r="I1576" t="s">
        <v>4293</v>
      </c>
      <c r="J1576">
        <v>4</v>
      </c>
      <c r="K1576" t="s">
        <v>313</v>
      </c>
      <c r="L1576" s="67">
        <v>0.05</v>
      </c>
      <c r="M1576" t="s">
        <v>4</v>
      </c>
      <c r="N1576" s="67" t="s">
        <v>8</v>
      </c>
      <c r="O1576" s="68">
        <v>45482</v>
      </c>
      <c r="P1576" s="68">
        <v>45482</v>
      </c>
      <c r="Q1576" s="57">
        <v>44919.057879444263</v>
      </c>
      <c r="R1576" t="s">
        <v>3112</v>
      </c>
    </row>
    <row r="1577" spans="1:18">
      <c r="A1577">
        <v>2598</v>
      </c>
      <c r="B1577" t="s">
        <v>4304</v>
      </c>
      <c r="C1577" t="s">
        <v>10</v>
      </c>
      <c r="D1577" t="s">
        <v>4303</v>
      </c>
      <c r="I1577" t="s">
        <v>4293</v>
      </c>
      <c r="J1577">
        <v>2</v>
      </c>
      <c r="K1577" t="s">
        <v>313</v>
      </c>
      <c r="L1577" s="67">
        <v>0.05</v>
      </c>
      <c r="M1577" t="s">
        <v>4</v>
      </c>
      <c r="N1577" s="67" t="s">
        <v>8</v>
      </c>
      <c r="O1577" s="68">
        <v>45482</v>
      </c>
      <c r="P1577" s="68">
        <v>45482</v>
      </c>
      <c r="Q1577" s="57">
        <v>2333.4575521789229</v>
      </c>
      <c r="R1577" t="s">
        <v>3112</v>
      </c>
    </row>
    <row r="1578" spans="1:18">
      <c r="A1578">
        <v>2599</v>
      </c>
      <c r="B1578" t="s">
        <v>4305</v>
      </c>
      <c r="C1578" t="s">
        <v>10</v>
      </c>
      <c r="D1578" t="s">
        <v>4303</v>
      </c>
      <c r="I1578" t="s">
        <v>4293</v>
      </c>
      <c r="J1578">
        <v>2</v>
      </c>
      <c r="K1578" t="s">
        <v>313</v>
      </c>
      <c r="L1578" s="67">
        <v>0.05</v>
      </c>
      <c r="M1578" t="s">
        <v>4</v>
      </c>
      <c r="N1578" s="67" t="s">
        <v>8</v>
      </c>
      <c r="O1578" s="68">
        <v>45482</v>
      </c>
      <c r="P1578" s="68">
        <v>45482</v>
      </c>
      <c r="Q1578" s="57">
        <v>10558.895423609625</v>
      </c>
      <c r="R1578" t="s">
        <v>3112</v>
      </c>
    </row>
    <row r="1579" spans="1:18">
      <c r="A1579">
        <v>2600</v>
      </c>
      <c r="B1579" t="s">
        <v>4307</v>
      </c>
      <c r="C1579" t="s">
        <v>10</v>
      </c>
      <c r="D1579" t="s">
        <v>4306</v>
      </c>
      <c r="I1579" t="s">
        <v>4293</v>
      </c>
      <c r="J1579">
        <v>2</v>
      </c>
      <c r="K1579" t="s">
        <v>313</v>
      </c>
      <c r="L1579" s="67">
        <v>0.05</v>
      </c>
      <c r="M1579" t="s">
        <v>4</v>
      </c>
      <c r="N1579" s="67" t="s">
        <v>8</v>
      </c>
      <c r="O1579" s="68">
        <v>45488</v>
      </c>
      <c r="P1579" s="68">
        <v>45488</v>
      </c>
      <c r="Q1579" s="57">
        <v>2391.7939909833958</v>
      </c>
      <c r="R1579" t="s">
        <v>3112</v>
      </c>
    </row>
    <row r="1580" spans="1:18">
      <c r="A1580">
        <v>2601</v>
      </c>
      <c r="B1580" t="s">
        <v>4309</v>
      </c>
      <c r="C1580" t="s">
        <v>10</v>
      </c>
      <c r="D1580" t="s">
        <v>4308</v>
      </c>
      <c r="I1580" t="s">
        <v>4293</v>
      </c>
      <c r="J1580">
        <v>6</v>
      </c>
      <c r="K1580" t="s">
        <v>313</v>
      </c>
      <c r="L1580" s="67">
        <v>0.05</v>
      </c>
      <c r="M1580" t="s">
        <v>4</v>
      </c>
      <c r="N1580" s="67" t="s">
        <v>8</v>
      </c>
      <c r="O1580" s="68">
        <v>45488</v>
      </c>
      <c r="P1580" s="68">
        <v>45488</v>
      </c>
      <c r="Q1580" s="57">
        <v>7992.0921162128107</v>
      </c>
      <c r="R1580" t="s">
        <v>3112</v>
      </c>
    </row>
    <row r="1581" spans="1:18">
      <c r="A1581">
        <v>2602</v>
      </c>
      <c r="B1581" t="s">
        <v>4310</v>
      </c>
      <c r="C1581" t="s">
        <v>10</v>
      </c>
      <c r="D1581" t="s">
        <v>4308</v>
      </c>
      <c r="I1581" t="s">
        <v>4293</v>
      </c>
      <c r="J1581">
        <v>2</v>
      </c>
      <c r="K1581" t="s">
        <v>313</v>
      </c>
      <c r="L1581" s="67">
        <v>0.05</v>
      </c>
      <c r="M1581" t="s">
        <v>4</v>
      </c>
      <c r="N1581" s="67" t="s">
        <v>8</v>
      </c>
      <c r="O1581" s="68">
        <v>45488</v>
      </c>
      <c r="P1581" s="68">
        <v>45488</v>
      </c>
      <c r="Q1581" s="57">
        <v>7992.0921162128107</v>
      </c>
      <c r="R1581" t="s">
        <v>3112</v>
      </c>
    </row>
    <row r="1582" spans="1:18">
      <c r="A1582">
        <v>2603</v>
      </c>
      <c r="B1582" t="s">
        <v>4312</v>
      </c>
      <c r="C1582" t="s">
        <v>10</v>
      </c>
      <c r="D1582" t="s">
        <v>4311</v>
      </c>
      <c r="I1582" t="s">
        <v>4293</v>
      </c>
      <c r="J1582">
        <v>1</v>
      </c>
      <c r="K1582" t="s">
        <v>313</v>
      </c>
      <c r="L1582" s="67">
        <v>0.05</v>
      </c>
      <c r="M1582" t="s">
        <v>4</v>
      </c>
      <c r="N1582" s="67" t="s">
        <v>8</v>
      </c>
      <c r="O1582" s="68">
        <v>45488</v>
      </c>
      <c r="P1582" s="68">
        <v>45488</v>
      </c>
      <c r="Q1582" s="57">
        <v>13125.698731006441</v>
      </c>
      <c r="R1582" t="s">
        <v>3112</v>
      </c>
    </row>
    <row r="1583" spans="1:18">
      <c r="A1583">
        <v>2604</v>
      </c>
      <c r="B1583" t="s">
        <v>4313</v>
      </c>
      <c r="C1583" t="s">
        <v>10</v>
      </c>
      <c r="D1583" t="s">
        <v>4311</v>
      </c>
      <c r="I1583" t="s">
        <v>4293</v>
      </c>
      <c r="J1583">
        <v>3</v>
      </c>
      <c r="K1583" t="s">
        <v>313</v>
      </c>
      <c r="L1583" s="67">
        <v>0.05</v>
      </c>
      <c r="M1583" t="s">
        <v>4</v>
      </c>
      <c r="N1583" s="67" t="s">
        <v>8</v>
      </c>
      <c r="O1583" s="68">
        <v>45488</v>
      </c>
      <c r="P1583" s="68">
        <v>45488</v>
      </c>
      <c r="Q1583" s="57">
        <v>27593.13555451576</v>
      </c>
      <c r="R1583" t="s">
        <v>3112</v>
      </c>
    </row>
    <row r="1584" spans="1:18">
      <c r="A1584">
        <v>2605</v>
      </c>
      <c r="B1584" t="s">
        <v>4314</v>
      </c>
      <c r="C1584" t="s">
        <v>10</v>
      </c>
      <c r="D1584" t="s">
        <v>4311</v>
      </c>
      <c r="I1584" t="s">
        <v>4293</v>
      </c>
      <c r="J1584">
        <v>3</v>
      </c>
      <c r="K1584" t="s">
        <v>313</v>
      </c>
      <c r="L1584" s="67">
        <v>0.05</v>
      </c>
      <c r="M1584" t="s">
        <v>4</v>
      </c>
      <c r="N1584" s="67" t="s">
        <v>8</v>
      </c>
      <c r="O1584" s="68">
        <v>45488</v>
      </c>
      <c r="P1584" s="68">
        <v>45488</v>
      </c>
      <c r="Q1584" s="57">
        <v>33426.779434963064</v>
      </c>
      <c r="R1584" t="s">
        <v>3112</v>
      </c>
    </row>
    <row r="1585" spans="1:18">
      <c r="A1585">
        <v>2606</v>
      </c>
      <c r="B1585" t="s">
        <v>4316</v>
      </c>
      <c r="C1585" t="s">
        <v>10</v>
      </c>
      <c r="D1585" t="s">
        <v>4315</v>
      </c>
      <c r="I1585" t="s">
        <v>4293</v>
      </c>
      <c r="J1585">
        <v>1</v>
      </c>
      <c r="K1585" t="s">
        <v>313</v>
      </c>
      <c r="L1585" s="67">
        <v>0.05</v>
      </c>
      <c r="M1585" t="s">
        <v>4</v>
      </c>
      <c r="N1585" s="67" t="s">
        <v>8</v>
      </c>
      <c r="O1585" s="68">
        <v>45488</v>
      </c>
      <c r="P1585" s="68">
        <v>45488</v>
      </c>
      <c r="Q1585" s="57">
        <v>5658.6345640338877</v>
      </c>
      <c r="R1585" t="s">
        <v>3112</v>
      </c>
    </row>
    <row r="1586" spans="1:18">
      <c r="A1586">
        <v>2607</v>
      </c>
      <c r="B1586" t="s">
        <v>4317</v>
      </c>
      <c r="C1586" t="s">
        <v>10</v>
      </c>
      <c r="D1586" t="s">
        <v>4315</v>
      </c>
      <c r="I1586" t="s">
        <v>4293</v>
      </c>
      <c r="J1586">
        <v>1</v>
      </c>
      <c r="K1586" t="s">
        <v>313</v>
      </c>
      <c r="L1586" s="67">
        <v>0.05</v>
      </c>
      <c r="M1586" t="s">
        <v>4</v>
      </c>
      <c r="N1586" s="67" t="s">
        <v>8</v>
      </c>
      <c r="O1586" s="68">
        <v>45488</v>
      </c>
      <c r="P1586" s="68">
        <v>45488</v>
      </c>
      <c r="Q1586" s="57">
        <v>5658.6345640338877</v>
      </c>
      <c r="R1586" t="s">
        <v>3112</v>
      </c>
    </row>
    <row r="1587" spans="1:18">
      <c r="A1587">
        <v>2608</v>
      </c>
      <c r="B1587" t="s">
        <v>4319</v>
      </c>
      <c r="C1587" t="s">
        <v>10</v>
      </c>
      <c r="D1587" t="s">
        <v>4318</v>
      </c>
      <c r="I1587" t="s">
        <v>4293</v>
      </c>
      <c r="J1587">
        <v>2</v>
      </c>
      <c r="K1587" t="s">
        <v>313</v>
      </c>
      <c r="L1587" s="67">
        <v>0.05</v>
      </c>
      <c r="M1587" t="s">
        <v>4</v>
      </c>
      <c r="N1587" s="67" t="s">
        <v>8</v>
      </c>
      <c r="O1587" s="68">
        <v>45488</v>
      </c>
      <c r="P1587" s="68">
        <v>45488</v>
      </c>
      <c r="Q1587" s="57">
        <v>2391.7939909833958</v>
      </c>
      <c r="R1587" t="s">
        <v>3112</v>
      </c>
    </row>
    <row r="1588" spans="1:18">
      <c r="A1588">
        <v>2609</v>
      </c>
      <c r="B1588" t="s">
        <v>4320</v>
      </c>
      <c r="C1588" t="s">
        <v>10</v>
      </c>
      <c r="D1588" t="s">
        <v>4318</v>
      </c>
      <c r="I1588" t="s">
        <v>4293</v>
      </c>
      <c r="J1588">
        <v>1</v>
      </c>
      <c r="K1588" t="s">
        <v>313</v>
      </c>
      <c r="L1588" s="67">
        <v>0.05</v>
      </c>
      <c r="M1588" t="s">
        <v>4</v>
      </c>
      <c r="N1588" s="67" t="s">
        <v>8</v>
      </c>
      <c r="O1588" s="68">
        <v>45488</v>
      </c>
      <c r="P1588" s="68">
        <v>45488</v>
      </c>
      <c r="Q1588" s="57">
        <v>4666.9151043578458</v>
      </c>
      <c r="R1588" t="s">
        <v>3112</v>
      </c>
    </row>
    <row r="1589" spans="1:18">
      <c r="A1589">
        <v>2610</v>
      </c>
      <c r="B1589" t="s">
        <v>4321</v>
      </c>
      <c r="C1589" t="s">
        <v>10</v>
      </c>
      <c r="D1589" t="s">
        <v>4318</v>
      </c>
      <c r="I1589" t="s">
        <v>4293</v>
      </c>
      <c r="J1589">
        <v>2</v>
      </c>
      <c r="K1589" t="s">
        <v>313</v>
      </c>
      <c r="L1589" s="67">
        <v>0.05</v>
      </c>
      <c r="M1589" t="s">
        <v>4</v>
      </c>
      <c r="N1589" s="67" t="s">
        <v>8</v>
      </c>
      <c r="O1589" s="68">
        <v>45488</v>
      </c>
      <c r="P1589" s="68">
        <v>45488</v>
      </c>
      <c r="Q1589" s="57">
        <v>8167.1014326262302</v>
      </c>
      <c r="R1589" t="s">
        <v>3112</v>
      </c>
    </row>
    <row r="1590" spans="1:18">
      <c r="A1590">
        <v>2611</v>
      </c>
      <c r="B1590" t="s">
        <v>4323</v>
      </c>
      <c r="C1590" t="s">
        <v>10</v>
      </c>
      <c r="D1590" t="s">
        <v>4322</v>
      </c>
      <c r="I1590" t="s">
        <v>4293</v>
      </c>
      <c r="J1590">
        <v>3</v>
      </c>
      <c r="K1590" t="s">
        <v>313</v>
      </c>
      <c r="L1590" s="67">
        <v>0.05</v>
      </c>
      <c r="M1590" t="s">
        <v>4</v>
      </c>
      <c r="N1590" s="67" t="s">
        <v>8</v>
      </c>
      <c r="O1590" s="68">
        <v>45488</v>
      </c>
      <c r="P1590" s="68">
        <v>45488</v>
      </c>
      <c r="Q1590" s="57">
        <v>18725.996856235859</v>
      </c>
      <c r="R1590" t="s">
        <v>3112</v>
      </c>
    </row>
    <row r="1591" spans="1:18">
      <c r="A1591">
        <v>2612</v>
      </c>
      <c r="B1591" t="s">
        <v>4325</v>
      </c>
      <c r="C1591" t="s">
        <v>10</v>
      </c>
      <c r="D1591" t="s">
        <v>4324</v>
      </c>
      <c r="I1591" t="s">
        <v>4293</v>
      </c>
      <c r="J1591">
        <v>3</v>
      </c>
      <c r="K1591" t="s">
        <v>313</v>
      </c>
      <c r="L1591" s="67">
        <v>0.05</v>
      </c>
      <c r="M1591" t="s">
        <v>4</v>
      </c>
      <c r="N1591" s="67" t="s">
        <v>8</v>
      </c>
      <c r="O1591" s="68">
        <v>45488</v>
      </c>
      <c r="P1591" s="68">
        <v>45488</v>
      </c>
      <c r="Q1591" s="57">
        <v>18725.996856235859</v>
      </c>
      <c r="R1591" t="s">
        <v>3112</v>
      </c>
    </row>
    <row r="1592" spans="1:18">
      <c r="A1592">
        <v>2613</v>
      </c>
      <c r="B1592" t="s">
        <v>4326</v>
      </c>
      <c r="C1592" t="s">
        <v>10</v>
      </c>
      <c r="D1592" t="s">
        <v>4324</v>
      </c>
      <c r="I1592" t="s">
        <v>4293</v>
      </c>
      <c r="J1592">
        <v>2</v>
      </c>
      <c r="K1592" t="s">
        <v>313</v>
      </c>
      <c r="L1592" s="67">
        <v>0.05</v>
      </c>
      <c r="M1592" t="s">
        <v>4</v>
      </c>
      <c r="N1592" s="67" t="s">
        <v>8</v>
      </c>
      <c r="O1592" s="68">
        <v>45488</v>
      </c>
      <c r="P1592" s="68">
        <v>45488</v>
      </c>
      <c r="Q1592" s="57">
        <v>22167.846745699764</v>
      </c>
      <c r="R1592" t="s">
        <v>3112</v>
      </c>
    </row>
    <row r="1593" spans="1:18">
      <c r="A1593">
        <v>2614</v>
      </c>
      <c r="B1593" t="s">
        <v>4328</v>
      </c>
      <c r="C1593" t="s">
        <v>10</v>
      </c>
      <c r="D1593" t="s">
        <v>4327</v>
      </c>
      <c r="I1593" t="s">
        <v>4293</v>
      </c>
      <c r="J1593">
        <v>2</v>
      </c>
      <c r="K1593" t="s">
        <v>313</v>
      </c>
      <c r="L1593" s="67">
        <v>0.05</v>
      </c>
      <c r="M1593" t="s">
        <v>4</v>
      </c>
      <c r="N1593" s="67" t="s">
        <v>8</v>
      </c>
      <c r="O1593" s="68">
        <v>45488</v>
      </c>
      <c r="P1593" s="68">
        <v>45488</v>
      </c>
      <c r="Q1593" s="57">
        <v>2391.7939909833958</v>
      </c>
      <c r="R1593" t="s">
        <v>3112</v>
      </c>
    </row>
    <row r="1594" spans="1:18">
      <c r="A1594">
        <v>2615</v>
      </c>
      <c r="B1594" t="s">
        <v>4329</v>
      </c>
      <c r="C1594" t="s">
        <v>10</v>
      </c>
      <c r="D1594" t="s">
        <v>4327</v>
      </c>
      <c r="I1594" t="s">
        <v>4293</v>
      </c>
      <c r="J1594">
        <v>2</v>
      </c>
      <c r="K1594" t="s">
        <v>313</v>
      </c>
      <c r="L1594" s="67">
        <v>0.05</v>
      </c>
      <c r="M1594" t="s">
        <v>4</v>
      </c>
      <c r="N1594" s="67" t="s">
        <v>8</v>
      </c>
      <c r="O1594" s="68">
        <v>45488</v>
      </c>
      <c r="P1594" s="68">
        <v>45488</v>
      </c>
      <c r="Q1594" s="57">
        <v>8517.1200654530676</v>
      </c>
      <c r="R1594" t="s">
        <v>3112</v>
      </c>
    </row>
    <row r="1595" spans="1:18">
      <c r="A1595">
        <v>2616</v>
      </c>
      <c r="B1595" t="s">
        <v>4331</v>
      </c>
      <c r="C1595" t="s">
        <v>10</v>
      </c>
      <c r="D1595" t="s">
        <v>4330</v>
      </c>
      <c r="I1595" t="s">
        <v>4293</v>
      </c>
      <c r="J1595">
        <v>1</v>
      </c>
      <c r="K1595" t="s">
        <v>313</v>
      </c>
      <c r="L1595" s="67">
        <v>0.05</v>
      </c>
      <c r="M1595" t="s">
        <v>4</v>
      </c>
      <c r="N1595" s="67" t="s">
        <v>8</v>
      </c>
      <c r="O1595" s="68">
        <v>45488</v>
      </c>
      <c r="P1595" s="68">
        <v>45488</v>
      </c>
      <c r="Q1595" s="57">
        <v>2391.7939909833958</v>
      </c>
      <c r="R1595" t="s">
        <v>3112</v>
      </c>
    </row>
    <row r="1596" spans="1:18">
      <c r="A1596">
        <v>2617</v>
      </c>
      <c r="B1596" t="s">
        <v>4332</v>
      </c>
      <c r="C1596" t="s">
        <v>10</v>
      </c>
      <c r="D1596" t="s">
        <v>4330</v>
      </c>
      <c r="I1596" t="s">
        <v>4293</v>
      </c>
      <c r="J1596">
        <v>7</v>
      </c>
      <c r="K1596" t="s">
        <v>313</v>
      </c>
      <c r="L1596" s="67">
        <v>0.05</v>
      </c>
      <c r="M1596" t="s">
        <v>4</v>
      </c>
      <c r="N1596" s="67" t="s">
        <v>8</v>
      </c>
      <c r="O1596" s="68">
        <v>45488</v>
      </c>
      <c r="P1596" s="68">
        <v>45488</v>
      </c>
      <c r="Q1596" s="57">
        <v>8633.7929430620134</v>
      </c>
      <c r="R1596" t="s">
        <v>3112</v>
      </c>
    </row>
    <row r="1597" spans="1:18">
      <c r="A1597">
        <v>2618</v>
      </c>
      <c r="B1597" t="s">
        <v>4333</v>
      </c>
      <c r="C1597" t="s">
        <v>10</v>
      </c>
      <c r="D1597" t="s">
        <v>4330</v>
      </c>
      <c r="I1597" t="s">
        <v>4293</v>
      </c>
      <c r="J1597">
        <v>2</v>
      </c>
      <c r="K1597" t="s">
        <v>313</v>
      </c>
      <c r="L1597" s="67">
        <v>0.05</v>
      </c>
      <c r="M1597" t="s">
        <v>4</v>
      </c>
      <c r="N1597" s="67" t="s">
        <v>8</v>
      </c>
      <c r="O1597" s="68">
        <v>45488</v>
      </c>
      <c r="P1597" s="68">
        <v>45488</v>
      </c>
      <c r="Q1597" s="57">
        <v>2391.7939909833958</v>
      </c>
      <c r="R1597" t="s">
        <v>3112</v>
      </c>
    </row>
    <row r="1598" spans="1:18">
      <c r="A1598">
        <v>2619</v>
      </c>
      <c r="B1598" t="s">
        <v>4335</v>
      </c>
      <c r="C1598" t="s">
        <v>10</v>
      </c>
      <c r="D1598" t="s">
        <v>4334</v>
      </c>
      <c r="I1598" t="s">
        <v>4293</v>
      </c>
      <c r="J1598">
        <v>2</v>
      </c>
      <c r="K1598" t="s">
        <v>313</v>
      </c>
      <c r="L1598" s="67">
        <v>0.05</v>
      </c>
      <c r="M1598" t="s">
        <v>4</v>
      </c>
      <c r="N1598" s="67" t="s">
        <v>8</v>
      </c>
      <c r="O1598" s="68">
        <v>45488</v>
      </c>
      <c r="P1598" s="68">
        <v>45488</v>
      </c>
      <c r="Q1598" s="57">
        <v>8633.7929430620134</v>
      </c>
      <c r="R1598" t="s">
        <v>3112</v>
      </c>
    </row>
    <row r="1599" spans="1:18">
      <c r="A1599">
        <v>2620</v>
      </c>
      <c r="B1599" t="s">
        <v>4336</v>
      </c>
      <c r="C1599" t="s">
        <v>10</v>
      </c>
      <c r="D1599" t="s">
        <v>4334</v>
      </c>
      <c r="I1599" t="s">
        <v>4293</v>
      </c>
      <c r="J1599">
        <v>2</v>
      </c>
      <c r="K1599" t="s">
        <v>313</v>
      </c>
      <c r="L1599" s="67">
        <v>0.05</v>
      </c>
      <c r="M1599" t="s">
        <v>4</v>
      </c>
      <c r="N1599" s="67" t="s">
        <v>8</v>
      </c>
      <c r="O1599" s="68">
        <v>45488</v>
      </c>
      <c r="P1599" s="68">
        <v>45488</v>
      </c>
      <c r="Q1599" s="57">
        <v>8633.7929430620134</v>
      </c>
      <c r="R1599" t="s">
        <v>3112</v>
      </c>
    </row>
    <row r="1600" spans="1:18">
      <c r="A1600">
        <v>2621</v>
      </c>
      <c r="B1600" t="s">
        <v>4338</v>
      </c>
      <c r="C1600" t="s">
        <v>10</v>
      </c>
      <c r="D1600" t="s">
        <v>4337</v>
      </c>
      <c r="I1600" t="s">
        <v>4293</v>
      </c>
      <c r="J1600">
        <v>1</v>
      </c>
      <c r="K1600" t="s">
        <v>313</v>
      </c>
      <c r="L1600" s="67">
        <v>0.05</v>
      </c>
      <c r="M1600" t="s">
        <v>4</v>
      </c>
      <c r="N1600" s="67" t="s">
        <v>8</v>
      </c>
      <c r="O1600" s="68">
        <v>45488</v>
      </c>
      <c r="P1600" s="68">
        <v>45488</v>
      </c>
      <c r="Q1600" s="57">
        <v>6475.3447072965091</v>
      </c>
      <c r="R1600" t="s">
        <v>3112</v>
      </c>
    </row>
    <row r="1601" spans="1:18">
      <c r="A1601">
        <v>2622</v>
      </c>
      <c r="B1601" t="s">
        <v>4339</v>
      </c>
      <c r="C1601" t="s">
        <v>10</v>
      </c>
      <c r="D1601" t="s">
        <v>4337</v>
      </c>
      <c r="I1601" t="s">
        <v>4293</v>
      </c>
      <c r="J1601">
        <v>2</v>
      </c>
      <c r="K1601" t="s">
        <v>313</v>
      </c>
      <c r="L1601" s="67">
        <v>0.05</v>
      </c>
      <c r="M1601" t="s">
        <v>4</v>
      </c>
      <c r="N1601" s="67" t="s">
        <v>8</v>
      </c>
      <c r="O1601" s="68">
        <v>45488</v>
      </c>
      <c r="P1601" s="68">
        <v>45488</v>
      </c>
      <c r="Q1601" s="57">
        <v>10500.558984805151</v>
      </c>
      <c r="R1601" t="s">
        <v>3112</v>
      </c>
    </row>
    <row r="1602" spans="1:18">
      <c r="A1602">
        <v>2623</v>
      </c>
      <c r="B1602" t="s">
        <v>4341</v>
      </c>
      <c r="C1602" t="s">
        <v>10</v>
      </c>
      <c r="D1602" t="s">
        <v>4340</v>
      </c>
      <c r="I1602" t="s">
        <v>4293</v>
      </c>
      <c r="J1602">
        <v>3</v>
      </c>
      <c r="K1602" t="s">
        <v>313</v>
      </c>
      <c r="L1602" s="67">
        <v>0.05</v>
      </c>
      <c r="M1602" t="s">
        <v>4</v>
      </c>
      <c r="N1602" s="67" t="s">
        <v>8</v>
      </c>
      <c r="O1602" s="68">
        <v>45488</v>
      </c>
      <c r="P1602" s="68">
        <v>45488</v>
      </c>
      <c r="Q1602" s="57">
        <v>16450.875742861404</v>
      </c>
      <c r="R1602" t="s">
        <v>3112</v>
      </c>
    </row>
    <row r="1603" spans="1:18">
      <c r="A1603">
        <v>2624</v>
      </c>
      <c r="B1603" t="s">
        <v>4343</v>
      </c>
      <c r="C1603" t="s">
        <v>10</v>
      </c>
      <c r="D1603" t="s">
        <v>4334</v>
      </c>
      <c r="I1603" t="s">
        <v>4293</v>
      </c>
      <c r="J1603">
        <v>2</v>
      </c>
      <c r="K1603" t="s">
        <v>313</v>
      </c>
      <c r="L1603" s="67">
        <v>0.05</v>
      </c>
      <c r="M1603" t="s">
        <v>4</v>
      </c>
      <c r="N1603" s="67" t="s">
        <v>8</v>
      </c>
      <c r="O1603" s="68">
        <v>45489</v>
      </c>
      <c r="P1603" s="68">
        <v>45489</v>
      </c>
      <c r="Q1603" s="57">
        <v>7933.7556774083359</v>
      </c>
      <c r="R1603" t="s">
        <v>3112</v>
      </c>
    </row>
    <row r="1604" spans="1:18">
      <c r="A1604">
        <v>2625</v>
      </c>
      <c r="B1604" t="s">
        <v>4344</v>
      </c>
      <c r="C1604" t="s">
        <v>10</v>
      </c>
      <c r="D1604" t="s">
        <v>4342</v>
      </c>
      <c r="I1604" t="s">
        <v>4293</v>
      </c>
      <c r="J1604">
        <v>3</v>
      </c>
      <c r="K1604" t="s">
        <v>313</v>
      </c>
      <c r="L1604" s="67">
        <v>0.05</v>
      </c>
      <c r="M1604" t="s">
        <v>4</v>
      </c>
      <c r="N1604" s="67" t="s">
        <v>8</v>
      </c>
      <c r="O1604" s="68">
        <v>45489</v>
      </c>
      <c r="P1604" s="68">
        <v>45489</v>
      </c>
      <c r="Q1604" s="57">
        <v>19542.706999498481</v>
      </c>
      <c r="R1604" t="s">
        <v>3112</v>
      </c>
    </row>
    <row r="1605" spans="1:18">
      <c r="A1605">
        <v>2626</v>
      </c>
      <c r="B1605" t="s">
        <v>4346</v>
      </c>
      <c r="C1605" t="s">
        <v>10</v>
      </c>
      <c r="D1605" t="s">
        <v>4345</v>
      </c>
      <c r="I1605" t="s">
        <v>4293</v>
      </c>
      <c r="J1605">
        <v>5</v>
      </c>
      <c r="K1605" t="s">
        <v>313</v>
      </c>
      <c r="L1605" s="67">
        <v>0.05</v>
      </c>
      <c r="M1605" t="s">
        <v>4</v>
      </c>
      <c r="N1605" s="67" t="s">
        <v>8</v>
      </c>
      <c r="O1605" s="68">
        <v>45489</v>
      </c>
      <c r="P1605" s="68">
        <v>45489</v>
      </c>
      <c r="Q1605" s="57">
        <v>33018.424363331753</v>
      </c>
      <c r="R1605" t="s">
        <v>3112</v>
      </c>
    </row>
    <row r="1606" spans="1:18">
      <c r="A1606">
        <v>2627</v>
      </c>
      <c r="B1606" t="s">
        <v>4347</v>
      </c>
      <c r="C1606" t="s">
        <v>10</v>
      </c>
      <c r="D1606" t="s">
        <v>4345</v>
      </c>
      <c r="I1606" t="s">
        <v>4293</v>
      </c>
      <c r="J1606">
        <v>3</v>
      </c>
      <c r="K1606" t="s">
        <v>313</v>
      </c>
      <c r="L1606" s="67">
        <v>0.05</v>
      </c>
      <c r="M1606" t="s">
        <v>4</v>
      </c>
      <c r="N1606" s="67" t="s">
        <v>8</v>
      </c>
      <c r="O1606" s="68">
        <v>45489</v>
      </c>
      <c r="P1606" s="68">
        <v>45489</v>
      </c>
      <c r="Q1606" s="57">
        <v>33018.424363331753</v>
      </c>
      <c r="R1606" t="s">
        <v>3112</v>
      </c>
    </row>
    <row r="1607" spans="1:18">
      <c r="A1607">
        <v>2628</v>
      </c>
      <c r="B1607" t="s">
        <v>4348</v>
      </c>
      <c r="C1607" t="s">
        <v>10</v>
      </c>
      <c r="D1607" t="s">
        <v>4345</v>
      </c>
      <c r="I1607" t="s">
        <v>4293</v>
      </c>
      <c r="J1607">
        <v>3</v>
      </c>
      <c r="K1607" t="s">
        <v>313</v>
      </c>
      <c r="L1607" s="67">
        <v>0.05</v>
      </c>
      <c r="M1607" t="s">
        <v>4</v>
      </c>
      <c r="N1607" s="67" t="s">
        <v>8</v>
      </c>
      <c r="O1607" s="68">
        <v>45489</v>
      </c>
      <c r="P1607" s="68">
        <v>45489</v>
      </c>
      <c r="Q1607" s="57">
        <v>33018.424363331753</v>
      </c>
      <c r="R1607" t="s">
        <v>3112</v>
      </c>
    </row>
    <row r="1608" spans="1:18">
      <c r="A1608">
        <v>2629</v>
      </c>
      <c r="B1608" t="s">
        <v>4350</v>
      </c>
      <c r="C1608" t="s">
        <v>10</v>
      </c>
      <c r="D1608" t="s">
        <v>4349</v>
      </c>
      <c r="I1608" t="s">
        <v>4293</v>
      </c>
      <c r="J1608">
        <v>3</v>
      </c>
      <c r="K1608" t="s">
        <v>313</v>
      </c>
      <c r="L1608" s="67">
        <v>0.05</v>
      </c>
      <c r="M1608" t="s">
        <v>4</v>
      </c>
      <c r="N1608" s="67" t="s">
        <v>8</v>
      </c>
      <c r="O1608" s="68">
        <v>45490</v>
      </c>
      <c r="P1608" s="68">
        <v>45490</v>
      </c>
      <c r="Q1608" s="57">
        <v>39727.114825846154</v>
      </c>
      <c r="R1608" t="s">
        <v>3112</v>
      </c>
    </row>
    <row r="1609" spans="1:18">
      <c r="A1609">
        <v>2630</v>
      </c>
      <c r="B1609" t="s">
        <v>4351</v>
      </c>
      <c r="C1609" t="s">
        <v>10</v>
      </c>
      <c r="D1609" t="s">
        <v>4349</v>
      </c>
      <c r="I1609" t="s">
        <v>4293</v>
      </c>
      <c r="J1609">
        <v>3</v>
      </c>
      <c r="K1609" t="s">
        <v>313</v>
      </c>
      <c r="L1609" s="67">
        <v>0.05</v>
      </c>
      <c r="M1609" t="s">
        <v>4</v>
      </c>
      <c r="N1609" s="67" t="s">
        <v>8</v>
      </c>
      <c r="O1609" s="68">
        <v>45490</v>
      </c>
      <c r="P1609" s="68">
        <v>45490</v>
      </c>
      <c r="Q1609" s="57">
        <v>39727.114825846154</v>
      </c>
      <c r="R1609" t="s">
        <v>3112</v>
      </c>
    </row>
    <row r="1610" spans="1:18">
      <c r="A1610">
        <v>2631</v>
      </c>
      <c r="B1610" t="s">
        <v>4352</v>
      </c>
      <c r="C1610" t="s">
        <v>10</v>
      </c>
      <c r="D1610" t="s">
        <v>4349</v>
      </c>
      <c r="I1610" t="s">
        <v>4293</v>
      </c>
      <c r="J1610">
        <v>3</v>
      </c>
      <c r="K1610" t="s">
        <v>313</v>
      </c>
      <c r="L1610" s="67">
        <v>0.05</v>
      </c>
      <c r="M1610" t="s">
        <v>4</v>
      </c>
      <c r="N1610" s="67" t="s">
        <v>8</v>
      </c>
      <c r="O1610" s="68">
        <v>45490</v>
      </c>
      <c r="P1610" s="68">
        <v>45490</v>
      </c>
      <c r="Q1610" s="57">
        <v>19542.706999498481</v>
      </c>
      <c r="R1610" t="s">
        <v>3112</v>
      </c>
    </row>
    <row r="1611" spans="1:18">
      <c r="A1611">
        <v>2632</v>
      </c>
      <c r="B1611" t="s">
        <v>4354</v>
      </c>
      <c r="C1611" t="s">
        <v>10</v>
      </c>
      <c r="D1611" t="s">
        <v>4353</v>
      </c>
      <c r="I1611" t="s">
        <v>4293</v>
      </c>
      <c r="J1611">
        <v>1</v>
      </c>
      <c r="K1611" t="s">
        <v>313</v>
      </c>
      <c r="L1611" s="67">
        <v>0.05</v>
      </c>
      <c r="M1611" t="s">
        <v>4</v>
      </c>
      <c r="N1611" s="67" t="s">
        <v>8</v>
      </c>
      <c r="O1611" s="68">
        <v>45490</v>
      </c>
      <c r="P1611" s="68">
        <v>45490</v>
      </c>
      <c r="Q1611" s="57">
        <v>12717.343659375132</v>
      </c>
      <c r="R1611" t="s">
        <v>3112</v>
      </c>
    </row>
    <row r="1612" spans="1:18">
      <c r="A1612">
        <v>2633</v>
      </c>
      <c r="B1612" t="s">
        <v>4355</v>
      </c>
      <c r="C1612" t="s">
        <v>10</v>
      </c>
      <c r="D1612" t="s">
        <v>4353</v>
      </c>
      <c r="I1612" t="s">
        <v>4293</v>
      </c>
      <c r="J1612">
        <v>2</v>
      </c>
      <c r="K1612" t="s">
        <v>313</v>
      </c>
      <c r="L1612" s="67">
        <v>0.05</v>
      </c>
      <c r="M1612" t="s">
        <v>4</v>
      </c>
      <c r="N1612" s="67" t="s">
        <v>8</v>
      </c>
      <c r="O1612" s="68">
        <v>45490</v>
      </c>
      <c r="P1612" s="68">
        <v>45490</v>
      </c>
      <c r="Q1612" s="57">
        <v>24151.285665051852</v>
      </c>
      <c r="R1612" t="s">
        <v>3112</v>
      </c>
    </row>
    <row r="1613" spans="1:18">
      <c r="A1613">
        <v>2634</v>
      </c>
      <c r="B1613" t="s">
        <v>4357</v>
      </c>
      <c r="C1613" t="s">
        <v>10</v>
      </c>
      <c r="D1613" t="s">
        <v>4356</v>
      </c>
      <c r="I1613" t="s">
        <v>4293</v>
      </c>
      <c r="J1613">
        <v>2</v>
      </c>
      <c r="K1613" t="s">
        <v>313</v>
      </c>
      <c r="L1613" s="67">
        <v>0.05</v>
      </c>
      <c r="M1613" t="s">
        <v>4</v>
      </c>
      <c r="N1613" s="67" t="s">
        <v>8</v>
      </c>
      <c r="O1613" s="68">
        <v>45490</v>
      </c>
      <c r="P1613" s="68">
        <v>45490</v>
      </c>
      <c r="Q1613" s="57">
        <v>6475.3447072965091</v>
      </c>
      <c r="R1613" t="s">
        <v>3112</v>
      </c>
    </row>
    <row r="1614" spans="1:18">
      <c r="A1614">
        <v>2635</v>
      </c>
      <c r="B1614" t="s">
        <v>4358</v>
      </c>
      <c r="C1614" t="s">
        <v>10</v>
      </c>
      <c r="D1614" t="s">
        <v>4356</v>
      </c>
      <c r="I1614" t="s">
        <v>4293</v>
      </c>
      <c r="J1614">
        <v>1</v>
      </c>
      <c r="K1614" t="s">
        <v>313</v>
      </c>
      <c r="L1614" s="67">
        <v>0.05</v>
      </c>
      <c r="M1614" t="s">
        <v>4</v>
      </c>
      <c r="N1614" s="67" t="s">
        <v>8</v>
      </c>
      <c r="O1614" s="68">
        <v>45490</v>
      </c>
      <c r="P1614" s="68">
        <v>45490</v>
      </c>
      <c r="Q1614" s="57">
        <v>6475.3447072965091</v>
      </c>
      <c r="R1614" t="s">
        <v>3112</v>
      </c>
    </row>
    <row r="1615" spans="1:18">
      <c r="A1615">
        <v>2636</v>
      </c>
      <c r="B1615" t="s">
        <v>4360</v>
      </c>
      <c r="C1615" t="s">
        <v>10</v>
      </c>
      <c r="D1615" t="s">
        <v>4359</v>
      </c>
      <c r="I1615" t="s">
        <v>4293</v>
      </c>
      <c r="J1615">
        <v>2</v>
      </c>
      <c r="K1615" t="s">
        <v>313</v>
      </c>
      <c r="L1615" s="67">
        <v>0.05</v>
      </c>
      <c r="M1615" t="s">
        <v>4</v>
      </c>
      <c r="N1615" s="67" t="s">
        <v>8</v>
      </c>
      <c r="O1615" s="68">
        <v>45490</v>
      </c>
      <c r="P1615" s="68">
        <v>45490</v>
      </c>
      <c r="Q1615" s="57">
        <v>8925.4751370843787</v>
      </c>
      <c r="R1615" t="s">
        <v>3112</v>
      </c>
    </row>
    <row r="1616" spans="1:18">
      <c r="A1616">
        <v>2637</v>
      </c>
      <c r="B1616" t="s">
        <v>4361</v>
      </c>
      <c r="C1616" t="s">
        <v>10</v>
      </c>
      <c r="D1616" t="s">
        <v>4359</v>
      </c>
      <c r="I1616" t="s">
        <v>4293</v>
      </c>
      <c r="J1616">
        <v>2</v>
      </c>
      <c r="K1616" t="s">
        <v>313</v>
      </c>
      <c r="L1616" s="67">
        <v>0.05</v>
      </c>
      <c r="M1616" t="s">
        <v>4</v>
      </c>
      <c r="N1616" s="67" t="s">
        <v>8</v>
      </c>
      <c r="O1616" s="68">
        <v>45490</v>
      </c>
      <c r="P1616" s="68">
        <v>45490</v>
      </c>
      <c r="Q1616" s="57">
        <v>8925.4751370843787</v>
      </c>
      <c r="R1616" t="s">
        <v>3112</v>
      </c>
    </row>
    <row r="1617" spans="1:18">
      <c r="A1617">
        <v>2638</v>
      </c>
      <c r="B1617" t="s">
        <v>4362</v>
      </c>
      <c r="C1617" t="s">
        <v>10</v>
      </c>
      <c r="D1617" t="s">
        <v>4356</v>
      </c>
      <c r="I1617" t="s">
        <v>4293</v>
      </c>
      <c r="J1617">
        <v>2</v>
      </c>
      <c r="K1617" t="s">
        <v>313</v>
      </c>
      <c r="L1617" s="67">
        <v>0.05</v>
      </c>
      <c r="M1617" t="s">
        <v>4</v>
      </c>
      <c r="N1617" s="67" t="s">
        <v>8</v>
      </c>
      <c r="O1617" s="68">
        <v>45490</v>
      </c>
      <c r="P1617" s="68">
        <v>45490</v>
      </c>
      <c r="Q1617" s="57">
        <v>6475.3447072965091</v>
      </c>
      <c r="R1617" t="s">
        <v>3112</v>
      </c>
    </row>
    <row r="1618" spans="1:18">
      <c r="A1618">
        <v>2639</v>
      </c>
      <c r="B1618" t="s">
        <v>4364</v>
      </c>
      <c r="C1618" t="s">
        <v>10</v>
      </c>
      <c r="D1618" t="s">
        <v>4363</v>
      </c>
      <c r="I1618" t="s">
        <v>4293</v>
      </c>
      <c r="J1618">
        <v>1</v>
      </c>
      <c r="K1618" t="s">
        <v>313</v>
      </c>
      <c r="L1618" s="67">
        <v>0.05</v>
      </c>
      <c r="M1618" t="s">
        <v>4</v>
      </c>
      <c r="N1618" s="67" t="s">
        <v>8</v>
      </c>
      <c r="O1618" s="68">
        <v>45490</v>
      </c>
      <c r="P1618" s="68">
        <v>45490</v>
      </c>
      <c r="Q1618" s="57">
        <v>6475.3447072965091</v>
      </c>
      <c r="R1618" t="s">
        <v>3112</v>
      </c>
    </row>
    <row r="1619" spans="1:18">
      <c r="A1619">
        <v>2640</v>
      </c>
      <c r="B1619" t="s">
        <v>4365</v>
      </c>
      <c r="C1619" t="s">
        <v>10</v>
      </c>
      <c r="D1619" t="s">
        <v>4363</v>
      </c>
      <c r="I1619" t="s">
        <v>4293</v>
      </c>
      <c r="J1619">
        <v>2</v>
      </c>
      <c r="K1619" t="s">
        <v>313</v>
      </c>
      <c r="L1619" s="67">
        <v>0.05</v>
      </c>
      <c r="M1619" t="s">
        <v>4</v>
      </c>
      <c r="N1619" s="67" t="s">
        <v>8</v>
      </c>
      <c r="O1619" s="68">
        <v>45490</v>
      </c>
      <c r="P1619" s="68">
        <v>45490</v>
      </c>
      <c r="Q1619" s="57">
        <v>22226.183184504232</v>
      </c>
      <c r="R1619" t="s">
        <v>3112</v>
      </c>
    </row>
    <row r="1620" spans="1:18">
      <c r="A1620">
        <v>2641</v>
      </c>
      <c r="B1620" t="s">
        <v>4367</v>
      </c>
      <c r="C1620" t="s">
        <v>10</v>
      </c>
      <c r="D1620" t="s">
        <v>4366</v>
      </c>
      <c r="I1620" t="s">
        <v>4293</v>
      </c>
      <c r="J1620">
        <v>2</v>
      </c>
      <c r="K1620" t="s">
        <v>313</v>
      </c>
      <c r="L1620" s="67">
        <v>0.05</v>
      </c>
      <c r="M1620" t="s">
        <v>4</v>
      </c>
      <c r="N1620" s="67" t="s">
        <v>8</v>
      </c>
      <c r="O1620" s="68">
        <v>45490</v>
      </c>
      <c r="P1620" s="68">
        <v>45490</v>
      </c>
      <c r="Q1620" s="57">
        <v>9333.8302087156917</v>
      </c>
      <c r="R1620" t="s">
        <v>3112</v>
      </c>
    </row>
    <row r="1621" spans="1:18">
      <c r="A1621">
        <v>2642</v>
      </c>
      <c r="B1621" t="s">
        <v>4368</v>
      </c>
      <c r="C1621" t="s">
        <v>10</v>
      </c>
      <c r="D1621" t="s">
        <v>4366</v>
      </c>
      <c r="I1621" t="s">
        <v>4293</v>
      </c>
      <c r="J1621">
        <v>2</v>
      </c>
      <c r="K1621" t="s">
        <v>313</v>
      </c>
      <c r="L1621" s="67">
        <v>0.05</v>
      </c>
      <c r="M1621" t="s">
        <v>4</v>
      </c>
      <c r="N1621" s="67" t="s">
        <v>8</v>
      </c>
      <c r="O1621" s="68">
        <v>45490</v>
      </c>
      <c r="P1621" s="68">
        <v>45490</v>
      </c>
      <c r="Q1621" s="57">
        <v>10383.886107196204</v>
      </c>
      <c r="R1621" t="s">
        <v>3112</v>
      </c>
    </row>
    <row r="1622" spans="1:18">
      <c r="A1622">
        <v>2643</v>
      </c>
      <c r="B1622" t="s">
        <v>4370</v>
      </c>
      <c r="C1622" t="s">
        <v>10</v>
      </c>
      <c r="D1622" t="s">
        <v>4369</v>
      </c>
      <c r="I1622" t="s">
        <v>4293</v>
      </c>
      <c r="J1622">
        <v>2</v>
      </c>
      <c r="K1622" t="s">
        <v>313</v>
      </c>
      <c r="L1622" s="67">
        <v>0.05</v>
      </c>
      <c r="M1622" t="s">
        <v>4</v>
      </c>
      <c r="N1622" s="67" t="s">
        <v>8</v>
      </c>
      <c r="O1622" s="68">
        <v>45490</v>
      </c>
      <c r="P1622" s="68">
        <v>45490</v>
      </c>
      <c r="Q1622" s="57">
        <v>2391.7939909833958</v>
      </c>
      <c r="R1622" t="s">
        <v>3112</v>
      </c>
    </row>
    <row r="1623" spans="1:18">
      <c r="A1623">
        <v>2644</v>
      </c>
      <c r="B1623" t="s">
        <v>4372</v>
      </c>
      <c r="C1623" t="s">
        <v>10</v>
      </c>
      <c r="D1623" t="s">
        <v>4371</v>
      </c>
      <c r="I1623" t="s">
        <v>4293</v>
      </c>
      <c r="J1623">
        <v>2</v>
      </c>
      <c r="K1623" t="s">
        <v>313</v>
      </c>
      <c r="L1623" s="67">
        <v>0.05</v>
      </c>
      <c r="M1623" t="s">
        <v>4</v>
      </c>
      <c r="N1623" s="67" t="s">
        <v>8</v>
      </c>
      <c r="O1623" s="68">
        <v>45490</v>
      </c>
      <c r="P1623" s="68">
        <v>45490</v>
      </c>
      <c r="Q1623" s="57">
        <v>8225.4378714307022</v>
      </c>
      <c r="R1623" t="s">
        <v>3112</v>
      </c>
    </row>
    <row r="1624" spans="1:18">
      <c r="A1624">
        <v>2645</v>
      </c>
      <c r="B1624" t="s">
        <v>4374</v>
      </c>
      <c r="C1624" t="s">
        <v>10</v>
      </c>
      <c r="D1624" t="s">
        <v>4373</v>
      </c>
      <c r="I1624" t="s">
        <v>4293</v>
      </c>
      <c r="J1624">
        <v>1</v>
      </c>
      <c r="K1624" t="s">
        <v>313</v>
      </c>
      <c r="L1624" s="67">
        <v>0.05</v>
      </c>
      <c r="M1624" t="s">
        <v>4</v>
      </c>
      <c r="N1624" s="67" t="s">
        <v>8</v>
      </c>
      <c r="O1624" s="68">
        <v>45490</v>
      </c>
      <c r="P1624" s="68">
        <v>45490</v>
      </c>
      <c r="Q1624" s="57">
        <v>1925.1024805476111</v>
      </c>
      <c r="R1624" t="s">
        <v>3112</v>
      </c>
    </row>
    <row r="1625" spans="1:18">
      <c r="A1625">
        <v>2646</v>
      </c>
      <c r="B1625" t="s">
        <v>4375</v>
      </c>
      <c r="C1625" t="s">
        <v>10</v>
      </c>
      <c r="D1625" t="s">
        <v>4373</v>
      </c>
      <c r="I1625" t="s">
        <v>4293</v>
      </c>
      <c r="J1625">
        <v>1</v>
      </c>
      <c r="K1625" t="s">
        <v>313</v>
      </c>
      <c r="L1625" s="67">
        <v>0.05</v>
      </c>
      <c r="M1625" t="s">
        <v>4</v>
      </c>
      <c r="N1625" s="67" t="s">
        <v>8</v>
      </c>
      <c r="O1625" s="68">
        <v>45490</v>
      </c>
      <c r="P1625" s="68">
        <v>45490</v>
      </c>
      <c r="Q1625" s="57">
        <v>4608.5786655533711</v>
      </c>
      <c r="R1625" t="s">
        <v>3112</v>
      </c>
    </row>
    <row r="1626" spans="1:18">
      <c r="A1626">
        <v>2647</v>
      </c>
      <c r="B1626" t="s">
        <v>4377</v>
      </c>
      <c r="C1626" t="s">
        <v>10</v>
      </c>
      <c r="D1626" t="s">
        <v>4376</v>
      </c>
      <c r="I1626" t="s">
        <v>4293</v>
      </c>
      <c r="J1626">
        <v>2</v>
      </c>
      <c r="K1626" t="s">
        <v>313</v>
      </c>
      <c r="L1626" s="67">
        <v>0.05</v>
      </c>
      <c r="M1626" t="s">
        <v>4</v>
      </c>
      <c r="N1626" s="67" t="s">
        <v>8</v>
      </c>
      <c r="O1626" s="68">
        <v>45490</v>
      </c>
      <c r="P1626" s="68">
        <v>45490</v>
      </c>
      <c r="Q1626" s="57">
        <v>7525.4006057770266</v>
      </c>
      <c r="R1626" t="s">
        <v>3112</v>
      </c>
    </row>
    <row r="1627" spans="1:18">
      <c r="A1627">
        <v>2648</v>
      </c>
      <c r="B1627" t="s">
        <v>4379</v>
      </c>
      <c r="C1627" t="s">
        <v>7</v>
      </c>
      <c r="D1627" t="s">
        <v>4378</v>
      </c>
      <c r="I1627" t="s">
        <v>867</v>
      </c>
      <c r="J1627">
        <v>2</v>
      </c>
      <c r="K1627" t="s">
        <v>313</v>
      </c>
      <c r="L1627" s="67">
        <v>0.03</v>
      </c>
      <c r="M1627" t="s">
        <v>4</v>
      </c>
      <c r="N1627" s="67" t="s">
        <v>8</v>
      </c>
      <c r="O1627" s="68">
        <v>45490</v>
      </c>
      <c r="P1627" s="68">
        <v>45490</v>
      </c>
      <c r="Q1627" s="57">
        <v>26993.427797985871</v>
      </c>
      <c r="R1627" t="s">
        <v>3112</v>
      </c>
    </row>
    <row r="1628" spans="1:18">
      <c r="A1628">
        <v>2649</v>
      </c>
      <c r="B1628" t="s">
        <v>4381</v>
      </c>
      <c r="C1628" t="s">
        <v>0</v>
      </c>
      <c r="D1628" t="s">
        <v>4380</v>
      </c>
      <c r="I1628" t="s">
        <v>1505</v>
      </c>
      <c r="J1628">
        <v>1</v>
      </c>
      <c r="K1628" t="s">
        <v>313</v>
      </c>
      <c r="L1628" s="67">
        <v>0.03</v>
      </c>
      <c r="M1628" t="s">
        <v>4</v>
      </c>
      <c r="N1628" s="67" t="s">
        <v>8</v>
      </c>
      <c r="O1628" s="68">
        <v>45490</v>
      </c>
      <c r="P1628" s="68">
        <v>45490</v>
      </c>
      <c r="Q1628" s="57">
        <v>303.29694155040312</v>
      </c>
      <c r="R1628" t="s">
        <v>3112</v>
      </c>
    </row>
    <row r="1629" spans="1:18">
      <c r="A1629">
        <v>2650</v>
      </c>
      <c r="B1629" t="s">
        <v>4383</v>
      </c>
      <c r="C1629" t="s">
        <v>0</v>
      </c>
      <c r="D1629" t="s">
        <v>4382</v>
      </c>
      <c r="I1629" t="s">
        <v>24</v>
      </c>
      <c r="J1629">
        <v>1</v>
      </c>
      <c r="K1629" t="s">
        <v>313</v>
      </c>
      <c r="L1629" s="67">
        <v>0.03</v>
      </c>
      <c r="M1629" t="s">
        <v>4</v>
      </c>
      <c r="N1629" s="67" t="s">
        <v>8</v>
      </c>
      <c r="O1629" s="68">
        <v>45490</v>
      </c>
      <c r="P1629" s="68">
        <v>45490</v>
      </c>
      <c r="Q1629" s="57">
        <v>118.66939445191188</v>
      </c>
      <c r="R1629" t="s">
        <v>3112</v>
      </c>
    </row>
    <row r="1630" spans="1:18">
      <c r="A1630">
        <v>2651</v>
      </c>
      <c r="B1630" t="s">
        <v>4385</v>
      </c>
      <c r="C1630" t="s">
        <v>0</v>
      </c>
      <c r="D1630" t="s">
        <v>4384</v>
      </c>
      <c r="I1630" t="s">
        <v>4038</v>
      </c>
      <c r="J1630">
        <v>1</v>
      </c>
      <c r="K1630" t="s">
        <v>313</v>
      </c>
      <c r="L1630" s="67">
        <v>0</v>
      </c>
      <c r="M1630" t="s">
        <v>4</v>
      </c>
      <c r="N1630" s="67" t="s">
        <v>8</v>
      </c>
      <c r="O1630" s="68">
        <v>45491</v>
      </c>
      <c r="P1630" s="68">
        <v>45491</v>
      </c>
      <c r="Q1630" s="57">
        <v>121.3187766201612</v>
      </c>
      <c r="R1630" t="s">
        <v>3112</v>
      </c>
    </row>
    <row r="1631" spans="1:18">
      <c r="A1631">
        <v>2652</v>
      </c>
      <c r="B1631" t="s">
        <v>4387</v>
      </c>
      <c r="C1631" t="s">
        <v>0</v>
      </c>
      <c r="D1631" t="s">
        <v>4384</v>
      </c>
      <c r="I1631" t="s">
        <v>4386</v>
      </c>
      <c r="J1631">
        <v>7</v>
      </c>
      <c r="K1631" t="s">
        <v>313</v>
      </c>
      <c r="L1631" s="67">
        <v>0</v>
      </c>
      <c r="M1631" t="s">
        <v>4</v>
      </c>
      <c r="N1631" s="67" t="s">
        <v>8</v>
      </c>
      <c r="O1631" s="68">
        <v>45491</v>
      </c>
      <c r="P1631" s="68">
        <v>45491</v>
      </c>
      <c r="Q1631" s="57">
        <v>1804.6692567427388</v>
      </c>
      <c r="R1631" t="s">
        <v>3112</v>
      </c>
    </row>
    <row r="1632" spans="1:18">
      <c r="A1632">
        <v>2653</v>
      </c>
      <c r="B1632" t="s">
        <v>4388</v>
      </c>
      <c r="C1632" t="s">
        <v>0</v>
      </c>
      <c r="D1632" t="s">
        <v>4384</v>
      </c>
      <c r="I1632" t="s">
        <v>4386</v>
      </c>
      <c r="J1632">
        <v>2</v>
      </c>
      <c r="K1632" t="s">
        <v>313</v>
      </c>
      <c r="L1632" s="67">
        <v>0</v>
      </c>
      <c r="M1632" t="s">
        <v>4</v>
      </c>
      <c r="N1632" s="67" t="s">
        <v>8</v>
      </c>
      <c r="O1632" s="68">
        <v>45491</v>
      </c>
      <c r="P1632" s="68">
        <v>45491</v>
      </c>
      <c r="Q1632" s="57">
        <v>1804.6692567427388</v>
      </c>
      <c r="R1632" t="s">
        <v>3112</v>
      </c>
    </row>
    <row r="1633" spans="1:18">
      <c r="A1633">
        <v>2654</v>
      </c>
      <c r="B1633" t="s">
        <v>4390</v>
      </c>
      <c r="C1633" t="s">
        <v>0</v>
      </c>
      <c r="D1633" t="s">
        <v>4389</v>
      </c>
      <c r="I1633" t="s">
        <v>3446</v>
      </c>
      <c r="J1633">
        <v>1</v>
      </c>
      <c r="K1633" t="s">
        <v>313</v>
      </c>
      <c r="L1633" s="67">
        <v>0</v>
      </c>
      <c r="M1633" t="s">
        <v>4</v>
      </c>
      <c r="N1633" s="67" t="s">
        <v>8</v>
      </c>
      <c r="O1633" s="68">
        <v>45491</v>
      </c>
      <c r="P1633" s="68">
        <v>45491</v>
      </c>
      <c r="Q1633" s="57">
        <v>593.34697225955949</v>
      </c>
      <c r="R1633" t="s">
        <v>3112</v>
      </c>
    </row>
    <row r="1634" spans="1:18">
      <c r="A1634">
        <v>2655</v>
      </c>
      <c r="B1634" t="s">
        <v>4392</v>
      </c>
      <c r="C1634" t="s">
        <v>0</v>
      </c>
      <c r="D1634" t="s">
        <v>4391</v>
      </c>
      <c r="I1634" t="s">
        <v>715</v>
      </c>
      <c r="J1634">
        <v>1</v>
      </c>
      <c r="K1634" t="s">
        <v>313</v>
      </c>
      <c r="L1634" s="67">
        <v>0.03</v>
      </c>
      <c r="M1634" t="s">
        <v>4</v>
      </c>
      <c r="N1634" s="67" t="s">
        <v>8</v>
      </c>
      <c r="O1634" s="68">
        <v>45492</v>
      </c>
      <c r="P1634" s="68">
        <v>45492</v>
      </c>
      <c r="Q1634" s="57">
        <v>849.23143634112864</v>
      </c>
      <c r="R1634" t="s">
        <v>3112</v>
      </c>
    </row>
    <row r="1635" spans="1:18">
      <c r="A1635">
        <v>2656</v>
      </c>
      <c r="B1635" t="s">
        <v>4393</v>
      </c>
      <c r="C1635" t="s">
        <v>0</v>
      </c>
      <c r="D1635" t="s">
        <v>4391</v>
      </c>
      <c r="I1635" t="s">
        <v>715</v>
      </c>
      <c r="J1635">
        <v>1</v>
      </c>
      <c r="K1635" t="s">
        <v>313</v>
      </c>
      <c r="L1635" s="67">
        <v>0</v>
      </c>
      <c r="M1635" t="s">
        <v>4</v>
      </c>
      <c r="N1635" s="67" t="s">
        <v>8</v>
      </c>
      <c r="O1635" s="68">
        <v>45493</v>
      </c>
      <c r="P1635" s="68">
        <v>45493</v>
      </c>
      <c r="Q1635" s="57">
        <v>849.23143634112864</v>
      </c>
      <c r="R1635" t="s">
        <v>3112</v>
      </c>
    </row>
    <row r="1636" spans="1:18">
      <c r="A1636">
        <v>2657</v>
      </c>
      <c r="B1636" t="s">
        <v>4395</v>
      </c>
      <c r="C1636" t="s">
        <v>0</v>
      </c>
      <c r="D1636" t="s">
        <v>4394</v>
      </c>
      <c r="I1636" t="s">
        <v>715</v>
      </c>
      <c r="J1636">
        <v>1</v>
      </c>
      <c r="K1636" t="s">
        <v>313</v>
      </c>
      <c r="L1636" s="67">
        <v>-0.01</v>
      </c>
      <c r="M1636" t="s">
        <v>4</v>
      </c>
      <c r="N1636" s="67" t="s">
        <v>8</v>
      </c>
      <c r="O1636" s="68">
        <v>45493</v>
      </c>
      <c r="P1636" s="68">
        <v>45493</v>
      </c>
      <c r="Q1636" s="57">
        <v>2669.0130856435467</v>
      </c>
      <c r="R1636" t="s">
        <v>3112</v>
      </c>
    </row>
    <row r="1637" spans="1:18">
      <c r="A1637">
        <v>2658</v>
      </c>
      <c r="B1637" t="s">
        <v>4396</v>
      </c>
      <c r="C1637" t="s">
        <v>0</v>
      </c>
      <c r="D1637" t="s">
        <v>4394</v>
      </c>
      <c r="I1637" t="s">
        <v>715</v>
      </c>
      <c r="J1637">
        <v>2</v>
      </c>
      <c r="K1637" t="s">
        <v>313</v>
      </c>
      <c r="L1637" s="67">
        <v>-4.4999999999999998E-2</v>
      </c>
      <c r="M1637" t="s">
        <v>4</v>
      </c>
      <c r="N1637" s="67" t="s">
        <v>8</v>
      </c>
      <c r="O1637" s="68">
        <v>45493</v>
      </c>
      <c r="P1637" s="68">
        <v>45493</v>
      </c>
      <c r="Q1637" s="57">
        <v>2669.0130856435467</v>
      </c>
      <c r="R1637" t="s">
        <v>3112</v>
      </c>
    </row>
    <row r="1638" spans="1:18">
      <c r="A1638">
        <v>2659</v>
      </c>
      <c r="B1638" t="s">
        <v>4398</v>
      </c>
      <c r="C1638" t="s">
        <v>0</v>
      </c>
      <c r="D1638" t="s">
        <v>4397</v>
      </c>
      <c r="I1638" t="s">
        <v>3042</v>
      </c>
      <c r="J1638">
        <v>1</v>
      </c>
      <c r="K1638" t="s">
        <v>313</v>
      </c>
      <c r="L1638" s="67">
        <v>0.01</v>
      </c>
      <c r="M1638" t="s">
        <v>4</v>
      </c>
      <c r="N1638" s="67" t="s">
        <v>8</v>
      </c>
      <c r="O1638" s="68">
        <v>45493</v>
      </c>
      <c r="P1638" s="68">
        <v>45493</v>
      </c>
      <c r="Q1638" s="57">
        <v>611.49875180666243</v>
      </c>
      <c r="R1638" t="s">
        <v>3112</v>
      </c>
    </row>
    <row r="1639" spans="1:18">
      <c r="A1639">
        <v>2660</v>
      </c>
      <c r="B1639" t="s">
        <v>4402</v>
      </c>
      <c r="C1639" t="s">
        <v>0</v>
      </c>
      <c r="D1639" t="s">
        <v>4400</v>
      </c>
      <c r="I1639" t="s">
        <v>715</v>
      </c>
      <c r="J1639">
        <v>2</v>
      </c>
      <c r="K1639" t="s">
        <v>313</v>
      </c>
      <c r="L1639" s="67">
        <v>0</v>
      </c>
      <c r="M1639" t="s">
        <v>4</v>
      </c>
      <c r="N1639" s="67" t="s">
        <v>8</v>
      </c>
      <c r="O1639" s="68">
        <v>45495</v>
      </c>
      <c r="P1639" s="68">
        <v>45495</v>
      </c>
      <c r="Q1639" s="57">
        <v>1819.7816493024184</v>
      </c>
      <c r="R1639" t="s">
        <v>3112</v>
      </c>
    </row>
    <row r="1640" spans="1:18">
      <c r="A1640">
        <v>2661</v>
      </c>
      <c r="B1640" t="s">
        <v>4403</v>
      </c>
      <c r="C1640" t="s">
        <v>0</v>
      </c>
      <c r="D1640" t="s">
        <v>4400</v>
      </c>
      <c r="I1640" t="s">
        <v>715</v>
      </c>
      <c r="J1640">
        <v>1</v>
      </c>
      <c r="K1640" t="s">
        <v>313</v>
      </c>
      <c r="L1640" s="67">
        <v>0</v>
      </c>
      <c r="M1640" t="s">
        <v>4</v>
      </c>
      <c r="N1640" s="67" t="s">
        <v>8</v>
      </c>
      <c r="O1640" s="68">
        <v>45495</v>
      </c>
      <c r="P1640" s="68">
        <v>45495</v>
      </c>
      <c r="Q1640" s="57">
        <v>788.57204803104776</v>
      </c>
      <c r="R1640" t="s">
        <v>3112</v>
      </c>
    </row>
    <row r="1641" spans="1:18">
      <c r="A1641">
        <v>2662</v>
      </c>
      <c r="B1641" t="s">
        <v>4404</v>
      </c>
      <c r="C1641" t="s">
        <v>7</v>
      </c>
      <c r="D1641" t="s">
        <v>4399</v>
      </c>
      <c r="I1641" t="s">
        <v>2189</v>
      </c>
      <c r="J1641">
        <v>1</v>
      </c>
      <c r="K1641" t="s">
        <v>313</v>
      </c>
      <c r="L1641" s="67">
        <v>0</v>
      </c>
      <c r="M1641" t="s">
        <v>4</v>
      </c>
      <c r="N1641" s="67" t="s">
        <v>8</v>
      </c>
      <c r="O1641" s="68">
        <v>45495</v>
      </c>
      <c r="P1641" s="68">
        <v>45495</v>
      </c>
      <c r="Q1641" s="57">
        <v>788.57204803104776</v>
      </c>
      <c r="R1641" t="s">
        <v>3112</v>
      </c>
    </row>
    <row r="1642" spans="1:18">
      <c r="A1642">
        <v>2663</v>
      </c>
      <c r="B1642" t="s">
        <v>4406</v>
      </c>
      <c r="C1642" t="s">
        <v>0</v>
      </c>
      <c r="D1642" t="s">
        <v>3770</v>
      </c>
      <c r="I1642" t="s">
        <v>4405</v>
      </c>
      <c r="J1642">
        <v>1</v>
      </c>
      <c r="K1642" t="s">
        <v>313</v>
      </c>
      <c r="L1642" s="67">
        <v>0</v>
      </c>
      <c r="M1642" t="s">
        <v>4</v>
      </c>
      <c r="N1642" s="67" t="s">
        <v>8</v>
      </c>
      <c r="O1642" s="68">
        <v>45495</v>
      </c>
      <c r="P1642" s="68">
        <v>45495</v>
      </c>
      <c r="Q1642" s="57">
        <v>240.18186689250126</v>
      </c>
      <c r="R1642" t="s">
        <v>3112</v>
      </c>
    </row>
    <row r="1643" spans="1:18">
      <c r="A1643">
        <v>2664</v>
      </c>
      <c r="B1643" t="s">
        <v>4417</v>
      </c>
      <c r="C1643" t="s">
        <v>0</v>
      </c>
      <c r="D1643" t="s">
        <v>4415</v>
      </c>
      <c r="I1643" t="s">
        <v>1136</v>
      </c>
      <c r="J1643">
        <v>1</v>
      </c>
      <c r="K1643" t="s">
        <v>313</v>
      </c>
      <c r="L1643" s="67">
        <v>0.03</v>
      </c>
      <c r="M1643" t="s">
        <v>4</v>
      </c>
      <c r="N1643" s="67" t="s">
        <v>8</v>
      </c>
      <c r="O1643" s="68">
        <v>45495</v>
      </c>
      <c r="P1643" s="68">
        <v>45495</v>
      </c>
      <c r="Q1643" s="57">
        <v>980.44589222116292</v>
      </c>
      <c r="R1643" t="s">
        <v>3112</v>
      </c>
    </row>
    <row r="1644" spans="1:18">
      <c r="A1644">
        <v>2665</v>
      </c>
      <c r="B1644" t="s">
        <v>4418</v>
      </c>
      <c r="C1644" t="s">
        <v>0</v>
      </c>
      <c r="D1644" t="s">
        <v>4416</v>
      </c>
      <c r="I1644" t="s">
        <v>2189</v>
      </c>
      <c r="J1644">
        <v>1</v>
      </c>
      <c r="K1644" t="s">
        <v>313</v>
      </c>
      <c r="L1644" s="67">
        <v>0</v>
      </c>
      <c r="M1644" t="s">
        <v>4</v>
      </c>
      <c r="N1644" s="67" t="s">
        <v>8</v>
      </c>
      <c r="O1644" s="68">
        <v>45495</v>
      </c>
      <c r="P1644" s="68">
        <v>45495</v>
      </c>
      <c r="Q1644" s="57">
        <v>970.55021296128962</v>
      </c>
      <c r="R1644" t="s">
        <v>3112</v>
      </c>
    </row>
    <row r="1645" spans="1:18">
      <c r="A1645">
        <v>2666</v>
      </c>
      <c r="B1645" t="s">
        <v>4419</v>
      </c>
      <c r="C1645" t="s">
        <v>0</v>
      </c>
      <c r="D1645" t="s">
        <v>4416</v>
      </c>
      <c r="I1645" t="s">
        <v>2189</v>
      </c>
      <c r="J1645">
        <v>1</v>
      </c>
      <c r="K1645" t="s">
        <v>313</v>
      </c>
      <c r="L1645" s="67">
        <v>0</v>
      </c>
      <c r="M1645" t="s">
        <v>4</v>
      </c>
      <c r="N1645" s="67" t="s">
        <v>8</v>
      </c>
      <c r="O1645" s="68">
        <v>45495</v>
      </c>
      <c r="P1645" s="68">
        <v>45495</v>
      </c>
      <c r="Q1645" s="57">
        <v>788.57204803104776</v>
      </c>
      <c r="R1645" t="s">
        <v>3112</v>
      </c>
    </row>
    <row r="1646" spans="1:18">
      <c r="A1646">
        <v>2667</v>
      </c>
      <c r="B1646" t="s">
        <v>4421</v>
      </c>
      <c r="C1646" t="s">
        <v>0</v>
      </c>
      <c r="D1646" t="s">
        <v>4420</v>
      </c>
      <c r="I1646" t="s">
        <v>24</v>
      </c>
      <c r="J1646">
        <v>1</v>
      </c>
      <c r="K1646" t="s">
        <v>313</v>
      </c>
      <c r="L1646" s="67">
        <v>0</v>
      </c>
      <c r="M1646" t="s">
        <v>4</v>
      </c>
      <c r="N1646" s="67" t="s">
        <v>8</v>
      </c>
      <c r="O1646" s="68">
        <v>45496</v>
      </c>
      <c r="P1646" s="68">
        <v>45496</v>
      </c>
      <c r="Q1646" s="57">
        <v>474.67757780764754</v>
      </c>
      <c r="R1646" t="s">
        <v>3112</v>
      </c>
    </row>
    <row r="1647" spans="1:18">
      <c r="A1647">
        <v>2668</v>
      </c>
      <c r="B1647" t="s">
        <v>4423</v>
      </c>
      <c r="C1647" t="s">
        <v>0</v>
      </c>
      <c r="D1647" t="s">
        <v>4422</v>
      </c>
      <c r="I1647" t="s">
        <v>133</v>
      </c>
      <c r="J1647">
        <v>1</v>
      </c>
      <c r="K1647" t="s">
        <v>313</v>
      </c>
      <c r="L1647" s="67">
        <v>0</v>
      </c>
      <c r="M1647" t="s">
        <v>4</v>
      </c>
      <c r="N1647" s="67" t="s">
        <v>8</v>
      </c>
      <c r="O1647" s="68">
        <v>45497</v>
      </c>
      <c r="P1647" s="68">
        <v>45497</v>
      </c>
      <c r="Q1647" s="57">
        <v>485.27510648064481</v>
      </c>
      <c r="R1647" t="s">
        <v>3112</v>
      </c>
    </row>
    <row r="1648" spans="1:18">
      <c r="A1648">
        <v>2669</v>
      </c>
      <c r="B1648" t="s">
        <v>4426</v>
      </c>
      <c r="C1648" t="s">
        <v>0</v>
      </c>
      <c r="D1648" t="s">
        <v>4424</v>
      </c>
      <c r="I1648" t="s">
        <v>4425</v>
      </c>
      <c r="J1648">
        <v>1</v>
      </c>
      <c r="K1648" t="s">
        <v>313</v>
      </c>
      <c r="L1648" s="67">
        <v>0</v>
      </c>
      <c r="M1648" t="s">
        <v>4</v>
      </c>
      <c r="N1648" s="67" t="s">
        <v>8</v>
      </c>
      <c r="O1648" s="68">
        <v>45497</v>
      </c>
      <c r="P1648" s="68">
        <v>45497</v>
      </c>
      <c r="Q1648" s="57">
        <v>902.33462837136938</v>
      </c>
      <c r="R1648" t="s">
        <v>3112</v>
      </c>
    </row>
    <row r="1649" spans="1:18">
      <c r="A1649">
        <v>2670</v>
      </c>
      <c r="B1649" t="s">
        <v>4428</v>
      </c>
      <c r="C1649" t="s">
        <v>7</v>
      </c>
      <c r="D1649" t="s">
        <v>4427</v>
      </c>
      <c r="I1649" t="s">
        <v>1046</v>
      </c>
      <c r="J1649">
        <v>2</v>
      </c>
      <c r="K1649" t="s">
        <v>313</v>
      </c>
      <c r="L1649" s="67">
        <v>0.03</v>
      </c>
      <c r="M1649" t="s">
        <v>4</v>
      </c>
      <c r="N1649" s="67" t="s">
        <v>8</v>
      </c>
      <c r="O1649" s="68">
        <v>45497</v>
      </c>
      <c r="P1649" s="68">
        <v>45497</v>
      </c>
      <c r="Q1649" s="57">
        <v>1334.5065428217733</v>
      </c>
      <c r="R1649" t="s">
        <v>3112</v>
      </c>
    </row>
    <row r="1650" spans="1:18">
      <c r="A1650">
        <v>2671</v>
      </c>
      <c r="B1650" t="s">
        <v>4430</v>
      </c>
      <c r="C1650" t="s">
        <v>0</v>
      </c>
      <c r="D1650" t="s">
        <v>4429</v>
      </c>
      <c r="I1650" t="s">
        <v>24</v>
      </c>
      <c r="J1650">
        <v>1</v>
      </c>
      <c r="K1650" t="s">
        <v>313</v>
      </c>
      <c r="L1650" s="67">
        <v>0.01</v>
      </c>
      <c r="M1650" t="s">
        <v>4</v>
      </c>
      <c r="N1650" s="67" t="s">
        <v>8</v>
      </c>
      <c r="O1650" s="68">
        <v>45497</v>
      </c>
      <c r="P1650" s="68">
        <v>45497</v>
      </c>
      <c r="Q1650" s="57">
        <v>237.33878890382377</v>
      </c>
      <c r="R1650" t="s">
        <v>3112</v>
      </c>
    </row>
    <row r="1651" spans="1:18">
      <c r="A1651">
        <v>2672</v>
      </c>
      <c r="B1651" t="s">
        <v>4432</v>
      </c>
      <c r="C1651" t="s">
        <v>7</v>
      </c>
      <c r="D1651" t="s">
        <v>4431</v>
      </c>
      <c r="J1651">
        <v>2</v>
      </c>
      <c r="K1651" t="s">
        <v>313</v>
      </c>
      <c r="L1651" s="67">
        <v>0.03</v>
      </c>
      <c r="M1651" t="s">
        <v>4</v>
      </c>
      <c r="N1651" s="67" t="s">
        <v>8</v>
      </c>
      <c r="O1651" s="68">
        <v>45497</v>
      </c>
      <c r="P1651" s="68">
        <v>45497</v>
      </c>
      <c r="Q1651" s="57">
        <v>2136.0491001344139</v>
      </c>
      <c r="R1651" t="s">
        <v>3112</v>
      </c>
    </row>
    <row r="1652" spans="1:18">
      <c r="A1652">
        <v>2673</v>
      </c>
      <c r="B1652" t="s">
        <v>4434</v>
      </c>
      <c r="C1652" t="s">
        <v>7</v>
      </c>
      <c r="D1652" t="s">
        <v>4433</v>
      </c>
      <c r="J1652">
        <v>5</v>
      </c>
      <c r="K1652" t="s">
        <v>313</v>
      </c>
      <c r="L1652" s="67">
        <v>0.03</v>
      </c>
      <c r="M1652" t="s">
        <v>4</v>
      </c>
      <c r="N1652" s="67" t="s">
        <v>8</v>
      </c>
      <c r="O1652" s="68">
        <v>45497</v>
      </c>
      <c r="P1652" s="68">
        <v>45497</v>
      </c>
      <c r="Q1652" s="57">
        <v>3560.0818335573567</v>
      </c>
      <c r="R1652" t="s">
        <v>3112</v>
      </c>
    </row>
    <row r="1653" spans="1:18">
      <c r="A1653">
        <v>2674</v>
      </c>
      <c r="B1653" t="s">
        <v>4436</v>
      </c>
      <c r="C1653" t="s">
        <v>0</v>
      </c>
      <c r="D1653" t="s">
        <v>4435</v>
      </c>
      <c r="J1653">
        <v>1</v>
      </c>
      <c r="K1653" t="s">
        <v>313</v>
      </c>
      <c r="L1653" s="67">
        <v>0.01</v>
      </c>
      <c r="M1653" t="s">
        <v>4</v>
      </c>
      <c r="N1653" s="67" t="s">
        <v>8</v>
      </c>
      <c r="O1653" s="68">
        <v>45502</v>
      </c>
      <c r="P1653" s="68">
        <v>45502</v>
      </c>
      <c r="Q1653" s="57">
        <v>1780.0409167786784</v>
      </c>
      <c r="R1653" t="s">
        <v>3112</v>
      </c>
    </row>
    <row r="1654" spans="1:18">
      <c r="A1654">
        <v>2675</v>
      </c>
      <c r="B1654" t="s">
        <v>4437</v>
      </c>
      <c r="C1654" t="s">
        <v>0</v>
      </c>
      <c r="D1654" t="s">
        <v>4435</v>
      </c>
      <c r="J1654">
        <v>1</v>
      </c>
      <c r="K1654" t="s">
        <v>313</v>
      </c>
      <c r="L1654" s="67">
        <v>0.01</v>
      </c>
      <c r="M1654" t="s">
        <v>4</v>
      </c>
      <c r="N1654" s="67" t="s">
        <v>8</v>
      </c>
      <c r="O1654" s="68">
        <v>45502</v>
      </c>
      <c r="P1654" s="68">
        <v>45502</v>
      </c>
      <c r="Q1654" s="57">
        <v>1780.0409167786784</v>
      </c>
      <c r="R1654" t="s">
        <v>3112</v>
      </c>
    </row>
    <row r="1655" spans="1:18">
      <c r="A1655">
        <v>2676</v>
      </c>
      <c r="B1655" t="s">
        <v>4439</v>
      </c>
      <c r="C1655" t="s">
        <v>0</v>
      </c>
      <c r="D1655" t="s">
        <v>4438</v>
      </c>
      <c r="I1655" t="s">
        <v>1272</v>
      </c>
      <c r="J1655">
        <v>1</v>
      </c>
      <c r="K1655" t="s">
        <v>313</v>
      </c>
      <c r="L1655" s="67">
        <v>0.01</v>
      </c>
      <c r="M1655" t="s">
        <v>4</v>
      </c>
      <c r="N1655" s="67" t="s">
        <v>8</v>
      </c>
      <c r="O1655" s="68">
        <v>45503</v>
      </c>
      <c r="P1655" s="68">
        <v>45503</v>
      </c>
      <c r="Q1655" s="57">
        <v>296.67348612977975</v>
      </c>
      <c r="R1655" t="s">
        <v>3112</v>
      </c>
    </row>
    <row r="1656" spans="1:18">
      <c r="A1656">
        <v>2677</v>
      </c>
      <c r="B1656" t="s">
        <v>4441</v>
      </c>
      <c r="C1656" t="s">
        <v>0</v>
      </c>
      <c r="D1656" t="s">
        <v>4440</v>
      </c>
      <c r="I1656" t="s">
        <v>1046</v>
      </c>
      <c r="J1656">
        <v>1</v>
      </c>
      <c r="K1656" t="s">
        <v>313</v>
      </c>
      <c r="L1656" s="67">
        <v>0.02</v>
      </c>
      <c r="M1656" t="s">
        <v>4</v>
      </c>
      <c r="N1656" s="67" t="s">
        <v>8</v>
      </c>
      <c r="O1656" s="68">
        <v>45504</v>
      </c>
      <c r="P1656" s="68">
        <v>45504</v>
      </c>
      <c r="Q1656" s="57">
        <v>177.31205813715874</v>
      </c>
      <c r="R1656" t="s">
        <v>3112</v>
      </c>
    </row>
    <row r="1657" spans="1:18">
      <c r="A1657">
        <v>2678</v>
      </c>
      <c r="B1657" t="s">
        <v>4443</v>
      </c>
      <c r="C1657" t="s">
        <v>0</v>
      </c>
      <c r="D1657" t="s">
        <v>4442</v>
      </c>
      <c r="I1657" t="s">
        <v>24</v>
      </c>
      <c r="J1657">
        <v>1</v>
      </c>
      <c r="K1657" t="s">
        <v>313</v>
      </c>
      <c r="L1657" s="67">
        <v>0.01</v>
      </c>
      <c r="M1657" t="s">
        <v>4</v>
      </c>
      <c r="N1657" s="67" t="s">
        <v>8</v>
      </c>
      <c r="O1657" s="68">
        <v>45505</v>
      </c>
      <c r="P1657" s="68">
        <v>45505</v>
      </c>
      <c r="Q1657" s="57">
        <v>6052.1391170475063</v>
      </c>
      <c r="R1657" t="s">
        <v>3112</v>
      </c>
    </row>
    <row r="1658" spans="1:18">
      <c r="A1658">
        <v>2679</v>
      </c>
      <c r="B1658" t="s">
        <v>4445</v>
      </c>
      <c r="C1658" t="s">
        <v>0</v>
      </c>
      <c r="D1658" t="s">
        <v>4444</v>
      </c>
      <c r="I1658" t="s">
        <v>1272</v>
      </c>
      <c r="J1658">
        <v>1</v>
      </c>
      <c r="K1658" t="s">
        <v>313</v>
      </c>
      <c r="L1658" s="67">
        <v>0.03</v>
      </c>
      <c r="M1658" t="s">
        <v>4</v>
      </c>
      <c r="N1658" s="67" t="s">
        <v>8</v>
      </c>
      <c r="O1658" s="68">
        <v>45505</v>
      </c>
      <c r="P1658" s="68">
        <v>45505</v>
      </c>
      <c r="Q1658" s="57">
        <v>118.66939445191188</v>
      </c>
      <c r="R1658" t="s">
        <v>3112</v>
      </c>
    </row>
    <row r="1659" spans="1:18">
      <c r="A1659">
        <v>2680</v>
      </c>
      <c r="B1659" t="s">
        <v>4447</v>
      </c>
      <c r="C1659" t="s">
        <v>0</v>
      </c>
      <c r="D1659" t="s">
        <v>4446</v>
      </c>
      <c r="I1659" t="s">
        <v>1272</v>
      </c>
      <c r="J1659">
        <v>1</v>
      </c>
      <c r="K1659" t="s">
        <v>313</v>
      </c>
      <c r="L1659" s="67">
        <v>0</v>
      </c>
      <c r="M1659" t="s">
        <v>4</v>
      </c>
      <c r="N1659" s="67" t="s">
        <v>8</v>
      </c>
      <c r="O1659" s="68">
        <v>45505</v>
      </c>
      <c r="P1659" s="68">
        <v>45505</v>
      </c>
      <c r="Q1659" s="57">
        <v>178.00409167786782</v>
      </c>
      <c r="R1659" t="s">
        <v>3112</v>
      </c>
    </row>
    <row r="1660" spans="1:18">
      <c r="A1660">
        <v>2681</v>
      </c>
      <c r="B1660" t="s">
        <v>4449</v>
      </c>
      <c r="C1660" t="s">
        <v>0</v>
      </c>
      <c r="D1660" t="s">
        <v>4448</v>
      </c>
      <c r="I1660" t="s">
        <v>3446</v>
      </c>
      <c r="J1660">
        <v>1</v>
      </c>
      <c r="K1660" t="s">
        <v>313</v>
      </c>
      <c r="L1660" s="67">
        <v>0</v>
      </c>
      <c r="M1660" t="s">
        <v>4</v>
      </c>
      <c r="N1660" s="67" t="s">
        <v>8</v>
      </c>
      <c r="O1660" s="68">
        <v>45505</v>
      </c>
      <c r="P1660" s="68">
        <v>45505</v>
      </c>
      <c r="Q1660" s="57">
        <v>179.83918540650564</v>
      </c>
      <c r="R1660" t="s">
        <v>3112</v>
      </c>
    </row>
    <row r="1661" spans="1:18">
      <c r="A1661">
        <v>2682</v>
      </c>
      <c r="B1661" t="s">
        <v>4452</v>
      </c>
      <c r="C1661" t="s">
        <v>0</v>
      </c>
      <c r="D1661" t="s">
        <v>4451</v>
      </c>
      <c r="I1661" t="s">
        <v>4450</v>
      </c>
      <c r="J1661">
        <v>1</v>
      </c>
      <c r="K1661" t="s">
        <v>313</v>
      </c>
      <c r="L1661" s="67">
        <v>0</v>
      </c>
      <c r="M1661" t="s">
        <v>4</v>
      </c>
      <c r="N1661" s="67" t="s">
        <v>8</v>
      </c>
      <c r="O1661" s="68">
        <v>45506</v>
      </c>
      <c r="P1661" s="68">
        <v>45506</v>
      </c>
      <c r="Q1661" s="57">
        <v>3882.2008518451585</v>
      </c>
      <c r="R1661" t="s">
        <v>3112</v>
      </c>
    </row>
    <row r="1662" spans="1:18">
      <c r="A1662">
        <v>2683</v>
      </c>
      <c r="B1662" t="s">
        <v>4453</v>
      </c>
      <c r="C1662" t="s">
        <v>0</v>
      </c>
      <c r="D1662" t="s">
        <v>4451</v>
      </c>
      <c r="I1662" t="s">
        <v>4450</v>
      </c>
      <c r="J1662">
        <v>1</v>
      </c>
      <c r="K1662" t="s">
        <v>313</v>
      </c>
      <c r="L1662" s="67">
        <v>0.03</v>
      </c>
      <c r="M1662" t="s">
        <v>4</v>
      </c>
      <c r="N1662" s="67" t="s">
        <v>8</v>
      </c>
      <c r="O1662" s="68">
        <v>45506</v>
      </c>
      <c r="P1662" s="68">
        <v>45506</v>
      </c>
      <c r="Q1662" s="57">
        <v>3882.2008518451585</v>
      </c>
      <c r="R1662" t="s">
        <v>3112</v>
      </c>
    </row>
    <row r="1663" spans="1:18">
      <c r="A1663">
        <v>2684</v>
      </c>
      <c r="B1663" t="s">
        <v>4455</v>
      </c>
      <c r="C1663" t="s">
        <v>0</v>
      </c>
      <c r="D1663" t="s">
        <v>4454</v>
      </c>
      <c r="I1663" t="s">
        <v>1434</v>
      </c>
      <c r="J1663">
        <v>1</v>
      </c>
      <c r="K1663" t="s">
        <v>313</v>
      </c>
      <c r="L1663" s="67">
        <v>0.03</v>
      </c>
      <c r="M1663" t="s">
        <v>4</v>
      </c>
      <c r="N1663" s="67" t="s">
        <v>8</v>
      </c>
      <c r="O1663" s="68">
        <v>45510</v>
      </c>
      <c r="P1663" s="68">
        <v>45510</v>
      </c>
      <c r="Q1663" s="57">
        <v>115.62658946596542</v>
      </c>
      <c r="R1663" t="s">
        <v>3112</v>
      </c>
    </row>
    <row r="1664" spans="1:18">
      <c r="A1664">
        <v>2685</v>
      </c>
      <c r="B1664" t="s">
        <v>4457</v>
      </c>
      <c r="C1664" t="s">
        <v>0</v>
      </c>
      <c r="D1664" t="s">
        <v>4456</v>
      </c>
      <c r="I1664" t="s">
        <v>133</v>
      </c>
      <c r="J1664">
        <v>1</v>
      </c>
      <c r="K1664" t="s">
        <v>313</v>
      </c>
      <c r="L1664" s="67">
        <v>0.05</v>
      </c>
      <c r="M1664" t="s">
        <v>4</v>
      </c>
      <c r="N1664" s="67" t="s">
        <v>8</v>
      </c>
      <c r="O1664" s="68">
        <v>45510</v>
      </c>
      <c r="P1664" s="68">
        <v>45510</v>
      </c>
      <c r="Q1664" s="57">
        <v>3275.6069687443528</v>
      </c>
      <c r="R1664" t="s">
        <v>3112</v>
      </c>
    </row>
    <row r="1665" spans="1:18">
      <c r="A1665">
        <v>2686</v>
      </c>
      <c r="B1665" t="s">
        <v>4458</v>
      </c>
      <c r="C1665" t="s">
        <v>7</v>
      </c>
      <c r="D1665" t="s">
        <v>4442</v>
      </c>
      <c r="I1665" t="s">
        <v>24</v>
      </c>
      <c r="J1665">
        <v>1</v>
      </c>
      <c r="K1665" t="s">
        <v>313</v>
      </c>
      <c r="L1665" s="67">
        <v>0.01</v>
      </c>
      <c r="M1665" t="s">
        <v>4</v>
      </c>
      <c r="N1665" s="67" t="s">
        <v>8</v>
      </c>
      <c r="O1665" s="68">
        <v>45510</v>
      </c>
      <c r="P1665" s="68">
        <v>45510</v>
      </c>
      <c r="Q1665" s="57">
        <v>6052.1391170475063</v>
      </c>
      <c r="R1665" t="s">
        <v>3112</v>
      </c>
    </row>
    <row r="1666" spans="1:18">
      <c r="A1666">
        <v>2687</v>
      </c>
      <c r="B1666" t="s">
        <v>4461</v>
      </c>
      <c r="C1666" t="s">
        <v>0</v>
      </c>
      <c r="D1666" t="s">
        <v>4460</v>
      </c>
      <c r="I1666" t="s">
        <v>4459</v>
      </c>
      <c r="J1666">
        <v>1</v>
      </c>
      <c r="K1666" t="s">
        <v>313</v>
      </c>
      <c r="L1666" s="67">
        <v>0.01</v>
      </c>
      <c r="M1666" t="s">
        <v>4</v>
      </c>
      <c r="N1666" s="67" t="s">
        <v>8</v>
      </c>
      <c r="O1666" s="68">
        <v>45510</v>
      </c>
      <c r="P1666" s="68">
        <v>45510</v>
      </c>
      <c r="Q1666" s="57">
        <v>193.35742036529348</v>
      </c>
      <c r="R1666" t="s">
        <v>3112</v>
      </c>
    </row>
    <row r="1667" spans="1:18">
      <c r="A1667">
        <v>2688</v>
      </c>
      <c r="B1667" t="s">
        <v>4463</v>
      </c>
      <c r="C1667" t="s">
        <v>0</v>
      </c>
      <c r="D1667" t="s">
        <v>4462</v>
      </c>
      <c r="I1667" t="s">
        <v>1434</v>
      </c>
      <c r="J1667">
        <v>1</v>
      </c>
      <c r="K1667" t="s">
        <v>313</v>
      </c>
      <c r="L1667" s="67">
        <v>0</v>
      </c>
      <c r="M1667" t="s">
        <v>4</v>
      </c>
      <c r="N1667" s="67" t="s">
        <v>8</v>
      </c>
      <c r="O1667" s="68">
        <v>45513</v>
      </c>
      <c r="P1667" s="68">
        <v>45513</v>
      </c>
      <c r="Q1667" s="57">
        <v>7120.1636671147135</v>
      </c>
      <c r="R1667" t="s">
        <v>3112</v>
      </c>
    </row>
    <row r="1668" spans="1:18">
      <c r="A1668">
        <v>2689</v>
      </c>
      <c r="B1668" t="s">
        <v>4464</v>
      </c>
      <c r="C1668" t="s">
        <v>0</v>
      </c>
      <c r="D1668" t="s">
        <v>4440</v>
      </c>
      <c r="I1668" t="s">
        <v>1046</v>
      </c>
      <c r="J1668">
        <v>1</v>
      </c>
      <c r="K1668" t="s">
        <v>313</v>
      </c>
      <c r="L1668" s="67">
        <v>0</v>
      </c>
      <c r="M1668" t="s">
        <v>4</v>
      </c>
      <c r="N1668" s="67" t="s">
        <v>8</v>
      </c>
      <c r="O1668" s="68">
        <v>45513</v>
      </c>
      <c r="P1668" s="68">
        <v>45513</v>
      </c>
      <c r="Q1668" s="57">
        <v>177.31205813715874</v>
      </c>
      <c r="R1668" t="s">
        <v>3112</v>
      </c>
    </row>
    <row r="1669" spans="1:18">
      <c r="A1669">
        <v>2690</v>
      </c>
      <c r="B1669" t="s">
        <v>4467</v>
      </c>
      <c r="C1669" t="s">
        <v>0</v>
      </c>
      <c r="D1669" t="s">
        <v>4466</v>
      </c>
      <c r="I1669" t="s">
        <v>4465</v>
      </c>
      <c r="J1669">
        <v>1</v>
      </c>
      <c r="K1669" t="s">
        <v>313</v>
      </c>
      <c r="L1669" s="67">
        <v>0</v>
      </c>
      <c r="M1669" t="s">
        <v>4</v>
      </c>
      <c r="N1669" s="67" t="s">
        <v>8</v>
      </c>
      <c r="O1669" s="68">
        <v>45513</v>
      </c>
      <c r="P1669" s="68">
        <v>45513</v>
      </c>
      <c r="Q1669" s="57">
        <v>424.61571817056432</v>
      </c>
      <c r="R1669" t="s">
        <v>3112</v>
      </c>
    </row>
    <row r="1670" spans="1:18">
      <c r="A1670">
        <v>2691</v>
      </c>
      <c r="B1670" t="s">
        <v>4469</v>
      </c>
      <c r="C1670" t="s">
        <v>0</v>
      </c>
      <c r="D1670" t="s">
        <v>4468</v>
      </c>
      <c r="I1670" t="s">
        <v>1434</v>
      </c>
      <c r="J1670">
        <v>2</v>
      </c>
      <c r="K1670" t="s">
        <v>313</v>
      </c>
      <c r="L1670" s="67">
        <v>0.03</v>
      </c>
      <c r="M1670" t="s">
        <v>4</v>
      </c>
      <c r="N1670" s="67" t="s">
        <v>8</v>
      </c>
      <c r="O1670" s="68">
        <v>45517</v>
      </c>
      <c r="P1670" s="68">
        <v>45517</v>
      </c>
      <c r="Q1670" s="57">
        <v>1602.0368251008106</v>
      </c>
      <c r="R1670" t="s">
        <v>3112</v>
      </c>
    </row>
    <row r="1671" spans="1:18">
      <c r="A1671">
        <v>2692</v>
      </c>
      <c r="B1671" t="s">
        <v>4470</v>
      </c>
      <c r="C1671" t="s">
        <v>0</v>
      </c>
      <c r="D1671" t="s">
        <v>4468</v>
      </c>
      <c r="I1671" t="s">
        <v>1434</v>
      </c>
      <c r="J1671">
        <v>2</v>
      </c>
      <c r="K1671" t="s">
        <v>313</v>
      </c>
      <c r="L1671" s="67">
        <v>0.03</v>
      </c>
      <c r="M1671" t="s">
        <v>4</v>
      </c>
      <c r="N1671" s="67" t="s">
        <v>8</v>
      </c>
      <c r="O1671" s="68">
        <v>45517</v>
      </c>
      <c r="P1671" s="68">
        <v>45517</v>
      </c>
      <c r="Q1671" s="57">
        <v>1602.0368251008106</v>
      </c>
      <c r="R1671" t="s">
        <v>3112</v>
      </c>
    </row>
    <row r="1672" spans="1:18">
      <c r="A1672">
        <v>2693</v>
      </c>
      <c r="B1672" t="s">
        <v>4471</v>
      </c>
      <c r="C1672" t="s">
        <v>0</v>
      </c>
      <c r="D1672" t="s">
        <v>4468</v>
      </c>
      <c r="I1672" t="s">
        <v>1434</v>
      </c>
      <c r="J1672">
        <v>2</v>
      </c>
      <c r="K1672" t="s">
        <v>313</v>
      </c>
      <c r="L1672" s="67">
        <v>0.03</v>
      </c>
      <c r="M1672" t="s">
        <v>4</v>
      </c>
      <c r="N1672" s="67" t="s">
        <v>8</v>
      </c>
      <c r="O1672" s="68">
        <v>45517</v>
      </c>
      <c r="P1672" s="68">
        <v>45517</v>
      </c>
      <c r="Q1672" s="57">
        <v>2610.7266779420611</v>
      </c>
      <c r="R1672" t="s">
        <v>3112</v>
      </c>
    </row>
    <row r="1673" spans="1:18">
      <c r="A1673">
        <v>2694</v>
      </c>
      <c r="B1673" t="s">
        <v>4473</v>
      </c>
      <c r="C1673" t="s">
        <v>0</v>
      </c>
      <c r="D1673" t="s">
        <v>4472</v>
      </c>
      <c r="I1673" t="s">
        <v>1046</v>
      </c>
      <c r="J1673">
        <v>1</v>
      </c>
      <c r="K1673" t="s">
        <v>313</v>
      </c>
      <c r="L1673" s="67">
        <v>0.03</v>
      </c>
      <c r="M1673" t="s">
        <v>4</v>
      </c>
      <c r="N1673" s="67" t="s">
        <v>8</v>
      </c>
      <c r="O1673" s="68">
        <v>45517</v>
      </c>
      <c r="P1673" s="68">
        <v>45517</v>
      </c>
      <c r="Q1673" s="57">
        <v>485.27510648064481</v>
      </c>
      <c r="R1673" t="s">
        <v>3112</v>
      </c>
    </row>
    <row r="1674" spans="1:18">
      <c r="A1674">
        <v>2695</v>
      </c>
      <c r="B1674" t="s">
        <v>4475</v>
      </c>
      <c r="C1674" t="s">
        <v>0</v>
      </c>
      <c r="D1674" t="s">
        <v>4474</v>
      </c>
      <c r="I1674" t="s">
        <v>1046</v>
      </c>
      <c r="J1674">
        <v>1</v>
      </c>
      <c r="K1674" t="s">
        <v>313</v>
      </c>
      <c r="L1674" s="67">
        <v>0.03</v>
      </c>
      <c r="M1674" t="s">
        <v>4</v>
      </c>
      <c r="N1674" s="67" t="s">
        <v>8</v>
      </c>
      <c r="O1674" s="68">
        <v>45517</v>
      </c>
      <c r="P1674" s="68">
        <v>45517</v>
      </c>
      <c r="Q1674" s="57">
        <v>709.24823254863497</v>
      </c>
      <c r="R1674" t="s">
        <v>3112</v>
      </c>
    </row>
    <row r="1675" spans="1:18">
      <c r="A1675">
        <v>2696</v>
      </c>
      <c r="B1675" t="s">
        <v>4477</v>
      </c>
      <c r="C1675" t="s">
        <v>0</v>
      </c>
      <c r="D1675" t="s">
        <v>4476</v>
      </c>
      <c r="I1675" t="s">
        <v>1046</v>
      </c>
      <c r="J1675">
        <v>1</v>
      </c>
      <c r="K1675" t="s">
        <v>313</v>
      </c>
      <c r="L1675" s="67">
        <v>0.03</v>
      </c>
      <c r="M1675" t="s">
        <v>4</v>
      </c>
      <c r="N1675" s="67" t="s">
        <v>8</v>
      </c>
      <c r="O1675" s="68">
        <v>45517</v>
      </c>
      <c r="P1675" s="68">
        <v>45517</v>
      </c>
      <c r="Q1675" s="57">
        <v>709.24823254863497</v>
      </c>
      <c r="R1675" t="s">
        <v>3112</v>
      </c>
    </row>
    <row r="1676" spans="1:18">
      <c r="A1676">
        <v>2697</v>
      </c>
      <c r="B1676" t="s">
        <v>4479</v>
      </c>
      <c r="C1676" t="s">
        <v>7</v>
      </c>
      <c r="D1676" t="s">
        <v>4478</v>
      </c>
      <c r="I1676" t="s">
        <v>4284</v>
      </c>
      <c r="J1676">
        <v>3</v>
      </c>
      <c r="K1676" t="s">
        <v>313</v>
      </c>
      <c r="L1676" s="67">
        <v>0.03</v>
      </c>
      <c r="M1676" t="s">
        <v>4</v>
      </c>
      <c r="N1676" s="67" t="s">
        <v>8</v>
      </c>
      <c r="O1676" s="68">
        <v>45518</v>
      </c>
      <c r="P1676" s="68">
        <v>45518</v>
      </c>
      <c r="Q1676" s="57">
        <v>3560.0818335573567</v>
      </c>
      <c r="R1676" t="s">
        <v>3112</v>
      </c>
    </row>
    <row r="1677" spans="1:18">
      <c r="A1677">
        <v>2698</v>
      </c>
      <c r="B1677" t="s">
        <v>4481</v>
      </c>
      <c r="C1677" t="s">
        <v>0</v>
      </c>
      <c r="D1677" t="s">
        <v>4480</v>
      </c>
      <c r="I1677" t="s">
        <v>24</v>
      </c>
      <c r="J1677">
        <v>1</v>
      </c>
      <c r="K1677" t="s">
        <v>313</v>
      </c>
      <c r="L1677" s="67">
        <v>0</v>
      </c>
      <c r="M1677" t="s">
        <v>4</v>
      </c>
      <c r="N1677" s="67" t="s">
        <v>8</v>
      </c>
      <c r="O1677" s="68">
        <v>45519</v>
      </c>
      <c r="P1677" s="68">
        <v>45519</v>
      </c>
      <c r="Q1677" s="57">
        <v>231.25317893193085</v>
      </c>
      <c r="R1677" t="s">
        <v>3112</v>
      </c>
    </row>
    <row r="1678" spans="1:18">
      <c r="A1678">
        <v>2699</v>
      </c>
      <c r="B1678" t="s">
        <v>4489</v>
      </c>
      <c r="C1678" t="s">
        <v>0</v>
      </c>
      <c r="D1678" t="s">
        <v>4482</v>
      </c>
      <c r="I1678" t="s">
        <v>24</v>
      </c>
      <c r="J1678">
        <v>1</v>
      </c>
      <c r="K1678" t="s">
        <v>313</v>
      </c>
      <c r="L1678" s="67">
        <v>1.2117138739582823E-2</v>
      </c>
      <c r="M1678" t="s">
        <v>4</v>
      </c>
      <c r="N1678" s="67" t="s">
        <v>8</v>
      </c>
      <c r="O1678" s="68">
        <v>45520</v>
      </c>
      <c r="P1678" s="68">
        <v>45520</v>
      </c>
      <c r="Q1678" s="57">
        <v>4034.7594113650034</v>
      </c>
      <c r="R1678" t="s">
        <v>3112</v>
      </c>
    </row>
    <row r="1679" spans="1:18">
      <c r="A1679">
        <v>2700</v>
      </c>
      <c r="B1679" t="s">
        <v>4492</v>
      </c>
      <c r="C1679" t="s">
        <v>7</v>
      </c>
      <c r="D1679" t="s">
        <v>4491</v>
      </c>
      <c r="I1679" t="s">
        <v>1069</v>
      </c>
      <c r="J1679">
        <v>2</v>
      </c>
      <c r="K1679" t="s">
        <v>313</v>
      </c>
      <c r="L1679" s="67">
        <v>0.03</v>
      </c>
      <c r="M1679" t="s">
        <v>4</v>
      </c>
      <c r="N1679" s="67" t="s">
        <v>8</v>
      </c>
      <c r="O1679" s="68">
        <v>45520</v>
      </c>
      <c r="P1679" s="68">
        <v>45520</v>
      </c>
      <c r="Q1679" s="57">
        <v>3332.140803178183</v>
      </c>
      <c r="R1679" t="s">
        <v>3112</v>
      </c>
    </row>
    <row r="1680" spans="1:18">
      <c r="A1680">
        <v>2701</v>
      </c>
      <c r="B1680" t="s">
        <v>4494</v>
      </c>
      <c r="C1680" t="s">
        <v>7</v>
      </c>
      <c r="D1680" t="s">
        <v>4493</v>
      </c>
      <c r="I1680" t="s">
        <v>1610</v>
      </c>
      <c r="J1680">
        <v>165</v>
      </c>
      <c r="K1680" t="s">
        <v>313</v>
      </c>
      <c r="L1680" s="67">
        <v>0.05</v>
      </c>
      <c r="M1680" t="s">
        <v>4</v>
      </c>
      <c r="N1680" s="67" t="s">
        <v>8</v>
      </c>
      <c r="O1680" s="68">
        <v>45520</v>
      </c>
      <c r="P1680" s="68">
        <v>45520</v>
      </c>
      <c r="Q1680" s="57">
        <v>2972189.6831562836</v>
      </c>
      <c r="R1680" t="s">
        <v>3112</v>
      </c>
    </row>
    <row r="1681" spans="1:18">
      <c r="A1681">
        <v>2702</v>
      </c>
      <c r="B1681" t="s">
        <v>4495</v>
      </c>
      <c r="C1681" t="s">
        <v>7</v>
      </c>
      <c r="D1681" t="s">
        <v>4493</v>
      </c>
      <c r="I1681" t="s">
        <v>1610</v>
      </c>
      <c r="J1681">
        <v>165</v>
      </c>
      <c r="K1681" t="s">
        <v>313</v>
      </c>
      <c r="L1681" s="67">
        <v>0.05</v>
      </c>
      <c r="M1681" t="s">
        <v>4</v>
      </c>
      <c r="N1681" s="67" t="s">
        <v>8</v>
      </c>
      <c r="O1681" s="68">
        <v>45520</v>
      </c>
      <c r="P1681" s="68">
        <v>45520</v>
      </c>
      <c r="Q1681" s="57">
        <v>2972189.6831562836</v>
      </c>
      <c r="R1681" t="s">
        <v>3112</v>
      </c>
    </row>
    <row r="1682" spans="1:18">
      <c r="A1682">
        <v>2703</v>
      </c>
      <c r="B1682" t="s">
        <v>4496</v>
      </c>
      <c r="C1682" t="s">
        <v>0</v>
      </c>
      <c r="D1682" t="s">
        <v>4490</v>
      </c>
      <c r="I1682" t="s">
        <v>715</v>
      </c>
      <c r="J1682">
        <v>1</v>
      </c>
      <c r="K1682" t="s">
        <v>313</v>
      </c>
      <c r="L1682" s="67">
        <v>0.03</v>
      </c>
      <c r="M1682" t="s">
        <v>4</v>
      </c>
      <c r="N1682" s="67" t="s">
        <v>8</v>
      </c>
      <c r="O1682" s="68">
        <v>45524</v>
      </c>
      <c r="P1682" s="68">
        <v>45524</v>
      </c>
      <c r="Q1682" s="57">
        <v>849.23143634112864</v>
      </c>
      <c r="R1682" t="s">
        <v>3112</v>
      </c>
    </row>
    <row r="1683" spans="1:18">
      <c r="A1683">
        <v>2704</v>
      </c>
      <c r="B1683" t="s">
        <v>4497</v>
      </c>
      <c r="C1683" t="s">
        <v>0</v>
      </c>
      <c r="D1683" t="s">
        <v>4490</v>
      </c>
      <c r="I1683" t="s">
        <v>715</v>
      </c>
      <c r="J1683">
        <v>1</v>
      </c>
      <c r="K1683" t="s">
        <v>313</v>
      </c>
      <c r="L1683" s="67">
        <v>0.01</v>
      </c>
      <c r="M1683" t="s">
        <v>4</v>
      </c>
      <c r="N1683" s="67" t="s">
        <v>8</v>
      </c>
      <c r="O1683" s="68">
        <v>45524</v>
      </c>
      <c r="P1683" s="68">
        <v>45524</v>
      </c>
      <c r="Q1683" s="57">
        <v>849.23143634112864</v>
      </c>
      <c r="R1683" t="s">
        <v>3112</v>
      </c>
    </row>
    <row r="1684" spans="1:18">
      <c r="A1684">
        <v>2705</v>
      </c>
      <c r="B1684" t="s">
        <v>4498</v>
      </c>
      <c r="C1684" t="s">
        <v>0</v>
      </c>
      <c r="D1684" t="s">
        <v>4490</v>
      </c>
      <c r="I1684" t="s">
        <v>715</v>
      </c>
      <c r="J1684">
        <v>1</v>
      </c>
      <c r="K1684" t="s">
        <v>313</v>
      </c>
      <c r="L1684" s="67">
        <v>0.01</v>
      </c>
      <c r="M1684" t="s">
        <v>4</v>
      </c>
      <c r="N1684" s="67" t="s">
        <v>8</v>
      </c>
      <c r="O1684" s="68">
        <v>45524</v>
      </c>
      <c r="P1684" s="68">
        <v>45524</v>
      </c>
      <c r="Q1684" s="57">
        <v>849.23143634112864</v>
      </c>
      <c r="R1684" t="s">
        <v>3112</v>
      </c>
    </row>
    <row r="1685" spans="1:18">
      <c r="A1685">
        <v>2706</v>
      </c>
      <c r="B1685" t="s">
        <v>4500</v>
      </c>
      <c r="C1685" t="s">
        <v>0</v>
      </c>
      <c r="D1685" t="s">
        <v>4499</v>
      </c>
      <c r="I1685" t="s">
        <v>4465</v>
      </c>
      <c r="J1685">
        <v>1</v>
      </c>
      <c r="K1685" t="s">
        <v>313</v>
      </c>
      <c r="L1685" s="67">
        <v>0</v>
      </c>
      <c r="M1685" t="s">
        <v>4</v>
      </c>
      <c r="N1685" s="67" t="s">
        <v>8</v>
      </c>
      <c r="O1685" s="68">
        <v>45530</v>
      </c>
      <c r="P1685" s="68">
        <v>45530</v>
      </c>
      <c r="Q1685" s="57">
        <v>485.27510648064481</v>
      </c>
      <c r="R1685" t="s">
        <v>3112</v>
      </c>
    </row>
    <row r="1686" spans="1:18">
      <c r="A1686">
        <v>2707</v>
      </c>
      <c r="B1686" t="s">
        <v>4501</v>
      </c>
      <c r="C1686" t="s">
        <v>0</v>
      </c>
      <c r="D1686" t="s">
        <v>4499</v>
      </c>
      <c r="I1686" t="s">
        <v>4465</v>
      </c>
      <c r="J1686">
        <v>1</v>
      </c>
      <c r="K1686" t="s">
        <v>313</v>
      </c>
      <c r="L1686" s="67">
        <v>0.05</v>
      </c>
      <c r="M1686" t="s">
        <v>4</v>
      </c>
      <c r="N1686" s="67" t="s">
        <v>8</v>
      </c>
      <c r="O1686" s="68">
        <v>45530</v>
      </c>
      <c r="P1686" s="68">
        <v>45530</v>
      </c>
      <c r="Q1686" s="57">
        <v>485.27510648064481</v>
      </c>
      <c r="R1686" t="s">
        <v>3112</v>
      </c>
    </row>
    <row r="1687" spans="1:18">
      <c r="A1687">
        <v>2708</v>
      </c>
      <c r="B1687" t="s">
        <v>4503</v>
      </c>
      <c r="C1687" t="s">
        <v>0</v>
      </c>
      <c r="D1687" t="s">
        <v>4502</v>
      </c>
      <c r="I1687" t="s">
        <v>2353</v>
      </c>
      <c r="J1687">
        <v>1</v>
      </c>
      <c r="K1687" t="s">
        <v>313</v>
      </c>
      <c r="L1687" s="67">
        <v>0</v>
      </c>
      <c r="M1687" t="s">
        <v>4</v>
      </c>
      <c r="N1687" s="67" t="s">
        <v>8</v>
      </c>
      <c r="O1687" s="68">
        <v>45530</v>
      </c>
      <c r="P1687" s="68">
        <v>45530</v>
      </c>
      <c r="Q1687" s="57">
        <v>1186.693944519119</v>
      </c>
      <c r="R1687" t="s">
        <v>3112</v>
      </c>
    </row>
    <row r="1688" spans="1:18">
      <c r="A1688">
        <v>2709</v>
      </c>
      <c r="B1688" t="s">
        <v>4506</v>
      </c>
      <c r="C1688" t="s">
        <v>3</v>
      </c>
      <c r="D1688" t="s">
        <v>4505</v>
      </c>
      <c r="I1688" t="s">
        <v>4504</v>
      </c>
      <c r="J1688">
        <v>2</v>
      </c>
      <c r="K1688" t="s">
        <v>313</v>
      </c>
      <c r="L1688" s="67">
        <v>0</v>
      </c>
      <c r="M1688" t="s">
        <v>4</v>
      </c>
      <c r="N1688" s="67" t="s">
        <v>8</v>
      </c>
      <c r="O1688" s="68">
        <v>45530</v>
      </c>
      <c r="P1688" s="68">
        <v>45530</v>
      </c>
      <c r="Q1688" s="57">
        <v>13471.528712910987</v>
      </c>
      <c r="R1688" t="s">
        <v>3112</v>
      </c>
    </row>
    <row r="1689" spans="1:18">
      <c r="A1689">
        <v>2710</v>
      </c>
      <c r="B1689" t="s">
        <v>4508</v>
      </c>
      <c r="C1689" t="s">
        <v>0</v>
      </c>
      <c r="D1689" t="s">
        <v>4507</v>
      </c>
      <c r="I1689" t="s">
        <v>24</v>
      </c>
      <c r="J1689">
        <v>1</v>
      </c>
      <c r="K1689" t="s">
        <v>313</v>
      </c>
      <c r="L1689" s="67">
        <v>0</v>
      </c>
      <c r="M1689" t="s">
        <v>4</v>
      </c>
      <c r="N1689" s="67" t="s">
        <v>8</v>
      </c>
      <c r="O1689" s="68">
        <v>45530</v>
      </c>
      <c r="P1689" s="68">
        <v>45530</v>
      </c>
      <c r="Q1689" s="57">
        <v>474.67757780764754</v>
      </c>
      <c r="R1689" t="s">
        <v>3112</v>
      </c>
    </row>
    <row r="1690" spans="1:18">
      <c r="A1690">
        <v>2711</v>
      </c>
      <c r="B1690" t="s">
        <v>4510</v>
      </c>
      <c r="C1690" t="s">
        <v>0</v>
      </c>
      <c r="D1690" t="s">
        <v>4509</v>
      </c>
      <c r="I1690" t="s">
        <v>2205</v>
      </c>
      <c r="J1690">
        <v>1</v>
      </c>
      <c r="K1690" t="s">
        <v>313</v>
      </c>
      <c r="L1690" s="67">
        <v>0</v>
      </c>
      <c r="M1690" t="s">
        <v>4</v>
      </c>
      <c r="N1690" s="67" t="s">
        <v>8</v>
      </c>
      <c r="O1690" s="68">
        <v>45530</v>
      </c>
      <c r="P1690" s="68">
        <v>45530</v>
      </c>
      <c r="Q1690" s="57">
        <v>593.34697225955949</v>
      </c>
      <c r="R1690" t="s">
        <v>3112</v>
      </c>
    </row>
    <row r="1691" spans="1:18">
      <c r="A1691">
        <v>2712</v>
      </c>
      <c r="B1691" t="s">
        <v>4512</v>
      </c>
      <c r="C1691" t="s">
        <v>0</v>
      </c>
      <c r="D1691" t="s">
        <v>4511</v>
      </c>
      <c r="I1691" t="s">
        <v>2205</v>
      </c>
      <c r="J1691">
        <v>3</v>
      </c>
      <c r="K1691" t="s">
        <v>313</v>
      </c>
      <c r="L1691" s="67">
        <v>0</v>
      </c>
      <c r="M1691" t="s">
        <v>4</v>
      </c>
      <c r="N1691" s="67" t="s">
        <v>8</v>
      </c>
      <c r="O1691" s="68">
        <v>45530</v>
      </c>
      <c r="P1691" s="68">
        <v>45530</v>
      </c>
      <c r="Q1691" s="57">
        <v>1483.3674306488983</v>
      </c>
      <c r="R1691" t="s">
        <v>3112</v>
      </c>
    </row>
    <row r="1692" spans="1:18">
      <c r="A1692">
        <v>2713</v>
      </c>
      <c r="B1692" t="s">
        <v>4515</v>
      </c>
      <c r="C1692" t="s">
        <v>0</v>
      </c>
      <c r="D1692" t="s">
        <v>4514</v>
      </c>
      <c r="I1692" t="s">
        <v>4513</v>
      </c>
      <c r="J1692">
        <v>1</v>
      </c>
      <c r="K1692" t="s">
        <v>313</v>
      </c>
      <c r="L1692" s="67">
        <v>0</v>
      </c>
      <c r="M1692" t="s">
        <v>4</v>
      </c>
      <c r="N1692" s="67" t="s">
        <v>8</v>
      </c>
      <c r="O1692" s="68">
        <v>45530</v>
      </c>
      <c r="P1692" s="68">
        <v>45530</v>
      </c>
      <c r="Q1692" s="57">
        <v>933.38302087156899</v>
      </c>
      <c r="R1692" t="s">
        <v>3112</v>
      </c>
    </row>
    <row r="1693" spans="1:18">
      <c r="A1693">
        <v>2714</v>
      </c>
      <c r="B1693" t="s">
        <v>4517</v>
      </c>
      <c r="C1693" t="s">
        <v>0</v>
      </c>
      <c r="D1693" t="s">
        <v>4516</v>
      </c>
      <c r="I1693" t="s">
        <v>4513</v>
      </c>
      <c r="J1693">
        <v>2</v>
      </c>
      <c r="K1693" t="s">
        <v>313</v>
      </c>
      <c r="L1693" s="67">
        <v>0</v>
      </c>
      <c r="M1693" t="s">
        <v>4</v>
      </c>
      <c r="N1693" s="67" t="s">
        <v>8</v>
      </c>
      <c r="O1693" s="68">
        <v>45530</v>
      </c>
      <c r="P1693" s="68">
        <v>45530</v>
      </c>
      <c r="Q1693" s="57">
        <v>1983.438919352084</v>
      </c>
      <c r="R1693" t="s">
        <v>3112</v>
      </c>
    </row>
    <row r="1694" spans="1:18">
      <c r="A1694">
        <v>2715</v>
      </c>
      <c r="B1694" t="s">
        <v>4519</v>
      </c>
      <c r="C1694" t="s">
        <v>0</v>
      </c>
      <c r="D1694" t="s">
        <v>4518</v>
      </c>
      <c r="I1694" t="s">
        <v>4513</v>
      </c>
      <c r="J1694">
        <v>2</v>
      </c>
      <c r="K1694" t="s">
        <v>313</v>
      </c>
      <c r="L1694" s="67">
        <v>0</v>
      </c>
      <c r="M1694" t="s">
        <v>4</v>
      </c>
      <c r="N1694" s="67" t="s">
        <v>8</v>
      </c>
      <c r="O1694" s="68">
        <v>45530</v>
      </c>
      <c r="P1694" s="68">
        <v>45530</v>
      </c>
      <c r="Q1694" s="57">
        <v>1808.4296029386651</v>
      </c>
      <c r="R1694" t="s">
        <v>3112</v>
      </c>
    </row>
    <row r="1695" spans="1:18">
      <c r="A1695">
        <v>2716</v>
      </c>
      <c r="B1695" t="s">
        <v>4521</v>
      </c>
      <c r="C1695" t="s">
        <v>0</v>
      </c>
      <c r="D1695" t="s">
        <v>4520</v>
      </c>
      <c r="I1695" t="s">
        <v>4513</v>
      </c>
      <c r="J1695">
        <v>2</v>
      </c>
      <c r="K1695" t="s">
        <v>313</v>
      </c>
      <c r="L1695" s="67">
        <v>0</v>
      </c>
      <c r="M1695" t="s">
        <v>4</v>
      </c>
      <c r="N1695" s="67" t="s">
        <v>8</v>
      </c>
      <c r="O1695" s="68">
        <v>45530</v>
      </c>
      <c r="P1695" s="68">
        <v>45530</v>
      </c>
      <c r="Q1695" s="57">
        <v>2566.8033073968149</v>
      </c>
      <c r="R1695" t="s">
        <v>3112</v>
      </c>
    </row>
    <row r="1696" spans="1:18">
      <c r="A1696">
        <v>2717</v>
      </c>
      <c r="B1696" t="s">
        <v>4523</v>
      </c>
      <c r="C1696" t="s">
        <v>7</v>
      </c>
      <c r="D1696" t="s">
        <v>4522</v>
      </c>
      <c r="I1696" t="s">
        <v>4088</v>
      </c>
      <c r="J1696">
        <v>2</v>
      </c>
      <c r="K1696" t="s">
        <v>313</v>
      </c>
      <c r="L1696" s="67">
        <v>0</v>
      </c>
      <c r="M1696" t="s">
        <v>4</v>
      </c>
      <c r="N1696" s="67" t="s">
        <v>8</v>
      </c>
      <c r="O1696" s="68">
        <v>45530</v>
      </c>
      <c r="P1696" s="68">
        <v>45530</v>
      </c>
      <c r="Q1696" s="57">
        <v>1983.438919352084</v>
      </c>
      <c r="R1696" t="s">
        <v>3112</v>
      </c>
    </row>
    <row r="1697" spans="1:18">
      <c r="A1697">
        <v>2718</v>
      </c>
      <c r="B1697" t="s">
        <v>4525</v>
      </c>
      <c r="C1697" t="s">
        <v>7</v>
      </c>
      <c r="D1697" t="s">
        <v>4524</v>
      </c>
      <c r="I1697" t="s">
        <v>4088</v>
      </c>
      <c r="J1697">
        <v>1</v>
      </c>
      <c r="K1697" t="s">
        <v>313</v>
      </c>
      <c r="L1697" s="67">
        <v>0</v>
      </c>
      <c r="M1697" t="s">
        <v>4</v>
      </c>
      <c r="N1697" s="67" t="s">
        <v>8</v>
      </c>
      <c r="O1697" s="68">
        <v>45530</v>
      </c>
      <c r="P1697" s="68">
        <v>45530</v>
      </c>
      <c r="Q1697" s="57">
        <v>525.02794924025761</v>
      </c>
      <c r="R1697" t="s">
        <v>3112</v>
      </c>
    </row>
    <row r="1698" spans="1:18">
      <c r="A1698">
        <v>2719</v>
      </c>
      <c r="B1698" t="s">
        <v>4526</v>
      </c>
      <c r="C1698" t="s">
        <v>7</v>
      </c>
      <c r="D1698" t="s">
        <v>4524</v>
      </c>
      <c r="I1698" t="s">
        <v>4088</v>
      </c>
      <c r="J1698">
        <v>1</v>
      </c>
      <c r="K1698" t="s">
        <v>313</v>
      </c>
      <c r="L1698" s="67">
        <v>0</v>
      </c>
      <c r="M1698" t="s">
        <v>4</v>
      </c>
      <c r="N1698" s="67" t="s">
        <v>8</v>
      </c>
      <c r="O1698" s="68">
        <v>45530</v>
      </c>
      <c r="P1698" s="68">
        <v>45530</v>
      </c>
      <c r="Q1698" s="57">
        <v>525.02794924025761</v>
      </c>
      <c r="R1698" t="s">
        <v>3112</v>
      </c>
    </row>
    <row r="1699" spans="1:18">
      <c r="A1699">
        <v>2720</v>
      </c>
      <c r="B1699" t="s">
        <v>4529</v>
      </c>
      <c r="C1699" t="s">
        <v>0</v>
      </c>
      <c r="D1699" t="s">
        <v>4528</v>
      </c>
      <c r="I1699" t="s">
        <v>4527</v>
      </c>
      <c r="J1699">
        <v>1</v>
      </c>
      <c r="K1699" t="s">
        <v>313</v>
      </c>
      <c r="L1699" s="67">
        <v>0</v>
      </c>
      <c r="M1699" t="s">
        <v>4</v>
      </c>
      <c r="N1699" s="67" t="s">
        <v>8</v>
      </c>
      <c r="O1699" s="68">
        <v>45531</v>
      </c>
      <c r="P1699" s="68">
        <v>45531</v>
      </c>
      <c r="Q1699" s="57">
        <v>727.91265972096744</v>
      </c>
      <c r="R1699" t="s">
        <v>3112</v>
      </c>
    </row>
    <row r="1700" spans="1:18">
      <c r="A1700">
        <v>2721</v>
      </c>
      <c r="B1700" t="s">
        <v>4530</v>
      </c>
      <c r="C1700" t="s">
        <v>0</v>
      </c>
      <c r="D1700" t="s">
        <v>4490</v>
      </c>
      <c r="I1700" t="s">
        <v>715</v>
      </c>
      <c r="J1700">
        <v>1</v>
      </c>
      <c r="K1700" t="s">
        <v>313</v>
      </c>
      <c r="L1700" s="67">
        <v>0</v>
      </c>
      <c r="M1700" t="s">
        <v>4</v>
      </c>
      <c r="N1700" s="67" t="s">
        <v>8</v>
      </c>
      <c r="O1700" s="68">
        <v>45531</v>
      </c>
      <c r="P1700" s="68">
        <v>45531</v>
      </c>
      <c r="Q1700" s="57">
        <v>849.23143634112864</v>
      </c>
      <c r="R1700" t="s">
        <v>3112</v>
      </c>
    </row>
  </sheetData>
  <autoFilter ref="A2:R2" xr:uid="{00000000-0001-0000-0900-000000000000}"/>
  <hyperlinks>
    <hyperlink ref="F3" r:id="rId1" xr:uid="{B3472619-097B-4D20-AC4F-222BBBED8B9A}"/>
    <hyperlink ref="F72" r:id="rId2" xr:uid="{968634FC-42FF-F94D-89E6-0494A5DBB333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6" name="Button 1">
              <controlPr defaultSize="0" print="0" autoFill="0" autoPict="0" macro="[0]!IrMenu">
                <anchor moveWithCells="1" sizeWithCells="1">
                  <from>
                    <xdr:col>7</xdr:col>
                    <xdr:colOff>304800</xdr:colOff>
                    <xdr:row>0</xdr:row>
                    <xdr:rowOff>114300</xdr:rowOff>
                  </from>
                  <to>
                    <xdr:col>9</xdr:col>
                    <xdr:colOff>381000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>
    <outlinePr summaryBelow="0" summaryRight="0"/>
  </sheetPr>
  <dimension ref="I2:S47"/>
  <sheetViews>
    <sheetView zoomScale="70" zoomScaleNormal="70" workbookViewId="0">
      <selection activeCell="H2" sqref="H2"/>
    </sheetView>
  </sheetViews>
  <sheetFormatPr baseColWidth="10" defaultColWidth="12.5" defaultRowHeight="15" customHeight="1"/>
  <cols>
    <col min="12" max="12" width="13.375" bestFit="1" customWidth="1"/>
    <col min="13" max="13" width="17" bestFit="1" customWidth="1"/>
  </cols>
  <sheetData>
    <row r="2" spans="9:19" ht="53.25" customHeight="1">
      <c r="J2" s="3" t="s">
        <v>35</v>
      </c>
      <c r="K2" s="3" t="s">
        <v>49</v>
      </c>
      <c r="L2" s="166" t="s">
        <v>50</v>
      </c>
      <c r="M2" s="167" t="s">
        <v>624</v>
      </c>
      <c r="N2" s="296" t="s">
        <v>1377</v>
      </c>
    </row>
    <row r="3" spans="9:19" ht="15.75">
      <c r="I3" s="4" t="s">
        <v>51</v>
      </c>
      <c r="J3" s="5">
        <f>IF('Datos de Entrada (On Grid)'!D25&gt;0,'Datos de Entrada (On Grid)'!D25,SUM('Datos de Entrada (On Grid)'!$D$25:$D$36)/COUNTA('Datos de Entrada (On Grid)'!$D$25:$D$36))</f>
        <v>850</v>
      </c>
      <c r="K3" s="502">
        <f>+'Calculos (On Grid)'!$B$24/1000*Graficas!M3*30*0.8*'Datos de Entrada (On Grid)'!$G$29</f>
        <v>728.54315352000003</v>
      </c>
      <c r="L3" s="196">
        <f>K3*'Flujo de caja'!$D$39</f>
        <v>792063.7236898155</v>
      </c>
      <c r="M3" s="18">
        <f>VLOOKUP('Datos de Entrada (On Grid)'!G6,'Datos Equipos'!B192:P212,4,FALSE)</f>
        <v>3.8210999999999999</v>
      </c>
      <c r="N3" s="302">
        <f>+M3*0.8*30*'Datos de Entrada (On Grid)'!$G$29</f>
        <v>88.955207999999999</v>
      </c>
      <c r="O3">
        <f>+M3*16.56*0.8*30</f>
        <v>1518.6579839999999</v>
      </c>
      <c r="Q3">
        <f t="shared" ref="Q3:Q14" si="0">+ROUNDUP(K3,0)</f>
        <v>729</v>
      </c>
      <c r="S3" s="290" t="str">
        <f>+CONCATENATE(Q3,";",Q4,";",Q5,";",Q6,";",Q7,";",Q8,";",Q9,";",Q10,";",Q11,";",Q12,";",Q13,";",Q14)</f>
        <v>729;764;744;803;895;959;1009;954;873;822;769;796</v>
      </c>
    </row>
    <row r="4" spans="9:19">
      <c r="I4" s="4" t="s">
        <v>55</v>
      </c>
      <c r="J4" s="5">
        <f>IF('Datos de Entrada (On Grid)'!D26&gt;0,'Datos de Entrada (On Grid)'!D26,SUM('Datos de Entrada (On Grid)'!$D$25:$D$36)/COUNTA('Datos de Entrada (On Grid)'!$D$25:$D$36))</f>
        <v>850</v>
      </c>
      <c r="K4" s="502">
        <f>+'Calculos (On Grid)'!$B$24/1000*Graficas!M4*30*0.8*'Datos de Entrada (On Grid)'!$G$29</f>
        <v>763.12945800000011</v>
      </c>
      <c r="L4" s="196">
        <f>K4*'Flujo de caja'!$D$39</f>
        <v>829665.55548624403</v>
      </c>
      <c r="M4" s="18">
        <f>VLOOKUP('Datos de Entrada (On Grid)'!G6,'Datos Equipos'!B192:P212,5,FALSE)</f>
        <v>4.0025000000000004</v>
      </c>
      <c r="N4" s="302">
        <f>+M4*0.8*30*'Datos de Entrada (On Grid)'!$G$29</f>
        <v>93.178200000000018</v>
      </c>
      <c r="Q4">
        <f t="shared" si="0"/>
        <v>764</v>
      </c>
    </row>
    <row r="5" spans="9:19">
      <c r="I5" s="4" t="s">
        <v>56</v>
      </c>
      <c r="J5" s="5">
        <f>IF('Datos de Entrada (On Grid)'!D27&gt;0,'Datos de Entrada (On Grid)'!D27,SUM('Datos de Entrada (On Grid)'!$D$25:$D$36)/COUNTA('Datos de Entrada (On Grid)'!$D$25:$D$36))</f>
        <v>850</v>
      </c>
      <c r="K5" s="502">
        <f>+'Calculos (On Grid)'!$B$24/1000*Graficas!M5*30*0.8*'Datos de Entrada (On Grid)'!$G$29</f>
        <v>743.14795463999997</v>
      </c>
      <c r="L5" s="196">
        <f>K5*'Flujo de caja'!$D$39</f>
        <v>807941.8952201705</v>
      </c>
      <c r="M5" s="18">
        <f>VLOOKUP('Datos de Entrada (On Grid)'!G6,'Datos Equipos'!B192:P212,6,FALSE)</f>
        <v>3.8976999999999999</v>
      </c>
      <c r="N5" s="302">
        <f>+M5*0.8*30*'Datos de Entrada (On Grid)'!$G$29</f>
        <v>90.738455999999999</v>
      </c>
      <c r="Q5">
        <f t="shared" si="0"/>
        <v>744</v>
      </c>
    </row>
    <row r="6" spans="9:19">
      <c r="I6" s="4" t="s">
        <v>58</v>
      </c>
      <c r="J6" s="5">
        <f>IF('Datos de Entrada (On Grid)'!D28&gt;0,'Datos de Entrada (On Grid)'!D28,SUM('Datos de Entrada (On Grid)'!$D$25:$D$36)/COUNTA('Datos de Entrada (On Grid)'!$D$25:$D$36))</f>
        <v>850</v>
      </c>
      <c r="K6" s="502">
        <f>+'Calculos (On Grid)'!$B$24/1000*Graficas!M6*30*0.8*'Datos de Entrada (On Grid)'!$G$29</f>
        <v>802.02475079999988</v>
      </c>
      <c r="L6" s="196">
        <f>K6*'Flujo de caja'!$D$39</f>
        <v>871952.06974463072</v>
      </c>
      <c r="M6" s="18">
        <f>VLOOKUP('Datos de Entrada (On Grid)'!G6,'Datos Equipos'!B192:P212,7,FALSE)</f>
        <v>4.2065000000000001</v>
      </c>
      <c r="N6" s="302">
        <f>+M6*0.8*30*'Datos de Entrada (On Grid)'!$G$29</f>
        <v>97.927319999999995</v>
      </c>
      <c r="Q6">
        <f t="shared" si="0"/>
        <v>803</v>
      </c>
    </row>
    <row r="7" spans="9:19">
      <c r="I7" s="4" t="s">
        <v>60</v>
      </c>
      <c r="J7" s="5">
        <f>IF('Datos de Entrada (On Grid)'!D29&gt;0,'Datos de Entrada (On Grid)'!D29,SUM('Datos de Entrada (On Grid)'!$D$25:$D$36)/COUNTA('Datos de Entrada (On Grid)'!$D$25:$D$36))</f>
        <v>850</v>
      </c>
      <c r="K7" s="502">
        <f>+'Calculos (On Grid)'!$B$24/1000*Graficas!M7*30*0.8*'Datos de Entrada (On Grid)'!$G$29</f>
        <v>894.66799967999987</v>
      </c>
      <c r="L7" s="196">
        <f>K7*'Flujo de caja'!$D$39</f>
        <v>972672.74267673958</v>
      </c>
      <c r="M7" s="18">
        <f>VLOOKUP('Datos de Entrada (On Grid)'!G6,'Datos Equipos'!B192:P212,8,FALSE)</f>
        <v>4.6924000000000001</v>
      </c>
      <c r="N7" s="302">
        <f>+M7*0.8*30*'Datos de Entrada (On Grid)'!$G$29</f>
        <v>109.23907200000001</v>
      </c>
      <c r="Q7">
        <f t="shared" si="0"/>
        <v>895</v>
      </c>
    </row>
    <row r="8" spans="9:19">
      <c r="I8" s="4" t="s">
        <v>64</v>
      </c>
      <c r="J8" s="5">
        <f>IF('Datos de Entrada (On Grid)'!D30&gt;0,'Datos de Entrada (On Grid)'!D30,SUM('Datos de Entrada (On Grid)'!$D$25:$D$36)/COUNTA('Datos de Entrada (On Grid)'!$D$25:$D$36))</f>
        <v>850</v>
      </c>
      <c r="K8" s="502">
        <f>+'Calculos (On Grid)'!$B$24/1000*Graficas!M8*30*0.8*'Datos de Entrada (On Grid)'!$G$29</f>
        <v>958.00631472000009</v>
      </c>
      <c r="L8" s="196">
        <f>K8*'Flujo de caja'!$D$39</f>
        <v>1041533.4291308386</v>
      </c>
      <c r="M8" s="18">
        <f>VLOOKUP('Datos de Entrada (On Grid)'!G6,'Datos Equipos'!B192:P212,9,FALSE)</f>
        <v>5.0246000000000004</v>
      </c>
      <c r="N8" s="302">
        <f>+M8*0.8*30*'Datos de Entrada (On Grid)'!$G$29</f>
        <v>116.97268800000001</v>
      </c>
      <c r="Q8">
        <f t="shared" si="0"/>
        <v>959</v>
      </c>
    </row>
    <row r="9" spans="9:19">
      <c r="I9" s="4" t="s">
        <v>66</v>
      </c>
      <c r="J9" s="5">
        <f>IF('Datos de Entrada (On Grid)'!D31&gt;0,'Datos de Entrada (On Grid)'!D31,SUM('Datos de Entrada (On Grid)'!$D$25:$D$36)/COUNTA('Datos de Entrada (On Grid)'!$D$25:$D$36))</f>
        <v>850</v>
      </c>
      <c r="K9" s="502">
        <f>+'Calculos (On Grid)'!$B$24/1000*Graficas!M9*30*0.8*'Datos de Entrada (On Grid)'!$G$29</f>
        <v>1008.3604658400001</v>
      </c>
      <c r="L9" s="196">
        <f>K9*'Flujo de caja'!$D$39</f>
        <v>1096277.8821486817</v>
      </c>
      <c r="M9" s="18">
        <f>VLOOKUP('Datos de Entrada (On Grid)'!G6,'Datos Equipos'!B192:P212,10,FALSE)</f>
        <v>5.2887000000000004</v>
      </c>
      <c r="N9" s="302">
        <f>+M9*0.8*30*'Datos de Entrada (On Grid)'!$G$29</f>
        <v>123.120936</v>
      </c>
      <c r="Q9">
        <f t="shared" si="0"/>
        <v>1009</v>
      </c>
    </row>
    <row r="10" spans="9:19">
      <c r="I10" s="4" t="s">
        <v>67</v>
      </c>
      <c r="J10" s="5">
        <f>IF('Datos de Entrada (On Grid)'!D32&gt;0,'Datos de Entrada (On Grid)'!D32,SUM('Datos de Entrada (On Grid)'!$D$25:$D$36)/COUNTA('Datos de Entrada (On Grid)'!$D$25:$D$36))</f>
        <v>850</v>
      </c>
      <c r="K10" s="502">
        <f>+'Calculos (On Grid)'!$B$24/1000*Graficas!M10*30*0.8*'Datos de Entrada (On Grid)'!$G$29</f>
        <v>953.52572951999991</v>
      </c>
      <c r="L10" s="196">
        <f>K10*'Flujo de caja'!$D$39</f>
        <v>1036662.1885177399</v>
      </c>
      <c r="M10" s="18">
        <f>VLOOKUP('Datos de Entrada (On Grid)'!G6,'Datos Equipos'!B192:P212,11,FALSE)</f>
        <v>5.0011000000000001</v>
      </c>
      <c r="N10" s="302">
        <f>+M10*0.8*30*'Datos de Entrada (On Grid)'!$G$29</f>
        <v>116.42560800000001</v>
      </c>
      <c r="Q10">
        <f t="shared" si="0"/>
        <v>954</v>
      </c>
    </row>
    <row r="11" spans="9:19">
      <c r="I11" s="4" t="s">
        <v>70</v>
      </c>
      <c r="J11" s="5">
        <f>IF('Datos de Entrada (On Grid)'!D33&gt;0,'Datos de Entrada (On Grid)'!D33,SUM('Datos de Entrada (On Grid)'!$D$25:$D$36)/COUNTA('Datos de Entrada (On Grid)'!$D$25:$D$36))</f>
        <v>850</v>
      </c>
      <c r="K11" s="502">
        <f>+'Calculos (On Grid)'!$B$24/1000*Graficas!M11*30*0.8*'Datos de Entrada (On Grid)'!$G$29</f>
        <v>872.24600735999979</v>
      </c>
      <c r="L11" s="196">
        <f>K11*'Flujo de caja'!$D$39</f>
        <v>948295.81092778698</v>
      </c>
      <c r="M11" s="18">
        <f>VLOOKUP('Datos de Entrada (On Grid)'!G6,'Datos Equipos'!B192:P212,12,FALSE)</f>
        <v>4.5747999999999998</v>
      </c>
      <c r="N11" s="302">
        <f>+M11*0.8*30*'Datos de Entrada (On Grid)'!$G$29</f>
        <v>106.50134399999999</v>
      </c>
      <c r="Q11">
        <f t="shared" si="0"/>
        <v>873</v>
      </c>
    </row>
    <row r="12" spans="9:19">
      <c r="I12" s="4" t="s">
        <v>74</v>
      </c>
      <c r="J12" s="5">
        <f>IF('Datos de Entrada (On Grid)'!D34&gt;0,'Datos de Entrada (On Grid)'!D34,SUM('Datos de Entrada (On Grid)'!$D$25:$D$36)/COUNTA('Datos de Entrada (On Grid)'!$D$25:$D$36))</f>
        <v>850</v>
      </c>
      <c r="K12" s="502">
        <f>+'Calculos (On Grid)'!$B$24/1000*Graficas!M12*30*0.8*'Datos de Entrada (On Grid)'!$G$29</f>
        <v>821.39613192000002</v>
      </c>
      <c r="L12" s="196">
        <f>K12*'Flujo de caja'!$D$39</f>
        <v>893012.41213998431</v>
      </c>
      <c r="M12" s="18">
        <f>VLOOKUP('Datos de Entrada (On Grid)'!G6,'Datos Equipos'!B192:P212,13,FALSE)</f>
        <v>4.3080999999999996</v>
      </c>
      <c r="N12" s="302">
        <f>+M12*0.8*30*'Datos de Entrada (On Grid)'!$G$29</f>
        <v>100.29256799999999</v>
      </c>
      <c r="Q12">
        <f t="shared" si="0"/>
        <v>822</v>
      </c>
    </row>
    <row r="13" spans="9:19">
      <c r="I13" s="4" t="s">
        <v>78</v>
      </c>
      <c r="J13" s="5">
        <f>IF('Datos de Entrada (On Grid)'!D35&gt;0,'Datos de Entrada (On Grid)'!D35,SUM('Datos de Entrada (On Grid)'!$D$25:$D$36)/COUNTA('Datos de Entrada (On Grid)'!$D$25:$D$36))</f>
        <v>850</v>
      </c>
      <c r="K13" s="502">
        <f>+'Calculos (On Grid)'!$B$24/1000*Graficas!M13*30*0.8*'Datos de Entrada (On Grid)'!$G$29</f>
        <v>768.56335919999992</v>
      </c>
      <c r="L13" s="196">
        <f>K13*'Flujo de caja'!$D$39</f>
        <v>835573.23027234199</v>
      </c>
      <c r="M13" s="18">
        <f>VLOOKUP('Datos de Entrada (On Grid)'!G6,'Datos Equipos'!B192:P212,14,FALSE)</f>
        <v>4.0309999999999997</v>
      </c>
      <c r="N13" s="302">
        <f>+M13*0.8*30*'Datos de Entrada (On Grid)'!$G$29</f>
        <v>93.841679999999997</v>
      </c>
      <c r="Q13">
        <f t="shared" si="0"/>
        <v>769</v>
      </c>
    </row>
    <row r="14" spans="9:19">
      <c r="I14" s="4" t="s">
        <v>83</v>
      </c>
      <c r="J14" s="5">
        <f>IF('Datos de Entrada (On Grid)'!D36&gt;0,'Datos de Entrada (On Grid)'!D36,SUM('Datos de Entrada (On Grid)'!$D$25:$D$36)/COUNTA('Datos de Entrada (On Grid)'!$D$25:$D$36))</f>
        <v>850</v>
      </c>
      <c r="K14" s="502">
        <f>+'Calculos (On Grid)'!$B$24/1000*Graficas!M14*30*0.8*'Datos de Entrada (On Grid)'!$G$29</f>
        <v>795.69473256000003</v>
      </c>
      <c r="L14" s="196">
        <f>K14*'Flujo de caja'!$D$39</f>
        <v>865070.14683591295</v>
      </c>
      <c r="M14" s="18">
        <f>VLOOKUP('Datos de Entrada (On Grid)'!G6,'Datos Equipos'!B192:P212,15,FALSE)</f>
        <v>4.1733000000000002</v>
      </c>
      <c r="N14" s="302">
        <f>+M14*0.8*30*'Datos de Entrada (On Grid)'!$G$29</f>
        <v>97.154424000000006</v>
      </c>
      <c r="Q14">
        <f t="shared" si="0"/>
        <v>796</v>
      </c>
    </row>
    <row r="15" spans="9:19" ht="15" customHeight="1">
      <c r="M15">
        <f>SUM(M3:M14)</f>
        <v>53.021799999999992</v>
      </c>
      <c r="N15" s="297">
        <f>SUM(N3:N14)</f>
        <v>1234.3475040000003</v>
      </c>
    </row>
    <row r="16" spans="9:19" ht="15" customHeight="1">
      <c r="M16" s="297">
        <f>+M15/12</f>
        <v>4.4184833333333327</v>
      </c>
      <c r="O16">
        <v>4.9000000000000004</v>
      </c>
    </row>
    <row r="17" spans="10:18" ht="15" customHeight="1">
      <c r="O17">
        <f>+(O16-M16)/M16</f>
        <v>0.10897781667163343</v>
      </c>
    </row>
    <row r="19" spans="10:18" ht="15" customHeight="1">
      <c r="K19" s="1405" t="s">
        <v>88</v>
      </c>
      <c r="L19" s="1405"/>
      <c r="M19" s="1405"/>
      <c r="N19" s="1405"/>
      <c r="O19" s="1405"/>
      <c r="P19" s="1405"/>
    </row>
    <row r="20" spans="10:18" ht="30.75" customHeight="1">
      <c r="K20" s="1408" t="s">
        <v>306</v>
      </c>
      <c r="L20" s="1409"/>
      <c r="M20" s="1410" t="s">
        <v>307</v>
      </c>
      <c r="N20" s="1411"/>
      <c r="O20" s="1412" t="s">
        <v>308</v>
      </c>
      <c r="P20" s="1413"/>
    </row>
    <row r="21" spans="10:18">
      <c r="J21" s="6" t="s">
        <v>87</v>
      </c>
      <c r="K21" s="1406" t="s">
        <v>88</v>
      </c>
      <c r="L21" s="1407"/>
      <c r="M21" s="1406" t="s">
        <v>88</v>
      </c>
      <c r="N21" s="1407"/>
      <c r="O21" s="1406" t="s">
        <v>88</v>
      </c>
      <c r="P21" s="1407"/>
      <c r="Q21" s="1405" t="s">
        <v>52</v>
      </c>
      <c r="R21" s="1405"/>
    </row>
    <row r="22" spans="10:18">
      <c r="J22" s="7">
        <v>0</v>
      </c>
      <c r="K22" s="6" t="e">
        <f>IF('Datos de Entrada (On Grid)'!#REF!=Graficas!$K$20,$K$47*L22," ")</f>
        <v>#REF!</v>
      </c>
      <c r="L22" s="58">
        <v>5.0000000000000001E-3</v>
      </c>
      <c r="M22" s="6" t="e">
        <f>IF($M$20='Datos de Entrada (On Grid)'!#REF!,$K$47*N22," ")</f>
        <v>#REF!</v>
      </c>
      <c r="N22" s="64">
        <v>0.04</v>
      </c>
      <c r="O22" s="6" t="e">
        <f>IF($O$20='Datos de Entrada (On Grid)'!#REF!,$K$47*P22," ")</f>
        <v>#REF!</v>
      </c>
      <c r="P22" s="64">
        <v>0</v>
      </c>
      <c r="Q22" s="60">
        <f t="shared" ref="Q22:Q33" si="1">$Q$34*R22</f>
        <v>0</v>
      </c>
      <c r="R22" s="59">
        <v>0</v>
      </c>
    </row>
    <row r="23" spans="10:18">
      <c r="J23" s="7">
        <v>1</v>
      </c>
      <c r="K23" s="6" t="e">
        <f>IF('Datos de Entrada (On Grid)'!#REF!=Graficas!$K$20,$K$47*L23," ")</f>
        <v>#REF!</v>
      </c>
      <c r="L23" s="58">
        <v>0.01</v>
      </c>
      <c r="M23" s="6" t="e">
        <f>IF($M$20='Datos de Entrada (On Grid)'!#REF!,$K$47*N23," ")</f>
        <v>#REF!</v>
      </c>
      <c r="N23" s="64">
        <f t="shared" ref="N23:N46" si="2">100%/25</f>
        <v>0.04</v>
      </c>
      <c r="O23" s="6" t="e">
        <f>IF($O$20='Datos de Entrada (On Grid)'!#REF!,$K$47*P23," ")</f>
        <v>#REF!</v>
      </c>
      <c r="P23" s="64">
        <v>0</v>
      </c>
      <c r="Q23" s="60">
        <f t="shared" si="1"/>
        <v>0</v>
      </c>
      <c r="R23" s="59">
        <v>0</v>
      </c>
    </row>
    <row r="24" spans="10:18">
      <c r="J24" s="7">
        <v>2</v>
      </c>
      <c r="K24" s="6" t="e">
        <f>IF('Datos de Entrada (On Grid)'!#REF!=Graficas!$K$20,$K$47*L24," ")</f>
        <v>#REF!</v>
      </c>
      <c r="L24" s="58">
        <v>0.02</v>
      </c>
      <c r="M24" s="6" t="e">
        <f>IF($M$20='Datos de Entrada (On Grid)'!#REF!,$K$47*N24," ")</f>
        <v>#REF!</v>
      </c>
      <c r="N24" s="64">
        <f t="shared" si="2"/>
        <v>0.04</v>
      </c>
      <c r="O24" s="6" t="e">
        <f>IF($O$20='Datos de Entrada (On Grid)'!#REF!,$K$47*P24," ")</f>
        <v>#REF!</v>
      </c>
      <c r="P24" s="64">
        <v>0</v>
      </c>
      <c r="Q24" s="60">
        <f t="shared" si="1"/>
        <v>0</v>
      </c>
      <c r="R24" s="59">
        <v>0</v>
      </c>
    </row>
    <row r="25" spans="10:18">
      <c r="J25" s="7">
        <v>3</v>
      </c>
      <c r="K25" s="6" t="e">
        <f>IF('Datos de Entrada (On Grid)'!#REF!=Graficas!$K$20,$K$47*L25," ")</f>
        <v>#REF!</v>
      </c>
      <c r="L25" s="58">
        <v>0.02</v>
      </c>
      <c r="M25" s="6" t="e">
        <f>IF($M$20='Datos de Entrada (On Grid)'!#REF!,$K$47*N25," ")</f>
        <v>#REF!</v>
      </c>
      <c r="N25" s="64">
        <f t="shared" si="2"/>
        <v>0.04</v>
      </c>
      <c r="O25" s="6" t="e">
        <f>IF($O$20='Datos de Entrada (On Grid)'!#REF!,$K$47*P25," ")</f>
        <v>#REF!</v>
      </c>
      <c r="P25" s="64">
        <v>0</v>
      </c>
      <c r="Q25" s="60">
        <f t="shared" si="1"/>
        <v>0</v>
      </c>
      <c r="R25" s="59">
        <v>0</v>
      </c>
    </row>
    <row r="26" spans="10:18">
      <c r="J26" s="7">
        <v>4</v>
      </c>
      <c r="K26" s="6" t="e">
        <f>IF('Datos de Entrada (On Grid)'!#REF!=Graficas!$K$20,$K$47*L26," ")</f>
        <v>#REF!</v>
      </c>
      <c r="L26" s="58">
        <v>0.02</v>
      </c>
      <c r="M26" s="6" t="e">
        <f>IF($M$20='Datos de Entrada (On Grid)'!#REF!,$K$47*N26," ")</f>
        <v>#REF!</v>
      </c>
      <c r="N26" s="64">
        <f t="shared" si="2"/>
        <v>0.04</v>
      </c>
      <c r="O26" s="6" t="e">
        <f>IF($O$20='Datos de Entrada (On Grid)'!#REF!,$K$47*P26," ")</f>
        <v>#REF!</v>
      </c>
      <c r="P26" s="64">
        <v>0</v>
      </c>
      <c r="Q26" s="60">
        <f t="shared" si="1"/>
        <v>0</v>
      </c>
      <c r="R26" s="59">
        <v>0</v>
      </c>
    </row>
    <row r="27" spans="10:18">
      <c r="J27" s="7">
        <v>5</v>
      </c>
      <c r="K27" s="6" t="e">
        <f>IF('Datos de Entrada (On Grid)'!#REF!=Graficas!$K$20,$K$47*L27," ")</f>
        <v>#REF!</v>
      </c>
      <c r="L27" s="58">
        <v>0.03</v>
      </c>
      <c r="M27" s="6" t="e">
        <f>IF($M$20='Datos de Entrada (On Grid)'!#REF!,$K$47*N27," ")</f>
        <v>#REF!</v>
      </c>
      <c r="N27" s="64">
        <f t="shared" si="2"/>
        <v>0.04</v>
      </c>
      <c r="O27" s="6" t="e">
        <f>IF($O$20='Datos de Entrada (On Grid)'!#REF!,$K$47*P27," ")</f>
        <v>#REF!</v>
      </c>
      <c r="P27" s="64">
        <v>0.15</v>
      </c>
      <c r="Q27" s="60">
        <f t="shared" si="1"/>
        <v>0</v>
      </c>
      <c r="R27" s="59">
        <v>0</v>
      </c>
    </row>
    <row r="28" spans="10:18">
      <c r="J28" s="7">
        <v>6</v>
      </c>
      <c r="K28" s="6" t="e">
        <f>IF('Datos de Entrada (On Grid)'!#REF!=Graficas!$K$20,$K$47*L28," ")</f>
        <v>#REF!</v>
      </c>
      <c r="L28" s="58">
        <v>7.0000000000000007E-2</v>
      </c>
      <c r="M28" s="6" t="e">
        <f>IF($M$20='Datos de Entrada (On Grid)'!#REF!,$K$47*N28," ")</f>
        <v>#REF!</v>
      </c>
      <c r="N28" s="64">
        <f t="shared" si="2"/>
        <v>0.04</v>
      </c>
      <c r="O28" s="6" t="e">
        <f>IF($O$20='Datos de Entrada (On Grid)'!#REF!,$K$47*P28," ")</f>
        <v>#REF!</v>
      </c>
      <c r="P28" s="64">
        <v>0.13</v>
      </c>
      <c r="Q28" s="60">
        <f>$Q$34*R28</f>
        <v>0.40949999999999998</v>
      </c>
      <c r="R28" s="59">
        <v>0.05</v>
      </c>
    </row>
    <row r="29" spans="10:18">
      <c r="J29" s="7">
        <v>7</v>
      </c>
      <c r="K29" s="6" t="e">
        <f>IF('Datos de Entrada (On Grid)'!#REF!=Graficas!$K$20,$K$47*L29," ")</f>
        <v>#REF!</v>
      </c>
      <c r="L29" s="58">
        <v>8.5000000000000006E-2</v>
      </c>
      <c r="M29" s="6" t="e">
        <f>IF($M$20='Datos de Entrada (On Grid)'!#REF!,$K$47*N29," ")</f>
        <v>#REF!</v>
      </c>
      <c r="N29" s="64">
        <f t="shared" si="2"/>
        <v>0.04</v>
      </c>
      <c r="O29" s="6" t="e">
        <f>IF($O$20='Datos de Entrada (On Grid)'!#REF!,$K$47*P29," ")</f>
        <v>#REF!</v>
      </c>
      <c r="P29" s="64">
        <v>0.17</v>
      </c>
      <c r="Q29" s="60">
        <f t="shared" si="1"/>
        <v>1.2284999999999999</v>
      </c>
      <c r="R29" s="59">
        <v>0.15</v>
      </c>
    </row>
    <row r="30" spans="10:18">
      <c r="J30" s="7">
        <v>8</v>
      </c>
      <c r="K30" s="6" t="e">
        <f>IF('Datos de Entrada (On Grid)'!#REF!=Graficas!$K$20,$K$47*L30," ")</f>
        <v>#REF!</v>
      </c>
      <c r="L30" s="58">
        <v>7.4999999999999997E-2</v>
      </c>
      <c r="M30" s="6" t="e">
        <f>IF($M$20='Datos de Entrada (On Grid)'!#REF!,$K$47*N30," ")</f>
        <v>#REF!</v>
      </c>
      <c r="N30" s="64">
        <f t="shared" si="2"/>
        <v>0.04</v>
      </c>
      <c r="O30" s="6" t="e">
        <f>IF($O$20='Datos de Entrada (On Grid)'!#REF!,$K$47*P30," ")</f>
        <v>#REF!</v>
      </c>
      <c r="P30" s="64">
        <v>5.0000000000000001E-3</v>
      </c>
      <c r="Q30" s="60">
        <f t="shared" si="1"/>
        <v>2.4569999999999999</v>
      </c>
      <c r="R30" s="59">
        <v>0.3</v>
      </c>
    </row>
    <row r="31" spans="10:18">
      <c r="J31" s="7">
        <v>9</v>
      </c>
      <c r="K31" s="6" t="e">
        <f>IF('Datos de Entrada (On Grid)'!#REF!=Graficas!$K$20,$K$47*L31," ")</f>
        <v>#REF!</v>
      </c>
      <c r="L31" s="58">
        <v>2.5000000000000001E-2</v>
      </c>
      <c r="M31" s="6" t="e">
        <f>IF($M$20='Datos de Entrada (On Grid)'!#REF!,$K$47*N31," ")</f>
        <v>#REF!</v>
      </c>
      <c r="N31" s="64">
        <f t="shared" si="2"/>
        <v>0.04</v>
      </c>
      <c r="O31" s="6" t="e">
        <f>IF($O$20='Datos de Entrada (On Grid)'!#REF!,$K$47*P31," ")</f>
        <v>#REF!</v>
      </c>
      <c r="P31" s="64">
        <v>5.0000000000000001E-3</v>
      </c>
      <c r="Q31" s="60">
        <f t="shared" si="1"/>
        <v>4.9139999999999997</v>
      </c>
      <c r="R31" s="59">
        <v>0.6</v>
      </c>
    </row>
    <row r="32" spans="10:18">
      <c r="J32" s="7">
        <v>10</v>
      </c>
      <c r="K32" s="6" t="e">
        <f>IF('Datos de Entrada (On Grid)'!#REF!=Graficas!$K$20,$K$47*L32," ")</f>
        <v>#REF!</v>
      </c>
      <c r="L32" s="58">
        <v>0.04</v>
      </c>
      <c r="M32" s="6" t="e">
        <f>IF($M$20='Datos de Entrada (On Grid)'!#REF!,$K$47*N32," ")</f>
        <v>#REF!</v>
      </c>
      <c r="N32" s="64">
        <f t="shared" si="2"/>
        <v>0.04</v>
      </c>
      <c r="O32" s="6" t="e">
        <f>IF($O$20='Datos de Entrada (On Grid)'!#REF!,$K$47*P32," ")</f>
        <v>#REF!</v>
      </c>
      <c r="P32" s="64">
        <v>5.0000000000000001E-3</v>
      </c>
      <c r="Q32" s="60">
        <f t="shared" si="1"/>
        <v>6.5519999999999996</v>
      </c>
      <c r="R32" s="59">
        <v>0.8</v>
      </c>
    </row>
    <row r="33" spans="10:18">
      <c r="J33" s="7">
        <v>11</v>
      </c>
      <c r="K33" s="6" t="e">
        <f>IF('Datos de Entrada (On Grid)'!#REF!=Graficas!$K$20,$K$47*L33," ")</f>
        <v>#REF!</v>
      </c>
      <c r="L33" s="58">
        <v>0.05</v>
      </c>
      <c r="M33" s="6" t="e">
        <f>IF($M$20='Datos de Entrada (On Grid)'!#REF!,$K$47*N33," ")</f>
        <v>#REF!</v>
      </c>
      <c r="N33" s="64">
        <f t="shared" si="2"/>
        <v>0.04</v>
      </c>
      <c r="O33" s="6" t="e">
        <f>IF($O$20='Datos de Entrada (On Grid)'!#REF!,$K$47*P33," ")</f>
        <v>#REF!</v>
      </c>
      <c r="P33" s="64">
        <v>5.0000000000000001E-3</v>
      </c>
      <c r="Q33" s="60">
        <f t="shared" si="1"/>
        <v>7.7804999999999991</v>
      </c>
      <c r="R33" s="59">
        <v>0.95</v>
      </c>
    </row>
    <row r="34" spans="10:18">
      <c r="J34" s="7">
        <v>12</v>
      </c>
      <c r="K34" s="6" t="e">
        <f>IF('Datos de Entrada (On Grid)'!#REF!=Graficas!$K$20,$K$47*L34," ")</f>
        <v>#REF!</v>
      </c>
      <c r="L34" s="58">
        <v>3.5000000000000003E-2</v>
      </c>
      <c r="M34" s="6" t="e">
        <f>IF($M$20='Datos de Entrada (On Grid)'!#REF!,$K$47*N34," ")</f>
        <v>#REF!</v>
      </c>
      <c r="N34" s="64">
        <f t="shared" si="2"/>
        <v>0.04</v>
      </c>
      <c r="O34" s="6" t="e">
        <f>IF($O$20='Datos de Entrada (On Grid)'!#REF!,$K$47*P34," ")</f>
        <v>#REF!</v>
      </c>
      <c r="P34" s="64">
        <v>5.0000000000000001E-3</v>
      </c>
      <c r="Q34" s="60">
        <f>'Calculos (On Grid)'!B10*'Calculos (On Grid)'!B23/1000</f>
        <v>8.19</v>
      </c>
      <c r="R34" s="59">
        <v>1</v>
      </c>
    </row>
    <row r="35" spans="10:18">
      <c r="J35" s="7">
        <v>13</v>
      </c>
      <c r="K35" s="6" t="e">
        <f>IF('Datos de Entrada (On Grid)'!#REF!=Graficas!$K$20,$K$47*L35," ")</f>
        <v>#REF!</v>
      </c>
      <c r="L35" s="58">
        <v>5.5E-2</v>
      </c>
      <c r="M35" s="6" t="e">
        <f>IF($M$20='Datos de Entrada (On Grid)'!#REF!,$K$47*N35," ")</f>
        <v>#REF!</v>
      </c>
      <c r="N35" s="64">
        <f t="shared" si="2"/>
        <v>0.04</v>
      </c>
      <c r="O35" s="6" t="e">
        <f>IF($O$20='Datos de Entrada (On Grid)'!#REF!,$K$47*P35," ")</f>
        <v>#REF!</v>
      </c>
      <c r="P35" s="64">
        <v>5.0000000000000001E-3</v>
      </c>
      <c r="Q35" s="60">
        <f t="shared" ref="Q35:Q46" si="3">$Q$34*R35</f>
        <v>7.7804999999999991</v>
      </c>
      <c r="R35" s="59">
        <v>0.95</v>
      </c>
    </row>
    <row r="36" spans="10:18">
      <c r="J36" s="7">
        <v>14</v>
      </c>
      <c r="K36" s="6" t="e">
        <f>IF('Datos de Entrada (On Grid)'!#REF!=Graficas!$K$20,$K$47*L36," ")</f>
        <v>#REF!</v>
      </c>
      <c r="L36" s="58">
        <v>4.4999999999999998E-2</v>
      </c>
      <c r="M36" s="6" t="e">
        <f>IF($M$20='Datos de Entrada (On Grid)'!#REF!,$K$47*N36," ")</f>
        <v>#REF!</v>
      </c>
      <c r="N36" s="64">
        <f t="shared" si="2"/>
        <v>0.04</v>
      </c>
      <c r="O36" s="6" t="e">
        <f>IF($O$20='Datos de Entrada (On Grid)'!#REF!,$K$47*P36," ")</f>
        <v>#REF!</v>
      </c>
      <c r="P36" s="64">
        <v>5.0000000000000001E-3</v>
      </c>
      <c r="Q36" s="60">
        <f t="shared" si="3"/>
        <v>6.5519999999999996</v>
      </c>
      <c r="R36" s="59">
        <v>0.8</v>
      </c>
    </row>
    <row r="37" spans="10:18">
      <c r="J37" s="7">
        <v>15</v>
      </c>
      <c r="K37" s="6" t="e">
        <f>IF('Datos de Entrada (On Grid)'!#REF!=Graficas!$K$20,$K$47*L37," ")</f>
        <v>#REF!</v>
      </c>
      <c r="L37" s="58">
        <v>3.5000000000000003E-2</v>
      </c>
      <c r="M37" s="6" t="e">
        <f>IF($M$20='Datos de Entrada (On Grid)'!#REF!,$K$47*N37," ")</f>
        <v>#REF!</v>
      </c>
      <c r="N37" s="64">
        <f t="shared" si="2"/>
        <v>0.04</v>
      </c>
      <c r="O37" s="6" t="e">
        <f>IF($O$20='Datos de Entrada (On Grid)'!#REF!,$K$47*P37," ")</f>
        <v>#REF!</v>
      </c>
      <c r="P37" s="64">
        <v>5.0000000000000001E-3</v>
      </c>
      <c r="Q37" s="60">
        <f t="shared" si="3"/>
        <v>4.9139999999999997</v>
      </c>
      <c r="R37" s="59">
        <v>0.6</v>
      </c>
    </row>
    <row r="38" spans="10:18">
      <c r="J38" s="7">
        <v>16</v>
      </c>
      <c r="K38" s="6" t="e">
        <f>IF('Datos de Entrada (On Grid)'!#REF!=Graficas!$K$20,$K$47*L38," ")</f>
        <v>#REF!</v>
      </c>
      <c r="L38" s="58">
        <v>0.05</v>
      </c>
      <c r="M38" s="6" t="e">
        <f>IF($M$20='Datos de Entrada (On Grid)'!#REF!,$K$47*N38," ")</f>
        <v>#REF!</v>
      </c>
      <c r="N38" s="64">
        <f t="shared" si="2"/>
        <v>0.04</v>
      </c>
      <c r="O38" s="6" t="e">
        <f>IF($O$20='Datos de Entrada (On Grid)'!#REF!,$K$47*P38," ")</f>
        <v>#REF!</v>
      </c>
      <c r="P38" s="64">
        <v>5.0000000000000001E-3</v>
      </c>
      <c r="Q38" s="60">
        <f t="shared" si="3"/>
        <v>2.4569999999999999</v>
      </c>
      <c r="R38" s="59">
        <v>0.3</v>
      </c>
    </row>
    <row r="39" spans="10:18">
      <c r="J39" s="7">
        <v>17</v>
      </c>
      <c r="K39" s="6" t="e">
        <f>IF('Datos de Entrada (On Grid)'!#REF!=Graficas!$K$20,$K$47*L39," ")</f>
        <v>#REF!</v>
      </c>
      <c r="L39" s="58">
        <v>3.5000000000000003E-2</v>
      </c>
      <c r="M39" s="6" t="e">
        <f>IF($M$20='Datos de Entrada (On Grid)'!#REF!,$K$47*N39," ")</f>
        <v>#REF!</v>
      </c>
      <c r="N39" s="64">
        <f t="shared" si="2"/>
        <v>0.04</v>
      </c>
      <c r="O39" s="6" t="e">
        <f>IF($O$20='Datos de Entrada (On Grid)'!#REF!,$K$47*P39," ")</f>
        <v>#REF!</v>
      </c>
      <c r="P39" s="64">
        <v>5.0000000000000001E-3</v>
      </c>
      <c r="Q39" s="60">
        <f t="shared" si="3"/>
        <v>1.2284999999999999</v>
      </c>
      <c r="R39" s="59">
        <v>0.15</v>
      </c>
    </row>
    <row r="40" spans="10:18">
      <c r="J40" s="7">
        <v>18</v>
      </c>
      <c r="K40" s="6" t="e">
        <f>IF('Datos de Entrada (On Grid)'!#REF!=Graficas!$K$20,$K$47*L40," ")</f>
        <v>#REF!</v>
      </c>
      <c r="L40" s="58">
        <v>3.5000000000000003E-2</v>
      </c>
      <c r="M40" s="6" t="e">
        <f>IF($M$20='Datos de Entrada (On Grid)'!#REF!,$K$47*N40," ")</f>
        <v>#REF!</v>
      </c>
      <c r="N40" s="64">
        <f t="shared" si="2"/>
        <v>0.04</v>
      </c>
      <c r="O40" s="6" t="e">
        <f>IF($O$20='Datos de Entrada (On Grid)'!#REF!,$K$47*P40," ")</f>
        <v>#REF!</v>
      </c>
      <c r="P40" s="64">
        <v>0.13</v>
      </c>
      <c r="Q40" s="60">
        <f t="shared" si="3"/>
        <v>0.40949999999999998</v>
      </c>
      <c r="R40" s="59">
        <v>0.05</v>
      </c>
    </row>
    <row r="41" spans="10:18">
      <c r="J41" s="7">
        <v>19</v>
      </c>
      <c r="K41" s="6" t="e">
        <f>IF('Datos de Entrada (On Grid)'!#REF!=Graficas!$K$20,$K$47*L41," ")</f>
        <v>#REF!</v>
      </c>
      <c r="L41" s="58">
        <v>8.5000000000000006E-2</v>
      </c>
      <c r="M41" s="6" t="e">
        <f>IF($M$20='Datos de Entrada (On Grid)'!#REF!,$K$47*N41," ")</f>
        <v>#REF!</v>
      </c>
      <c r="N41" s="64">
        <f t="shared" si="2"/>
        <v>0.04</v>
      </c>
      <c r="O41" s="6" t="e">
        <f>IF($O$20='Datos de Entrada (On Grid)'!#REF!,$K$47*P41," ")</f>
        <v>#REF!</v>
      </c>
      <c r="P41" s="64">
        <v>0.15</v>
      </c>
      <c r="Q41" s="60">
        <f t="shared" si="3"/>
        <v>0</v>
      </c>
      <c r="R41" s="59">
        <v>0</v>
      </c>
    </row>
    <row r="42" spans="10:18">
      <c r="J42" s="7">
        <v>20</v>
      </c>
      <c r="K42" s="6" t="e">
        <f>IF('Datos de Entrada (On Grid)'!#REF!=Graficas!$K$20,$K$47*L42," ")</f>
        <v>#REF!</v>
      </c>
      <c r="L42" s="58">
        <v>0.08</v>
      </c>
      <c r="M42" s="6" t="e">
        <f>IF($M$20='Datos de Entrada (On Grid)'!#REF!,$K$47*N42," ")</f>
        <v>#REF!</v>
      </c>
      <c r="N42" s="64">
        <f t="shared" si="2"/>
        <v>0.04</v>
      </c>
      <c r="O42" s="6" t="e">
        <f>IF($O$20='Datos de Entrada (On Grid)'!#REF!,$K$47*P42," ")</f>
        <v>#REF!</v>
      </c>
      <c r="P42" s="64">
        <v>0.17</v>
      </c>
      <c r="Q42" s="60">
        <f t="shared" si="3"/>
        <v>0</v>
      </c>
      <c r="R42" s="59">
        <v>0</v>
      </c>
    </row>
    <row r="43" spans="10:18">
      <c r="J43" s="7">
        <v>21</v>
      </c>
      <c r="K43" s="6" t="e">
        <f>IF('Datos de Entrada (On Grid)'!#REF!=Graficas!$K$20,$K$47*L43," ")</f>
        <v>#REF!</v>
      </c>
      <c r="L43" s="58">
        <v>0.06</v>
      </c>
      <c r="M43" s="6" t="e">
        <f>IF($M$20='Datos de Entrada (On Grid)'!#REF!,$K$47*N43," ")</f>
        <v>#REF!</v>
      </c>
      <c r="N43" s="64">
        <f t="shared" si="2"/>
        <v>0.04</v>
      </c>
      <c r="O43" s="6" t="e">
        <f>IF($O$20='Datos de Entrada (On Grid)'!#REF!,$K$47*P43," ")</f>
        <v>#REF!</v>
      </c>
      <c r="P43" s="64">
        <v>0.03</v>
      </c>
      <c r="Q43" s="60">
        <f t="shared" si="3"/>
        <v>0</v>
      </c>
      <c r="R43" s="59">
        <v>0</v>
      </c>
    </row>
    <row r="44" spans="10:18">
      <c r="J44" s="7">
        <v>22</v>
      </c>
      <c r="K44" s="6" t="e">
        <f>IF('Datos de Entrada (On Grid)'!#REF!=Graficas!$K$20,$K$47*L44," ")</f>
        <v>#REF!</v>
      </c>
      <c r="L44" s="58">
        <v>0.01</v>
      </c>
      <c r="M44" s="6" t="e">
        <f>IF($M$20='Datos de Entrada (On Grid)'!#REF!,$K$47*N44," ")</f>
        <v>#REF!</v>
      </c>
      <c r="N44" s="64">
        <f t="shared" si="2"/>
        <v>0.04</v>
      </c>
      <c r="O44" s="6" t="e">
        <f>IF($O$20='Datos de Entrada (On Grid)'!#REF!,$K$47*P44," ")</f>
        <v>#REF!</v>
      </c>
      <c r="P44" s="64">
        <v>0.02</v>
      </c>
      <c r="Q44" s="60">
        <f t="shared" si="3"/>
        <v>0</v>
      </c>
      <c r="R44" s="59">
        <v>0</v>
      </c>
    </row>
    <row r="45" spans="10:18">
      <c r="J45" s="7">
        <v>23</v>
      </c>
      <c r="K45" s="6" t="e">
        <f>IF('Datos de Entrada (On Grid)'!#REF!=Graficas!$K$20,$K$47*L45," ")</f>
        <v>#REF!</v>
      </c>
      <c r="L45" s="58">
        <v>0.02</v>
      </c>
      <c r="M45" s="6" t="e">
        <f>IF($M$20='Datos de Entrada (On Grid)'!#REF!,$K$47*N45," ")</f>
        <v>#REF!</v>
      </c>
      <c r="N45" s="64">
        <f t="shared" si="2"/>
        <v>0.04</v>
      </c>
      <c r="O45" s="6" t="e">
        <f>IF($O$20='Datos de Entrada (On Grid)'!#REF!,$K$47*P45," ")</f>
        <v>#REF!</v>
      </c>
      <c r="P45" s="64">
        <v>0</v>
      </c>
      <c r="Q45" s="60">
        <f t="shared" si="3"/>
        <v>0</v>
      </c>
      <c r="R45" s="59">
        <v>0</v>
      </c>
    </row>
    <row r="46" spans="10:18">
      <c r="J46" s="61">
        <v>24</v>
      </c>
      <c r="K46" s="6" t="e">
        <f>IF('Datos de Entrada (On Grid)'!#REF!=Graficas!$K$20,$K$47*L46," ")</f>
        <v>#REF!</v>
      </c>
      <c r="L46" s="62">
        <v>5.0000000000000001E-3</v>
      </c>
      <c r="M46" s="6" t="e">
        <f>IF($M$20='Datos de Entrada (On Grid)'!#REF!,$K$47*N46," ")</f>
        <v>#REF!</v>
      </c>
      <c r="N46" s="64">
        <f t="shared" si="2"/>
        <v>0.04</v>
      </c>
      <c r="O46" s="6" t="e">
        <f>IF($O$20='Datos de Entrada (On Grid)'!#REF!,$K$47*P46," ")</f>
        <v>#REF!</v>
      </c>
      <c r="P46" s="65">
        <v>0</v>
      </c>
      <c r="Q46" s="60">
        <f t="shared" si="3"/>
        <v>0</v>
      </c>
      <c r="R46" s="59">
        <v>0</v>
      </c>
    </row>
    <row r="47" spans="10:18" ht="15" customHeight="1">
      <c r="J47" s="19" t="s">
        <v>112</v>
      </c>
      <c r="K47" s="18">
        <f>('Datos de Salida (On grid)'!D6/365)</f>
        <v>27.945205479452056</v>
      </c>
      <c r="L47" s="63">
        <f>SUM(L22:L46)</f>
        <v>1</v>
      </c>
      <c r="M47" s="18">
        <f>('Datos de Salida (On grid)'!D6/365)</f>
        <v>27.945205479452056</v>
      </c>
      <c r="N47" s="63">
        <f>SUM(N22:N46)</f>
        <v>1.0000000000000002</v>
      </c>
      <c r="O47" s="18">
        <f>('Datos de Salida (On grid)'!D6/365)</f>
        <v>27.945205479452056</v>
      </c>
      <c r="P47" s="63">
        <f>SUM(P22:P46)</f>
        <v>1.0000000000000002</v>
      </c>
    </row>
  </sheetData>
  <mergeCells count="8">
    <mergeCell ref="Q21:R21"/>
    <mergeCell ref="K19:P19"/>
    <mergeCell ref="K21:L21"/>
    <mergeCell ref="M21:N21"/>
    <mergeCell ref="O21:P21"/>
    <mergeCell ref="K20:L20"/>
    <mergeCell ref="M20:N20"/>
    <mergeCell ref="O20:P2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IrMenu">
                <anchor moveWithCells="1" sizeWithCells="1">
                  <from>
                    <xdr:col>3</xdr:col>
                    <xdr:colOff>838200</xdr:colOff>
                    <xdr:row>3</xdr:row>
                    <xdr:rowOff>114300</xdr:rowOff>
                  </from>
                  <to>
                    <xdr:col>5</xdr:col>
                    <xdr:colOff>723900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BD95C-93AE-45B9-9509-B2D08B8168BE}">
  <sheetPr codeName="Hoja25"/>
  <dimension ref="B1:E36"/>
  <sheetViews>
    <sheetView workbookViewId="0">
      <selection activeCell="A5" sqref="A5"/>
    </sheetView>
  </sheetViews>
  <sheetFormatPr baseColWidth="10" defaultColWidth="10.5" defaultRowHeight="15"/>
  <cols>
    <col min="1" max="1" width="10.5" style="800"/>
    <col min="2" max="2" width="24.875" style="800" bestFit="1" customWidth="1"/>
    <col min="3" max="3" width="26.625" style="800" bestFit="1" customWidth="1"/>
    <col min="4" max="4" width="73.625" style="800" bestFit="1" customWidth="1"/>
    <col min="5" max="16384" width="10.5" style="800"/>
  </cols>
  <sheetData>
    <row r="1" spans="2:4" ht="15.75" thickBot="1"/>
    <row r="2" spans="2:4" ht="15.75" thickBot="1">
      <c r="B2" s="818" t="s">
        <v>2473</v>
      </c>
      <c r="C2" s="817" t="s">
        <v>2472</v>
      </c>
      <c r="D2" s="816" t="s">
        <v>2471</v>
      </c>
    </row>
    <row r="3" spans="2:4">
      <c r="B3" s="815" t="s">
        <v>2470</v>
      </c>
      <c r="C3" s="814" t="str">
        <f t="shared" ref="C3:C29" si="0">+_xlfn.CONCAT("*",B3,"*")</f>
        <v>*NOMBRE EMPRESA*</v>
      </c>
      <c r="D3" s="813" t="s">
        <v>2482</v>
      </c>
    </row>
    <row r="4" spans="2:4">
      <c r="B4" s="808" t="s">
        <v>2469</v>
      </c>
      <c r="C4" s="807" t="str">
        <f t="shared" si="0"/>
        <v>*NIT EMPRESA*</v>
      </c>
      <c r="D4" s="806">
        <v>901143328</v>
      </c>
    </row>
    <row r="5" spans="2:4">
      <c r="B5" s="808" t="s">
        <v>2468</v>
      </c>
      <c r="C5" s="807" t="str">
        <f t="shared" si="0"/>
        <v>*NOMBRE RL*</v>
      </c>
      <c r="D5" s="806" t="s">
        <v>2483</v>
      </c>
    </row>
    <row r="6" spans="2:4">
      <c r="B6" s="808" t="s">
        <v>2467</v>
      </c>
      <c r="C6" s="807" t="str">
        <f t="shared" si="0"/>
        <v>*APELLIDOS RL*</v>
      </c>
      <c r="D6" s="806" t="s">
        <v>2484</v>
      </c>
    </row>
    <row r="7" spans="2:4">
      <c r="B7" s="808" t="s">
        <v>2466</v>
      </c>
      <c r="C7" s="807" t="str">
        <f t="shared" si="0"/>
        <v>*CÉDULA RL*</v>
      </c>
      <c r="D7" s="806">
        <v>70065479</v>
      </c>
    </row>
    <row r="8" spans="2:4">
      <c r="B8" s="808" t="s">
        <v>2465</v>
      </c>
      <c r="C8" s="807" t="str">
        <f t="shared" si="0"/>
        <v>*DIRECCIÓN*</v>
      </c>
      <c r="D8" s="806" t="s">
        <v>2485</v>
      </c>
    </row>
    <row r="9" spans="2:4">
      <c r="B9" s="808" t="s">
        <v>2464</v>
      </c>
      <c r="C9" s="807" t="str">
        <f t="shared" si="0"/>
        <v>*VEREDA*</v>
      </c>
      <c r="D9" s="806"/>
    </row>
    <row r="10" spans="2:4">
      <c r="B10" s="808" t="s">
        <v>2463</v>
      </c>
      <c r="C10" s="807" t="str">
        <f t="shared" si="0"/>
        <v>*MUNICIPIO*</v>
      </c>
      <c r="D10" s="806" t="s">
        <v>1434</v>
      </c>
    </row>
    <row r="11" spans="2:4">
      <c r="B11" s="808" t="s">
        <v>2462</v>
      </c>
      <c r="C11" s="807" t="str">
        <f t="shared" si="0"/>
        <v>*DEPARTAMENTO*</v>
      </c>
      <c r="D11" s="806" t="s">
        <v>2461</v>
      </c>
    </row>
    <row r="12" spans="2:4">
      <c r="B12" s="808" t="s">
        <v>2460</v>
      </c>
      <c r="C12" s="807" t="str">
        <f t="shared" si="0"/>
        <v>*UBICACIÓN NOM COMERCIAL*</v>
      </c>
      <c r="D12" s="806" t="s">
        <v>2486</v>
      </c>
    </row>
    <row r="13" spans="2:4">
      <c r="B13" s="808" t="s">
        <v>2459</v>
      </c>
      <c r="C13" s="807" t="str">
        <f t="shared" si="0"/>
        <v>*VALOR CONTRATO*</v>
      </c>
      <c r="D13" s="812" t="e">
        <f>+'Datos de Entrada (On Grid)'!D44</f>
        <v>#N/A</v>
      </c>
    </row>
    <row r="14" spans="2:4">
      <c r="B14" s="808" t="s">
        <v>2458</v>
      </c>
      <c r="C14" s="807" t="str">
        <f t="shared" si="0"/>
        <v>*EN LETRAS*</v>
      </c>
      <c r="D14" s="809" t="e">
        <v>#NAME?</v>
      </c>
    </row>
    <row r="15" spans="2:4">
      <c r="B15" s="808" t="s">
        <v>2457</v>
      </c>
      <c r="C15" s="807" t="str">
        <f t="shared" si="0"/>
        <v>*PCT PAGO 1*</v>
      </c>
      <c r="D15" s="811">
        <v>0.6</v>
      </c>
    </row>
    <row r="16" spans="2:4">
      <c r="B16" s="808" t="s">
        <v>2456</v>
      </c>
      <c r="C16" s="807" t="str">
        <f t="shared" si="0"/>
        <v>*PCT PAGO 2*</v>
      </c>
      <c r="D16" s="811">
        <v>0.3</v>
      </c>
    </row>
    <row r="17" spans="2:5">
      <c r="B17" s="808" t="s">
        <v>2455</v>
      </c>
      <c r="C17" s="807" t="str">
        <f t="shared" si="0"/>
        <v>*PCT PAGO 3*</v>
      </c>
      <c r="D17" s="811">
        <v>0.1</v>
      </c>
    </row>
    <row r="18" spans="2:5">
      <c r="B18" s="808" t="s">
        <v>2454</v>
      </c>
      <c r="C18" s="807" t="str">
        <f t="shared" si="0"/>
        <v>*PAGO 1*</v>
      </c>
      <c r="D18" s="810" t="e">
        <f>+ROUNDDOWN(D15*$D$13,0)</f>
        <v>#N/A</v>
      </c>
    </row>
    <row r="19" spans="2:5">
      <c r="B19" s="808" t="s">
        <v>2453</v>
      </c>
      <c r="C19" s="807" t="str">
        <f t="shared" si="0"/>
        <v>*PAGO 2*</v>
      </c>
      <c r="D19" s="810" t="e">
        <f>+ROUNDDOWN(D16*$D$13,0)</f>
        <v>#N/A</v>
      </c>
    </row>
    <row r="20" spans="2:5">
      <c r="B20" s="808" t="s">
        <v>2452</v>
      </c>
      <c r="C20" s="807" t="str">
        <f t="shared" si="0"/>
        <v>*PAGO 3*</v>
      </c>
      <c r="D20" s="810" t="e">
        <f>+ROUNDDOWN(D17*$D$13,0)</f>
        <v>#N/A</v>
      </c>
    </row>
    <row r="21" spans="2:5">
      <c r="B21" s="808" t="s">
        <v>2451</v>
      </c>
      <c r="C21" s="807" t="str">
        <f t="shared" si="0"/>
        <v>*EN LETRAS 1*</v>
      </c>
      <c r="D21" s="809" t="e">
        <v>#NAME?</v>
      </c>
    </row>
    <row r="22" spans="2:5">
      <c r="B22" s="808" t="s">
        <v>2450</v>
      </c>
      <c r="C22" s="807" t="str">
        <f t="shared" si="0"/>
        <v>*EN LETRAS 2*</v>
      </c>
      <c r="D22" s="809" t="e">
        <v>#NAME?</v>
      </c>
    </row>
    <row r="23" spans="2:5">
      <c r="B23" s="808" t="s">
        <v>2449</v>
      </c>
      <c r="C23" s="807" t="str">
        <f t="shared" si="0"/>
        <v>*EN LETRAS 3*</v>
      </c>
      <c r="D23" s="809" t="e">
        <v>#NAME?</v>
      </c>
    </row>
    <row r="24" spans="2:5">
      <c r="B24" s="808" t="s">
        <v>2448</v>
      </c>
      <c r="C24" s="807" t="str">
        <f t="shared" si="0"/>
        <v>*DURACIÓN*</v>
      </c>
      <c r="D24" s="809" t="e">
        <v>#NAME?</v>
      </c>
    </row>
    <row r="25" spans="2:5">
      <c r="B25" s="808" t="s">
        <v>2447</v>
      </c>
      <c r="C25" s="807" t="str">
        <f t="shared" si="0"/>
        <v>*DURACIÓN #*</v>
      </c>
      <c r="D25" s="806">
        <v>5</v>
      </c>
      <c r="E25" s="800" t="s">
        <v>2446</v>
      </c>
    </row>
    <row r="26" spans="2:5">
      <c r="B26" s="808" t="s">
        <v>2445</v>
      </c>
      <c r="C26" s="807" t="str">
        <f t="shared" si="0"/>
        <v>*GARANTIA INS*</v>
      </c>
      <c r="D26" s="806">
        <v>2</v>
      </c>
    </row>
    <row r="27" spans="2:5">
      <c r="B27" s="808" t="s">
        <v>2444</v>
      </c>
      <c r="C27" s="807" t="str">
        <f t="shared" si="0"/>
        <v>*GARANTIA PAN*</v>
      </c>
      <c r="D27" s="806">
        <v>12</v>
      </c>
    </row>
    <row r="28" spans="2:5">
      <c r="B28" s="808" t="s">
        <v>2443</v>
      </c>
      <c r="C28" s="807" t="str">
        <f t="shared" si="0"/>
        <v>*GARANTIA EQ*</v>
      </c>
      <c r="D28" s="806">
        <v>5</v>
      </c>
    </row>
    <row r="29" spans="2:5" ht="15.75" thickBot="1">
      <c r="B29" s="805" t="s">
        <v>2442</v>
      </c>
      <c r="C29" s="804" t="str">
        <f t="shared" si="0"/>
        <v>*GENERACIÓN ANUAL*</v>
      </c>
      <c r="D29" s="803">
        <f>+'Datos de Salida (On grid)'!D7</f>
        <v>10190.777236093543</v>
      </c>
    </row>
    <row r="30" spans="2:5" ht="13.5" customHeight="1">
      <c r="B30" s="815" t="s">
        <v>2478</v>
      </c>
      <c r="C30" s="807" t="s">
        <v>2474</v>
      </c>
      <c r="D30" s="819">
        <f>+'Datos de Salida (On grid)'!I6</f>
        <v>14</v>
      </c>
    </row>
    <row r="31" spans="2:5">
      <c r="B31" s="808" t="s">
        <v>2479</v>
      </c>
      <c r="C31" s="807" t="s">
        <v>2475</v>
      </c>
      <c r="D31" s="809">
        <f>+'Datos de Salida (On grid)'!I7</f>
        <v>1</v>
      </c>
    </row>
    <row r="32" spans="2:5">
      <c r="B32" s="808" t="s">
        <v>2480</v>
      </c>
      <c r="C32" s="807" t="s">
        <v>2476</v>
      </c>
      <c r="D32" s="809" t="str">
        <f>+'Mejoras Simón'!M25</f>
        <v>Panel solar Monocristalino  HalfCell (585W)</v>
      </c>
    </row>
    <row r="33" spans="2:4" ht="15.75" thickBot="1">
      <c r="B33" s="805" t="s">
        <v>2481</v>
      </c>
      <c r="C33" s="804" t="s">
        <v>2477</v>
      </c>
      <c r="D33" s="820" t="str">
        <f>+'Mejoras Simón'!M26</f>
        <v>Inversor Híbrido 8 kW Split phase</v>
      </c>
    </row>
    <row r="34" spans="2:4" ht="15.75" thickBot="1"/>
    <row r="35" spans="2:4">
      <c r="B35" s="802" t="s">
        <v>2441</v>
      </c>
    </row>
    <row r="36" spans="2:4" ht="15.75" thickBot="1">
      <c r="B36" s="801" t="s">
        <v>2440</v>
      </c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generar_contratoPN">
                <anchor moveWithCells="1" sizeWithCells="1">
                  <from>
                    <xdr:col>6</xdr:col>
                    <xdr:colOff>685800</xdr:colOff>
                    <xdr:row>2</xdr:row>
                    <xdr:rowOff>9525</xdr:rowOff>
                  </from>
                  <to>
                    <xdr:col>11</xdr:col>
                    <xdr:colOff>390525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generar_contratoPJ">
                <anchor moveWithCells="1" sizeWithCells="1">
                  <from>
                    <xdr:col>6</xdr:col>
                    <xdr:colOff>685800</xdr:colOff>
                    <xdr:row>5</xdr:row>
                    <xdr:rowOff>152400</xdr:rowOff>
                  </from>
                  <to>
                    <xdr:col>11</xdr:col>
                    <xdr:colOff>381000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9"/>
  <dimension ref="A1:AC99"/>
  <sheetViews>
    <sheetView topLeftCell="A23" zoomScale="80" zoomScaleNormal="80" workbookViewId="0">
      <selection activeCell="R67" sqref="R67"/>
    </sheetView>
  </sheetViews>
  <sheetFormatPr baseColWidth="10" defaultColWidth="9" defaultRowHeight="15" outlineLevelRow="1"/>
  <cols>
    <col min="1" max="1" width="2.5" style="31" bestFit="1" customWidth="1"/>
    <col min="2" max="2" width="27.5" style="36" bestFit="1" customWidth="1"/>
    <col min="3" max="3" width="15.625" style="31" bestFit="1" customWidth="1"/>
    <col min="4" max="4" width="12.375" style="31" bestFit="1" customWidth="1"/>
    <col min="5" max="5" width="14" style="31" bestFit="1" customWidth="1"/>
    <col min="6" max="11" width="11.875" style="31" bestFit="1" customWidth="1"/>
    <col min="12" max="12" width="13.125" style="31" bestFit="1" customWidth="1"/>
    <col min="13" max="13" width="13.375" style="31" bestFit="1" customWidth="1"/>
    <col min="14" max="16" width="11.625" style="31" bestFit="1" customWidth="1"/>
    <col min="17" max="18" width="10.875" style="31" bestFit="1" customWidth="1"/>
    <col min="19" max="19" width="11.125" style="31" bestFit="1" customWidth="1"/>
    <col min="20" max="20" width="11.5" style="31" bestFit="1" customWidth="1"/>
    <col min="21" max="21" width="10.5" style="31" bestFit="1" customWidth="1"/>
    <col min="22" max="25" width="11.5" style="31" bestFit="1" customWidth="1"/>
    <col min="26" max="26" width="12" style="31" bestFit="1" customWidth="1"/>
    <col min="27" max="27" width="11.375" style="31" bestFit="1" customWidth="1"/>
    <col min="28" max="28" width="11.5" style="31" bestFit="1" customWidth="1"/>
    <col min="29" max="29" width="11.125" style="31" bestFit="1" customWidth="1"/>
    <col min="30" max="16384" width="9" style="31"/>
  </cols>
  <sheetData>
    <row r="1" spans="2:29" ht="15.75" thickBot="1"/>
    <row r="2" spans="2:29" ht="15.75" thickBot="1">
      <c r="B2" s="29" t="s">
        <v>210</v>
      </c>
      <c r="C2" s="30" t="s">
        <v>187</v>
      </c>
      <c r="D2" s="199">
        <f>+'Calculos (On Grid)'!C24</f>
        <v>8.19</v>
      </c>
      <c r="P2" s="759" t="s">
        <v>2166</v>
      </c>
    </row>
    <row r="3" spans="2:29">
      <c r="B3" s="32" t="s">
        <v>211</v>
      </c>
      <c r="C3" s="33" t="s">
        <v>212</v>
      </c>
      <c r="D3" s="200">
        <f>D2*AVERAGE(Graficas!M3:M14)*365*0.8*'Datos de Entrada (On Grid)'!G29</f>
        <v>10249.713086339998</v>
      </c>
      <c r="Q3" s="664" t="s">
        <v>2167</v>
      </c>
      <c r="R3" s="664" t="s">
        <v>2168</v>
      </c>
      <c r="S3" s="664" t="s">
        <v>2169</v>
      </c>
      <c r="T3" s="664" t="s">
        <v>2170</v>
      </c>
      <c r="U3" s="664" t="s">
        <v>2171</v>
      </c>
      <c r="V3" s="664" t="s">
        <v>2172</v>
      </c>
      <c r="W3" s="664" t="s">
        <v>2173</v>
      </c>
      <c r="X3" s="664" t="s">
        <v>2174</v>
      </c>
      <c r="Y3" s="664" t="s">
        <v>2175</v>
      </c>
      <c r="Z3" s="664" t="s">
        <v>2176</v>
      </c>
      <c r="AA3" s="664" t="s">
        <v>2177</v>
      </c>
      <c r="AB3" s="664" t="s">
        <v>2178</v>
      </c>
      <c r="AC3" s="664" t="s">
        <v>2179</v>
      </c>
    </row>
    <row r="4" spans="2:29" ht="15.75" thickBot="1">
      <c r="B4" s="298" t="s">
        <v>1425</v>
      </c>
      <c r="C4" s="299" t="s">
        <v>214</v>
      </c>
      <c r="D4" s="300">
        <f>1-'Datos de Entrada (On Grid)'!G29</f>
        <v>3.0000000000000027E-2</v>
      </c>
      <c r="Q4" s="666">
        <v>0</v>
      </c>
      <c r="R4" s="666">
        <v>1</v>
      </c>
      <c r="S4" s="666">
        <v>2</v>
      </c>
      <c r="T4" s="666">
        <v>3</v>
      </c>
      <c r="U4" s="666">
        <v>4</v>
      </c>
      <c r="V4" s="666">
        <v>5</v>
      </c>
      <c r="W4" s="666">
        <v>6</v>
      </c>
      <c r="X4" s="666">
        <v>7</v>
      </c>
      <c r="Y4" s="666">
        <v>8</v>
      </c>
      <c r="Z4" s="666">
        <v>9</v>
      </c>
      <c r="AA4" s="666">
        <v>10</v>
      </c>
      <c r="AB4" s="666">
        <v>11</v>
      </c>
      <c r="AC4" s="666">
        <v>12</v>
      </c>
    </row>
    <row r="5" spans="2:29">
      <c r="B5" s="298" t="s">
        <v>1426</v>
      </c>
      <c r="C5" s="299" t="s">
        <v>1427</v>
      </c>
      <c r="D5" s="301">
        <f>+D3/D2</f>
        <v>1251.4912193333332</v>
      </c>
    </row>
    <row r="6" spans="2:29" ht="15.75" thickBot="1">
      <c r="B6" s="34" t="s">
        <v>213</v>
      </c>
      <c r="C6" s="35" t="s">
        <v>214</v>
      </c>
      <c r="D6" s="201">
        <v>6.0000000000000001E-3</v>
      </c>
      <c r="P6" s="759" t="s">
        <v>2180</v>
      </c>
      <c r="Q6" s="760">
        <v>0</v>
      </c>
      <c r="R6" s="760">
        <v>0</v>
      </c>
      <c r="S6" s="760">
        <v>0</v>
      </c>
      <c r="T6" s="760">
        <v>0</v>
      </c>
      <c r="U6" s="760">
        <v>0</v>
      </c>
      <c r="V6" s="760">
        <f>+$D$40/8</f>
        <v>1392921.2488467614</v>
      </c>
      <c r="W6" s="760">
        <f>+V6*1.005</f>
        <v>1399885.8550909951</v>
      </c>
      <c r="X6" s="760">
        <f t="shared" ref="X6:AC6" si="0">+W6*1.005</f>
        <v>1406885.2843664498</v>
      </c>
      <c r="Y6" s="760">
        <f t="shared" si="0"/>
        <v>1413919.7107882819</v>
      </c>
      <c r="Z6" s="760">
        <f t="shared" si="0"/>
        <v>1420989.3093422232</v>
      </c>
      <c r="AA6" s="760">
        <f t="shared" si="0"/>
        <v>1428094.2558889342</v>
      </c>
      <c r="AB6" s="760">
        <f t="shared" si="0"/>
        <v>1435234.7271683787</v>
      </c>
      <c r="AC6" s="760">
        <f t="shared" si="0"/>
        <v>1442410.9008042205</v>
      </c>
    </row>
    <row r="7" spans="2:29">
      <c r="C7" s="37"/>
      <c r="D7" s="202"/>
      <c r="P7" s="759" t="s">
        <v>2181</v>
      </c>
      <c r="Q7" s="760">
        <v>0</v>
      </c>
      <c r="R7" s="760" t="e">
        <f>+IF($C$91="Somos EPM",$C$96/2,IF($C$91="Davivienda",$C$95*$C$93*0.5,0))</f>
        <v>#N/A</v>
      </c>
      <c r="S7" s="760" t="e">
        <f>+IF($C$91="Somos EPM",$C$96/2,IF($C$91="Davivienda",$C$95*$C$93*0.5,0))</f>
        <v>#N/A</v>
      </c>
      <c r="T7" s="760" t="e">
        <f>+IF($C$91="Somos EPM",$C$96/2,IF($C$91="Davivienda",$C$95*$C$93*0.5,0))</f>
        <v>#N/A</v>
      </c>
      <c r="U7" s="760" t="e">
        <f>+IF($C$91="Somos EPM",$C$96/2,IF($C$91="Davivienda",$C$95*$C$93*0.5,0))</f>
        <v>#N/A</v>
      </c>
      <c r="V7" s="760" t="e">
        <f>+IF($C$91="Somos EPM",$C$96,IF($C$91="Davivienda",$C$95*$C$93,0))</f>
        <v>#N/A</v>
      </c>
      <c r="W7" s="760" t="e">
        <f t="shared" ref="W7:AC7" si="1">+IF($C$91="Somos EPM",$C$96,IF($C$91="Davivienda",$C$95*$C$93,0))</f>
        <v>#N/A</v>
      </c>
      <c r="X7" s="760" t="e">
        <f t="shared" si="1"/>
        <v>#N/A</v>
      </c>
      <c r="Y7" s="760" t="e">
        <f t="shared" si="1"/>
        <v>#N/A</v>
      </c>
      <c r="Z7" s="760" t="e">
        <f t="shared" si="1"/>
        <v>#N/A</v>
      </c>
      <c r="AA7" s="760" t="e">
        <f t="shared" si="1"/>
        <v>#N/A</v>
      </c>
      <c r="AB7" s="760" t="e">
        <f t="shared" si="1"/>
        <v>#N/A</v>
      </c>
      <c r="AC7" s="760" t="e">
        <f t="shared" si="1"/>
        <v>#N/A</v>
      </c>
    </row>
    <row r="8" spans="2:29" ht="15.75" thickBot="1">
      <c r="C8" s="37"/>
      <c r="D8" s="198"/>
    </row>
    <row r="9" spans="2:29">
      <c r="B9" s="29" t="s">
        <v>215</v>
      </c>
      <c r="C9" s="30" t="s">
        <v>216</v>
      </c>
      <c r="D9" s="203" t="e">
        <f>+D10/D2</f>
        <v>#N/A</v>
      </c>
      <c r="P9" s="759" t="s">
        <v>2182</v>
      </c>
      <c r="Q9" s="761">
        <f>+Q6-Q7</f>
        <v>0</v>
      </c>
      <c r="R9" s="761" t="e">
        <f t="shared" ref="R9:AC9" si="2">+R6-R7</f>
        <v>#N/A</v>
      </c>
      <c r="S9" s="761" t="e">
        <f t="shared" si="2"/>
        <v>#N/A</v>
      </c>
      <c r="T9" s="761" t="e">
        <f t="shared" si="2"/>
        <v>#N/A</v>
      </c>
      <c r="U9" s="761" t="e">
        <f t="shared" si="2"/>
        <v>#N/A</v>
      </c>
      <c r="V9" s="761" t="e">
        <f t="shared" si="2"/>
        <v>#N/A</v>
      </c>
      <c r="W9" s="761" t="e">
        <f t="shared" si="2"/>
        <v>#N/A</v>
      </c>
      <c r="X9" s="761" t="e">
        <f t="shared" si="2"/>
        <v>#N/A</v>
      </c>
      <c r="Y9" s="761" t="e">
        <f t="shared" si="2"/>
        <v>#N/A</v>
      </c>
      <c r="Z9" s="761" t="e">
        <f t="shared" si="2"/>
        <v>#N/A</v>
      </c>
      <c r="AA9" s="761" t="e">
        <f t="shared" si="2"/>
        <v>#N/A</v>
      </c>
      <c r="AB9" s="761" t="e">
        <f t="shared" si="2"/>
        <v>#N/A</v>
      </c>
      <c r="AC9" s="761" t="e">
        <f t="shared" si="2"/>
        <v>#N/A</v>
      </c>
    </row>
    <row r="10" spans="2:29">
      <c r="B10" s="32" t="s">
        <v>217</v>
      </c>
      <c r="C10" s="33" t="s">
        <v>218</v>
      </c>
      <c r="D10" s="204" t="e">
        <f>+'Datos de Salida (On grid)'!I14</f>
        <v>#N/A</v>
      </c>
    </row>
    <row r="11" spans="2:29">
      <c r="B11" s="32" t="s">
        <v>219</v>
      </c>
      <c r="C11" s="33" t="s">
        <v>220</v>
      </c>
      <c r="D11" s="204" t="e">
        <f>1%*D10</f>
        <v>#N/A</v>
      </c>
    </row>
    <row r="12" spans="2:29">
      <c r="B12" s="220" t="s">
        <v>766</v>
      </c>
      <c r="C12" s="221" t="s">
        <v>218</v>
      </c>
      <c r="D12" s="219">
        <f>+'Calculos (On Grid)'!B45</f>
        <v>0</v>
      </c>
    </row>
    <row r="13" spans="2:29" ht="15.75" thickBot="1">
      <c r="B13" s="34" t="s">
        <v>221</v>
      </c>
      <c r="C13" s="35" t="s">
        <v>220</v>
      </c>
      <c r="D13" s="205" t="e">
        <f>0.005*D10</f>
        <v>#N/A</v>
      </c>
    </row>
    <row r="14" spans="2:29">
      <c r="C14" s="37"/>
      <c r="D14" s="206"/>
    </row>
    <row r="15" spans="2:29">
      <c r="C15" s="37"/>
      <c r="D15" s="206"/>
    </row>
    <row r="16" spans="2:29" ht="15.75" thickBot="1">
      <c r="C16" s="37"/>
      <c r="D16" s="198"/>
    </row>
    <row r="17" spans="2:4">
      <c r="B17" s="29" t="s">
        <v>222</v>
      </c>
      <c r="C17" s="30" t="s">
        <v>223</v>
      </c>
      <c r="D17" s="207">
        <f>+'Datos de Entrada (On Grid)'!D22</f>
        <v>1132.4880000000001</v>
      </c>
    </row>
    <row r="18" spans="2:4">
      <c r="B18" s="661" t="s">
        <v>2049</v>
      </c>
      <c r="C18" s="224" t="s">
        <v>223</v>
      </c>
      <c r="D18" s="662">
        <f>D17*0.9</f>
        <v>1019.2392000000001</v>
      </c>
    </row>
    <row r="19" spans="2:4">
      <c r="B19" s="772" t="s">
        <v>2417</v>
      </c>
      <c r="C19" s="224" t="s">
        <v>223</v>
      </c>
      <c r="D19" s="662">
        <f>D17*0.2</f>
        <v>226.49760000000003</v>
      </c>
    </row>
    <row r="20" spans="2:4">
      <c r="B20" s="772" t="s">
        <v>2418</v>
      </c>
      <c r="C20" s="773" t="s">
        <v>214</v>
      </c>
      <c r="D20" s="774">
        <f>+'Datos de Entrada (On Grid)'!D17</f>
        <v>0</v>
      </c>
    </row>
    <row r="21" spans="2:4" ht="15.75" thickBot="1">
      <c r="B21" s="34" t="s">
        <v>756</v>
      </c>
      <c r="C21" s="35" t="s">
        <v>214</v>
      </c>
      <c r="D21" s="208">
        <f>+'Datos de Entrada (On Grid)'!D16</f>
        <v>0.6</v>
      </c>
    </row>
    <row r="22" spans="2:4" ht="15.75" thickBot="1">
      <c r="C22" s="37"/>
      <c r="D22" s="198"/>
    </row>
    <row r="23" spans="2:4">
      <c r="B23" s="29" t="s">
        <v>224</v>
      </c>
      <c r="C23" s="30" t="s">
        <v>214</v>
      </c>
      <c r="D23" s="209">
        <f>+'Var. Financieras'!B9</f>
        <v>3.6999999999999998E-2</v>
      </c>
    </row>
    <row r="24" spans="2:4">
      <c r="B24" s="223" t="s">
        <v>767</v>
      </c>
      <c r="C24" s="224" t="s">
        <v>214</v>
      </c>
      <c r="D24" s="222">
        <f>+'Var. Financieras'!B10</f>
        <v>7.0000000000000007E-2</v>
      </c>
    </row>
    <row r="25" spans="2:4" ht="15.75" thickBot="1">
      <c r="B25" s="34" t="s">
        <v>225</v>
      </c>
      <c r="C25" s="35" t="s">
        <v>214</v>
      </c>
      <c r="D25" s="208">
        <f>+'Var. Financieras'!B9</f>
        <v>3.6999999999999998E-2</v>
      </c>
    </row>
    <row r="26" spans="2:4">
      <c r="C26" s="37"/>
      <c r="D26" s="40"/>
    </row>
    <row r="27" spans="2:4" hidden="1">
      <c r="C27" s="37"/>
      <c r="D27" s="40"/>
    </row>
    <row r="28" spans="2:4" hidden="1">
      <c r="B28" s="31"/>
      <c r="C28" s="37"/>
      <c r="D28" s="40"/>
    </row>
    <row r="29" spans="2:4" ht="15.75" hidden="1" thickBot="1">
      <c r="B29" s="36" t="s">
        <v>226</v>
      </c>
      <c r="C29" s="37" t="s">
        <v>220</v>
      </c>
      <c r="D29" s="41">
        <v>0</v>
      </c>
    </row>
    <row r="30" spans="2:4" hidden="1">
      <c r="B30" s="211" t="s">
        <v>759</v>
      </c>
      <c r="C30" s="212" t="s">
        <v>214</v>
      </c>
      <c r="D30" s="213">
        <v>0.12</v>
      </c>
    </row>
    <row r="31" spans="2:4" hidden="1">
      <c r="B31" s="214" t="s">
        <v>761</v>
      </c>
      <c r="C31" s="210" t="s">
        <v>762</v>
      </c>
      <c r="D31" s="215">
        <v>25</v>
      </c>
    </row>
    <row r="32" spans="2:4" ht="15.75" hidden="1" thickBot="1">
      <c r="B32" s="216" t="s">
        <v>760</v>
      </c>
      <c r="C32" s="217" t="s">
        <v>214</v>
      </c>
      <c r="D32" s="218">
        <f>+(D30*(1+D30)^D31)/(((1+D30)^D31)-1)</f>
        <v>0.12749996980950773</v>
      </c>
    </row>
    <row r="33" spans="1:28" ht="15.75" thickBot="1">
      <c r="C33" s="40"/>
    </row>
    <row r="34" spans="1:28">
      <c r="B34" s="663"/>
      <c r="C34" s="664" t="s">
        <v>227</v>
      </c>
      <c r="D34" s="664" t="s">
        <v>228</v>
      </c>
      <c r="E34" s="664" t="s">
        <v>229</v>
      </c>
      <c r="F34" s="664" t="s">
        <v>230</v>
      </c>
      <c r="G34" s="664" t="s">
        <v>231</v>
      </c>
      <c r="H34" s="664" t="s">
        <v>232</v>
      </c>
      <c r="I34" s="664" t="s">
        <v>233</v>
      </c>
      <c r="J34" s="664" t="s">
        <v>234</v>
      </c>
      <c r="K34" s="664" t="s">
        <v>235</v>
      </c>
      <c r="L34" s="664" t="s">
        <v>236</v>
      </c>
      <c r="M34" s="664" t="s">
        <v>237</v>
      </c>
      <c r="N34" s="664" t="s">
        <v>238</v>
      </c>
      <c r="O34" s="664" t="s">
        <v>239</v>
      </c>
      <c r="P34" s="664" t="s">
        <v>240</v>
      </c>
      <c r="Q34" s="664" t="s">
        <v>241</v>
      </c>
      <c r="R34" s="664" t="s">
        <v>242</v>
      </c>
      <c r="S34" s="664" t="s">
        <v>243</v>
      </c>
      <c r="T34" s="664" t="s">
        <v>244</v>
      </c>
      <c r="U34" s="664" t="s">
        <v>245</v>
      </c>
      <c r="V34" s="664" t="s">
        <v>246</v>
      </c>
      <c r="W34" s="664" t="s">
        <v>247</v>
      </c>
      <c r="X34" s="664" t="s">
        <v>248</v>
      </c>
      <c r="Y34" s="664" t="s">
        <v>249</v>
      </c>
      <c r="Z34" s="664" t="s">
        <v>250</v>
      </c>
      <c r="AA34" s="664" t="s">
        <v>251</v>
      </c>
      <c r="AB34" s="694" t="s">
        <v>252</v>
      </c>
    </row>
    <row r="35" spans="1:28" s="37" customFormat="1" ht="15.75" thickBot="1">
      <c r="B35" s="665"/>
      <c r="C35" s="666">
        <v>0</v>
      </c>
      <c r="D35" s="666">
        <v>1</v>
      </c>
      <c r="E35" s="666">
        <v>2</v>
      </c>
      <c r="F35" s="666">
        <v>3</v>
      </c>
      <c r="G35" s="666">
        <v>4</v>
      </c>
      <c r="H35" s="666">
        <v>5</v>
      </c>
      <c r="I35" s="666">
        <v>6</v>
      </c>
      <c r="J35" s="666">
        <v>7</v>
      </c>
      <c r="K35" s="666">
        <v>8</v>
      </c>
      <c r="L35" s="666">
        <v>9</v>
      </c>
      <c r="M35" s="666">
        <v>10</v>
      </c>
      <c r="N35" s="666">
        <v>11</v>
      </c>
      <c r="O35" s="666">
        <v>12</v>
      </c>
      <c r="P35" s="666">
        <v>13</v>
      </c>
      <c r="Q35" s="666">
        <v>14</v>
      </c>
      <c r="R35" s="666">
        <v>15</v>
      </c>
      <c r="S35" s="666">
        <v>16</v>
      </c>
      <c r="T35" s="666">
        <v>17</v>
      </c>
      <c r="U35" s="666">
        <v>18</v>
      </c>
      <c r="V35" s="666">
        <v>19</v>
      </c>
      <c r="W35" s="666">
        <v>20</v>
      </c>
      <c r="X35" s="666">
        <v>21</v>
      </c>
      <c r="Y35" s="666">
        <v>22</v>
      </c>
      <c r="Z35" s="666">
        <v>23</v>
      </c>
      <c r="AA35" s="666">
        <v>24</v>
      </c>
      <c r="AB35" s="695">
        <v>25</v>
      </c>
    </row>
    <row r="36" spans="1:28">
      <c r="A36" s="37" t="s">
        <v>253</v>
      </c>
      <c r="B36" s="667" t="s">
        <v>254</v>
      </c>
      <c r="C36" s="42" t="e">
        <f>-D10</f>
        <v>#N/A</v>
      </c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4"/>
    </row>
    <row r="37" spans="1:28">
      <c r="A37" s="37" t="s">
        <v>253</v>
      </c>
      <c r="B37" s="667" t="s">
        <v>2050</v>
      </c>
      <c r="C37" s="42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4"/>
    </row>
    <row r="38" spans="1:28">
      <c r="A38" s="37"/>
      <c r="B38" s="668" t="s">
        <v>255</v>
      </c>
      <c r="C38" s="45"/>
      <c r="D38" s="46">
        <f>D3</f>
        <v>10249.713086339998</v>
      </c>
      <c r="E38" s="46">
        <f t="shared" ref="E38:AB38" si="3">D38-D38*$D$6</f>
        <v>10188.214807821958</v>
      </c>
      <c r="F38" s="46">
        <f t="shared" si="3"/>
        <v>10127.085518975025</v>
      </c>
      <c r="G38" s="46">
        <f t="shared" si="3"/>
        <v>10066.323005861175</v>
      </c>
      <c r="H38" s="46">
        <f t="shared" si="3"/>
        <v>10005.925067826009</v>
      </c>
      <c r="I38" s="46">
        <f t="shared" si="3"/>
        <v>9945.8895174190529</v>
      </c>
      <c r="J38" s="46">
        <f t="shared" si="3"/>
        <v>9886.2141803145387</v>
      </c>
      <c r="K38" s="46">
        <f t="shared" si="3"/>
        <v>9826.8968952326522</v>
      </c>
      <c r="L38" s="46">
        <f t="shared" si="3"/>
        <v>9767.9355138612555</v>
      </c>
      <c r="M38" s="46">
        <f t="shared" si="3"/>
        <v>9709.3279007780875</v>
      </c>
      <c r="N38" s="46">
        <f t="shared" si="3"/>
        <v>9651.0719333734196</v>
      </c>
      <c r="O38" s="46">
        <f t="shared" si="3"/>
        <v>9593.1655017731791</v>
      </c>
      <c r="P38" s="46">
        <f t="shared" si="3"/>
        <v>9535.6065087625393</v>
      </c>
      <c r="Q38" s="46">
        <f t="shared" si="3"/>
        <v>9478.3928697099636</v>
      </c>
      <c r="R38" s="46">
        <f t="shared" si="3"/>
        <v>9421.5225124917033</v>
      </c>
      <c r="S38" s="46">
        <f t="shared" si="3"/>
        <v>9364.993377416753</v>
      </c>
      <c r="T38" s="46">
        <f t="shared" si="3"/>
        <v>9308.8034171522522</v>
      </c>
      <c r="U38" s="46">
        <f t="shared" si="3"/>
        <v>9252.950596649338</v>
      </c>
      <c r="V38" s="46">
        <f t="shared" si="3"/>
        <v>9197.4328930694428</v>
      </c>
      <c r="W38" s="46">
        <f t="shared" si="3"/>
        <v>9142.248295711026</v>
      </c>
      <c r="X38" s="46">
        <f t="shared" si="3"/>
        <v>9087.3948059367594</v>
      </c>
      <c r="Y38" s="46">
        <f t="shared" si="3"/>
        <v>9032.870437101139</v>
      </c>
      <c r="Z38" s="46">
        <f t="shared" si="3"/>
        <v>8978.6732144785328</v>
      </c>
      <c r="AA38" s="46">
        <f t="shared" si="3"/>
        <v>8924.801175191662</v>
      </c>
      <c r="AB38" s="38">
        <f t="shared" si="3"/>
        <v>8871.2523681405128</v>
      </c>
    </row>
    <row r="39" spans="1:28">
      <c r="A39" s="37"/>
      <c r="B39" s="668" t="s">
        <v>1428</v>
      </c>
      <c r="C39" s="45"/>
      <c r="D39" s="197">
        <f>D17*(D21)*(1/(1+IF(D20&lt;0,0,D20)))+D18*(1-D21)*(1/(1+IF(D20&lt;0,0,D20)))+IF(D20&lt;0,0,D20*D19*(1/(1+D20)))</f>
        <v>1087.18848</v>
      </c>
      <c r="E39" s="47">
        <f>D39+D39*$D$24</f>
        <v>1163.2916736</v>
      </c>
      <c r="F39" s="47">
        <f t="shared" ref="F39:AB39" si="4">E39+E39*$D$24</f>
        <v>1244.722090752</v>
      </c>
      <c r="G39" s="47">
        <f t="shared" si="4"/>
        <v>1331.8526371046401</v>
      </c>
      <c r="H39" s="47">
        <f t="shared" si="4"/>
        <v>1425.0823217019649</v>
      </c>
      <c r="I39" s="47">
        <f t="shared" si="4"/>
        <v>1524.8380842211025</v>
      </c>
      <c r="J39" s="47">
        <f t="shared" si="4"/>
        <v>1631.5767501165797</v>
      </c>
      <c r="K39" s="47">
        <f t="shared" si="4"/>
        <v>1745.7871226247403</v>
      </c>
      <c r="L39" s="47">
        <f t="shared" si="4"/>
        <v>1867.9922212084721</v>
      </c>
      <c r="M39" s="47">
        <f t="shared" si="4"/>
        <v>1998.7516766930651</v>
      </c>
      <c r="N39" s="47">
        <f t="shared" si="4"/>
        <v>2138.6642940615798</v>
      </c>
      <c r="O39" s="47">
        <f t="shared" si="4"/>
        <v>2288.3707946458903</v>
      </c>
      <c r="P39" s="47">
        <f t="shared" si="4"/>
        <v>2448.5567502711028</v>
      </c>
      <c r="Q39" s="47">
        <f t="shared" si="4"/>
        <v>2619.95572279008</v>
      </c>
      <c r="R39" s="47">
        <f t="shared" si="4"/>
        <v>2803.3526233853854</v>
      </c>
      <c r="S39" s="47">
        <f t="shared" si="4"/>
        <v>2999.5873070223624</v>
      </c>
      <c r="T39" s="47">
        <f t="shared" si="4"/>
        <v>3209.5584185139278</v>
      </c>
      <c r="U39" s="47">
        <f t="shared" si="4"/>
        <v>3434.2275078099028</v>
      </c>
      <c r="V39" s="47">
        <f t="shared" si="4"/>
        <v>3674.6234333565963</v>
      </c>
      <c r="W39" s="47">
        <f t="shared" si="4"/>
        <v>3931.8470736915579</v>
      </c>
      <c r="X39" s="47">
        <f t="shared" si="4"/>
        <v>4207.0763688499665</v>
      </c>
      <c r="Y39" s="47">
        <f t="shared" si="4"/>
        <v>4501.5717146694642</v>
      </c>
      <c r="Z39" s="47">
        <f t="shared" si="4"/>
        <v>4816.6817346963271</v>
      </c>
      <c r="AA39" s="47">
        <f t="shared" si="4"/>
        <v>5153.84945612507</v>
      </c>
      <c r="AB39" s="669">
        <f t="shared" si="4"/>
        <v>5514.6189180538249</v>
      </c>
    </row>
    <row r="40" spans="1:28">
      <c r="A40" s="37" t="s">
        <v>256</v>
      </c>
      <c r="B40" s="670" t="s">
        <v>257</v>
      </c>
      <c r="C40" s="45"/>
      <c r="D40" s="46">
        <f>IF('Datos de Entrada (On Grid)'!G15="Si",D38*D39*8/12,D38*D39)</f>
        <v>11143369.990774091</v>
      </c>
      <c r="E40" s="48">
        <f>E38*E39</f>
        <v>11851865.454787508</v>
      </c>
      <c r="F40" s="46">
        <f>F38*F39</f>
        <v>12605407.060402896</v>
      </c>
      <c r="G40" s="46">
        <f t="shared" ref="G40:AB40" si="5">G38*G39</f>
        <v>13406858.841303313</v>
      </c>
      <c r="H40" s="46">
        <f t="shared" si="5"/>
        <v>14259266.926433379</v>
      </c>
      <c r="I40" s="46">
        <f t="shared" si="5"/>
        <v>15165871.117616015</v>
      </c>
      <c r="J40" s="46">
        <f t="shared" si="5"/>
        <v>16130117.203274041</v>
      </c>
      <c r="K40" s="46">
        <f t="shared" si="5"/>
        <v>17155670.055058207</v>
      </c>
      <c r="L40" s="46">
        <f t="shared" si="5"/>
        <v>18246427.557158805</v>
      </c>
      <c r="M40" s="46">
        <f t="shared" si="5"/>
        <v>19406535.42124296</v>
      </c>
      <c r="N40" s="46">
        <f t="shared" si="5"/>
        <v>20640402.94332559</v>
      </c>
      <c r="O40" s="46">
        <f t="shared" si="5"/>
        <v>21952719.762462232</v>
      </c>
      <c r="P40" s="46">
        <f t="shared" si="5"/>
        <v>23348473.684959579</v>
      </c>
      <c r="Q40" s="46">
        <f t="shared" si="5"/>
        <v>24832969.641849309</v>
      </c>
      <c r="R40" s="46">
        <f t="shared" si="5"/>
        <v>26411849.851678085</v>
      </c>
      <c r="S40" s="46">
        <f t="shared" si="5"/>
        <v>28091115.265247777</v>
      </c>
      <c r="T40" s="46">
        <f t="shared" si="5"/>
        <v>29877148.373812228</v>
      </c>
      <c r="U40" s="46">
        <f t="shared" si="5"/>
        <v>31776737.467419211</v>
      </c>
      <c r="V40" s="46">
        <f t="shared" si="5"/>
        <v>33797102.435597725</v>
      </c>
      <c r="W40" s="46">
        <f t="shared" si="5"/>
        <v>35945922.208453029</v>
      </c>
      <c r="X40" s="46">
        <f t="shared" si="5"/>
        <v>38231363.942466468</v>
      </c>
      <c r="Y40" s="46">
        <f t="shared" si="5"/>
        <v>40662114.061928488</v>
      </c>
      <c r="Z40" s="46">
        <f t="shared" si="5"/>
        <v>43247411.273985907</v>
      </c>
      <c r="AA40" s="46">
        <f t="shared" si="5"/>
        <v>45997081.682785936</v>
      </c>
      <c r="AB40" s="38">
        <f t="shared" si="5"/>
        <v>48921576.136177465</v>
      </c>
    </row>
    <row r="41" spans="1:28" ht="17.25" customHeight="1">
      <c r="A41" s="37"/>
      <c r="B41" s="671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9"/>
    </row>
    <row r="42" spans="1:28">
      <c r="A42" s="37" t="s">
        <v>253</v>
      </c>
      <c r="B42" s="670" t="s">
        <v>258</v>
      </c>
      <c r="C42" s="45"/>
      <c r="D42" s="46">
        <v>0</v>
      </c>
      <c r="E42" s="46" t="e">
        <f>-D10*0.01</f>
        <v>#N/A</v>
      </c>
      <c r="F42" s="46" t="e">
        <f t="shared" ref="F42:U42" si="6">E42+E42*$D$23</f>
        <v>#N/A</v>
      </c>
      <c r="G42" s="46" t="e">
        <f t="shared" si="6"/>
        <v>#N/A</v>
      </c>
      <c r="H42" s="46" t="e">
        <f t="shared" si="6"/>
        <v>#N/A</v>
      </c>
      <c r="I42" s="46" t="e">
        <f t="shared" si="6"/>
        <v>#N/A</v>
      </c>
      <c r="J42" s="46" t="e">
        <f t="shared" si="6"/>
        <v>#N/A</v>
      </c>
      <c r="K42" s="46" t="e">
        <f t="shared" si="6"/>
        <v>#N/A</v>
      </c>
      <c r="L42" s="46" t="e">
        <f t="shared" si="6"/>
        <v>#N/A</v>
      </c>
      <c r="M42" s="46" t="e">
        <f t="shared" si="6"/>
        <v>#N/A</v>
      </c>
      <c r="N42" s="46" t="e">
        <f t="shared" si="6"/>
        <v>#N/A</v>
      </c>
      <c r="O42" s="46" t="e">
        <f t="shared" si="6"/>
        <v>#N/A</v>
      </c>
      <c r="P42" s="46" t="e">
        <f t="shared" si="6"/>
        <v>#N/A</v>
      </c>
      <c r="Q42" s="46" t="e">
        <f t="shared" si="6"/>
        <v>#N/A</v>
      </c>
      <c r="R42" s="46" t="e">
        <f t="shared" si="6"/>
        <v>#N/A</v>
      </c>
      <c r="S42" s="46" t="e">
        <f t="shared" si="6"/>
        <v>#N/A</v>
      </c>
      <c r="T42" s="46" t="e">
        <f t="shared" si="6"/>
        <v>#N/A</v>
      </c>
      <c r="U42" s="46" t="e">
        <f t="shared" si="6"/>
        <v>#N/A</v>
      </c>
      <c r="V42" s="46" t="e">
        <f t="shared" ref="U42:AB43" si="7">U42+U42*$D$23</f>
        <v>#N/A</v>
      </c>
      <c r="W42" s="46" t="e">
        <f t="shared" si="7"/>
        <v>#N/A</v>
      </c>
      <c r="X42" s="46" t="e">
        <f t="shared" si="7"/>
        <v>#N/A</v>
      </c>
      <c r="Y42" s="46" t="e">
        <f t="shared" si="7"/>
        <v>#N/A</v>
      </c>
      <c r="Z42" s="46" t="e">
        <f t="shared" si="7"/>
        <v>#N/A</v>
      </c>
      <c r="AA42" s="46" t="e">
        <f t="shared" si="7"/>
        <v>#N/A</v>
      </c>
      <c r="AB42" s="38" t="e">
        <f t="shared" si="7"/>
        <v>#N/A</v>
      </c>
    </row>
    <row r="43" spans="1:28" hidden="1">
      <c r="A43" s="37" t="s">
        <v>253</v>
      </c>
      <c r="B43" s="672" t="s">
        <v>221</v>
      </c>
      <c r="C43" s="45"/>
      <c r="D43" s="50" t="e">
        <f>-D13</f>
        <v>#N/A</v>
      </c>
      <c r="E43" s="50" t="e">
        <f t="shared" ref="E43:T43" si="8">D43+D43*$D$23</f>
        <v>#N/A</v>
      </c>
      <c r="F43" s="50" t="e">
        <f t="shared" si="8"/>
        <v>#N/A</v>
      </c>
      <c r="G43" s="50" t="e">
        <f t="shared" si="8"/>
        <v>#N/A</v>
      </c>
      <c r="H43" s="50" t="e">
        <f t="shared" si="8"/>
        <v>#N/A</v>
      </c>
      <c r="I43" s="50" t="e">
        <f t="shared" si="8"/>
        <v>#N/A</v>
      </c>
      <c r="J43" s="50" t="e">
        <f t="shared" si="8"/>
        <v>#N/A</v>
      </c>
      <c r="K43" s="50" t="e">
        <f t="shared" si="8"/>
        <v>#N/A</v>
      </c>
      <c r="L43" s="50" t="e">
        <f t="shared" si="8"/>
        <v>#N/A</v>
      </c>
      <c r="M43" s="50" t="e">
        <f t="shared" si="8"/>
        <v>#N/A</v>
      </c>
      <c r="N43" s="50" t="e">
        <f t="shared" si="8"/>
        <v>#N/A</v>
      </c>
      <c r="O43" s="50" t="e">
        <f t="shared" si="8"/>
        <v>#N/A</v>
      </c>
      <c r="P43" s="50" t="e">
        <f t="shared" si="8"/>
        <v>#N/A</v>
      </c>
      <c r="Q43" s="50" t="e">
        <f t="shared" si="8"/>
        <v>#N/A</v>
      </c>
      <c r="R43" s="50" t="e">
        <f t="shared" si="8"/>
        <v>#N/A</v>
      </c>
      <c r="S43" s="50" t="e">
        <f t="shared" si="8"/>
        <v>#N/A</v>
      </c>
      <c r="T43" s="50" t="e">
        <f t="shared" si="8"/>
        <v>#N/A</v>
      </c>
      <c r="U43" s="50" t="e">
        <f t="shared" si="7"/>
        <v>#N/A</v>
      </c>
      <c r="V43" s="50" t="e">
        <f t="shared" si="7"/>
        <v>#N/A</v>
      </c>
      <c r="W43" s="50" t="e">
        <f t="shared" si="7"/>
        <v>#N/A</v>
      </c>
      <c r="X43" s="50" t="e">
        <f t="shared" si="7"/>
        <v>#N/A</v>
      </c>
      <c r="Y43" s="50" t="e">
        <f t="shared" si="7"/>
        <v>#N/A</v>
      </c>
      <c r="Z43" s="50" t="e">
        <f t="shared" si="7"/>
        <v>#N/A</v>
      </c>
      <c r="AA43" s="50" t="e">
        <f t="shared" si="7"/>
        <v>#N/A</v>
      </c>
      <c r="AB43" s="39" t="e">
        <f t="shared" si="7"/>
        <v>#N/A</v>
      </c>
    </row>
    <row r="44" spans="1:28" ht="14.25" customHeight="1">
      <c r="A44" s="37" t="s">
        <v>253</v>
      </c>
      <c r="B44" s="672" t="s">
        <v>259</v>
      </c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50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9"/>
    </row>
    <row r="45" spans="1:28">
      <c r="A45" s="37"/>
      <c r="B45" s="671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50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9"/>
    </row>
    <row r="46" spans="1:28">
      <c r="A46" s="37" t="s">
        <v>256</v>
      </c>
      <c r="B46" s="670" t="s">
        <v>2051</v>
      </c>
      <c r="C46" s="45"/>
      <c r="D46" s="50">
        <f>+SUM(D47:D49)</f>
        <v>0</v>
      </c>
      <c r="E46" s="50" t="e">
        <f t="shared" ref="E46:AB46" si="9">+SUM(E47:E49)</f>
        <v>#N/A</v>
      </c>
      <c r="F46" s="50" t="e">
        <f t="shared" si="9"/>
        <v>#N/A</v>
      </c>
      <c r="G46" s="50" t="e">
        <f t="shared" si="9"/>
        <v>#N/A</v>
      </c>
      <c r="H46" s="50" t="e">
        <f t="shared" si="9"/>
        <v>#N/A</v>
      </c>
      <c r="I46" s="50" t="e">
        <f t="shared" si="9"/>
        <v>#N/A</v>
      </c>
      <c r="J46" s="50">
        <f t="shared" si="9"/>
        <v>0</v>
      </c>
      <c r="K46" s="50">
        <f t="shared" si="9"/>
        <v>0</v>
      </c>
      <c r="L46" s="50">
        <f t="shared" si="9"/>
        <v>0</v>
      </c>
      <c r="M46" s="50">
        <f t="shared" si="9"/>
        <v>0</v>
      </c>
      <c r="N46" s="50">
        <f t="shared" si="9"/>
        <v>0</v>
      </c>
      <c r="O46" s="50">
        <f t="shared" si="9"/>
        <v>0</v>
      </c>
      <c r="P46" s="50">
        <f t="shared" si="9"/>
        <v>0</v>
      </c>
      <c r="Q46" s="50">
        <f t="shared" si="9"/>
        <v>0</v>
      </c>
      <c r="R46" s="50">
        <f t="shared" si="9"/>
        <v>0</v>
      </c>
      <c r="S46" s="50">
        <f t="shared" si="9"/>
        <v>0</v>
      </c>
      <c r="T46" s="50">
        <f t="shared" si="9"/>
        <v>0</v>
      </c>
      <c r="U46" s="50">
        <f t="shared" si="9"/>
        <v>0</v>
      </c>
      <c r="V46" s="50">
        <f t="shared" si="9"/>
        <v>0</v>
      </c>
      <c r="W46" s="50">
        <f t="shared" si="9"/>
        <v>0</v>
      </c>
      <c r="X46" s="50">
        <f t="shared" si="9"/>
        <v>0</v>
      </c>
      <c r="Y46" s="50">
        <f t="shared" si="9"/>
        <v>0</v>
      </c>
      <c r="Z46" s="50">
        <f t="shared" si="9"/>
        <v>0</v>
      </c>
      <c r="AA46" s="50">
        <f t="shared" si="9"/>
        <v>0</v>
      </c>
      <c r="AB46" s="50">
        <f t="shared" si="9"/>
        <v>0</v>
      </c>
    </row>
    <row r="47" spans="1:28" outlineLevel="1">
      <c r="A47" s="673" t="s">
        <v>256</v>
      </c>
      <c r="B47" s="670" t="s">
        <v>757</v>
      </c>
      <c r="C47" s="45"/>
      <c r="D47" s="50"/>
      <c r="E47" s="50" t="e">
        <f>IF($C$65="Si",$D$10*0.5*0.35,0)/5</f>
        <v>#N/A</v>
      </c>
      <c r="F47" s="50" t="e">
        <f>IF($C$65="Si",$D$10*0.5*0.35,0)/5</f>
        <v>#N/A</v>
      </c>
      <c r="G47" s="50" t="e">
        <f>IF($C$65="Si",$D$10*0.5*0.35,0)/5</f>
        <v>#N/A</v>
      </c>
      <c r="H47" s="50" t="e">
        <f>IF($C$65="Si",$D$10*0.5*0.35,0)/5</f>
        <v>#N/A</v>
      </c>
      <c r="I47" s="50" t="e">
        <f>IF($C$65="Si",$D$10*0.5*0.35,0)/5</f>
        <v>#N/A</v>
      </c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</row>
    <row r="48" spans="1:28" outlineLevel="1">
      <c r="A48" s="673" t="s">
        <v>256</v>
      </c>
      <c r="B48" s="670" t="s">
        <v>758</v>
      </c>
      <c r="C48" s="45"/>
      <c r="D48" s="50">
        <f>IF($C$65="Si",$D$12*0.2*0.35,0)</f>
        <v>0</v>
      </c>
      <c r="E48" s="50">
        <f>IF($C$65="Si",$D$12*0.2*0.35,0)</f>
        <v>0</v>
      </c>
      <c r="F48" s="50">
        <f>IF($C$65="Si",$D$12*0.2*0.35,0)</f>
        <v>0</v>
      </c>
      <c r="G48" s="50">
        <f>IF($C$65="Si",$D$12*0.2*0.35,0)</f>
        <v>0</v>
      </c>
      <c r="H48" s="50">
        <f>IF($C$65="Si",$D$12*0.2*0.35,0)</f>
        <v>0</v>
      </c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39"/>
    </row>
    <row r="49" spans="1:28" outlineLevel="1">
      <c r="A49" s="673" t="s">
        <v>256</v>
      </c>
      <c r="B49" s="670" t="s">
        <v>2052</v>
      </c>
      <c r="C49" s="45"/>
      <c r="D49" s="50">
        <f>IF($C$64="Si",IF(D35&lt;=($C$92/12),D53*0.35,0),0)</f>
        <v>0</v>
      </c>
      <c r="E49" s="50">
        <f t="shared" ref="E49:AB49" si="10">IF($C$64="Si",IF(E35&lt;=($C$92/12),E53*0.35,0),0)</f>
        <v>0</v>
      </c>
      <c r="F49" s="50">
        <f t="shared" si="10"/>
        <v>0</v>
      </c>
      <c r="G49" s="50">
        <f t="shared" si="10"/>
        <v>0</v>
      </c>
      <c r="H49" s="50">
        <f t="shared" si="10"/>
        <v>0</v>
      </c>
      <c r="I49" s="50">
        <f t="shared" si="10"/>
        <v>0</v>
      </c>
      <c r="J49" s="50">
        <f t="shared" si="10"/>
        <v>0</v>
      </c>
      <c r="K49" s="50">
        <f t="shared" si="10"/>
        <v>0</v>
      </c>
      <c r="L49" s="50">
        <f t="shared" si="10"/>
        <v>0</v>
      </c>
      <c r="M49" s="50">
        <f t="shared" si="10"/>
        <v>0</v>
      </c>
      <c r="N49" s="50">
        <f t="shared" si="10"/>
        <v>0</v>
      </c>
      <c r="O49" s="50">
        <f t="shared" si="10"/>
        <v>0</v>
      </c>
      <c r="P49" s="50">
        <f t="shared" si="10"/>
        <v>0</v>
      </c>
      <c r="Q49" s="50">
        <f t="shared" si="10"/>
        <v>0</v>
      </c>
      <c r="R49" s="50">
        <f t="shared" si="10"/>
        <v>0</v>
      </c>
      <c r="S49" s="50">
        <f t="shared" si="10"/>
        <v>0</v>
      </c>
      <c r="T49" s="50">
        <f t="shared" si="10"/>
        <v>0</v>
      </c>
      <c r="U49" s="50">
        <f t="shared" si="10"/>
        <v>0</v>
      </c>
      <c r="V49" s="50">
        <f t="shared" si="10"/>
        <v>0</v>
      </c>
      <c r="W49" s="50">
        <f t="shared" si="10"/>
        <v>0</v>
      </c>
      <c r="X49" s="50">
        <f t="shared" si="10"/>
        <v>0</v>
      </c>
      <c r="Y49" s="50">
        <f t="shared" si="10"/>
        <v>0</v>
      </c>
      <c r="Z49" s="50">
        <f t="shared" si="10"/>
        <v>0</v>
      </c>
      <c r="AA49" s="50">
        <f t="shared" si="10"/>
        <v>0</v>
      </c>
      <c r="AB49" s="50">
        <f t="shared" si="10"/>
        <v>0</v>
      </c>
    </row>
    <row r="50" spans="1:28">
      <c r="A50" s="37"/>
      <c r="B50" s="671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9"/>
    </row>
    <row r="51" spans="1:28">
      <c r="A51" s="37" t="s">
        <v>253</v>
      </c>
      <c r="B51" s="670" t="s">
        <v>1674</v>
      </c>
      <c r="C51" s="46">
        <f>IF(C64="Si",-C36-C37,0)</f>
        <v>0</v>
      </c>
      <c r="D51" s="50">
        <f>+IF(C64="Si",-C98,0)</f>
        <v>0</v>
      </c>
      <c r="E51" s="50">
        <f>+IF($C$64="Si",-$C$97,0)</f>
        <v>0</v>
      </c>
      <c r="F51" s="50">
        <f t="shared" ref="F51:L51" si="11">+IF($C$64="Si",-$C$97,0)</f>
        <v>0</v>
      </c>
      <c r="G51" s="50">
        <f t="shared" si="11"/>
        <v>0</v>
      </c>
      <c r="H51" s="50">
        <f t="shared" si="11"/>
        <v>0</v>
      </c>
      <c r="I51" s="50">
        <f t="shared" si="11"/>
        <v>0</v>
      </c>
      <c r="J51" s="50">
        <f t="shared" si="11"/>
        <v>0</v>
      </c>
      <c r="K51" s="50">
        <f t="shared" si="11"/>
        <v>0</v>
      </c>
      <c r="L51" s="50">
        <f t="shared" si="11"/>
        <v>0</v>
      </c>
      <c r="M51" s="50">
        <f>IF($C$64="Si",IF(M35-1&lt;=($C$92/12),-$C$97,0),0)</f>
        <v>0</v>
      </c>
      <c r="N51" s="50">
        <f t="shared" ref="N51:AB51" si="12">IF($C$64="Si",IF(N35&lt;=($C$92/12),$C$97,0),0)</f>
        <v>0</v>
      </c>
      <c r="O51" s="50">
        <f t="shared" si="12"/>
        <v>0</v>
      </c>
      <c r="P51" s="50">
        <f t="shared" si="12"/>
        <v>0</v>
      </c>
      <c r="Q51" s="50">
        <f t="shared" si="12"/>
        <v>0</v>
      </c>
      <c r="R51" s="50">
        <f t="shared" si="12"/>
        <v>0</v>
      </c>
      <c r="S51" s="50">
        <f t="shared" si="12"/>
        <v>0</v>
      </c>
      <c r="T51" s="50">
        <f t="shared" si="12"/>
        <v>0</v>
      </c>
      <c r="U51" s="50">
        <f t="shared" si="12"/>
        <v>0</v>
      </c>
      <c r="V51" s="50">
        <f t="shared" si="12"/>
        <v>0</v>
      </c>
      <c r="W51" s="50">
        <f t="shared" si="12"/>
        <v>0</v>
      </c>
      <c r="X51" s="50">
        <f t="shared" si="12"/>
        <v>0</v>
      </c>
      <c r="Y51" s="50">
        <f t="shared" si="12"/>
        <v>0</v>
      </c>
      <c r="Z51" s="50">
        <f t="shared" si="12"/>
        <v>0</v>
      </c>
      <c r="AA51" s="50">
        <f t="shared" si="12"/>
        <v>0</v>
      </c>
      <c r="AB51" s="50">
        <f t="shared" si="12"/>
        <v>0</v>
      </c>
    </row>
    <row r="52" spans="1:28" outlineLevel="1">
      <c r="A52" s="37"/>
      <c r="B52" s="674" t="s">
        <v>2053</v>
      </c>
      <c r="C52" s="675"/>
      <c r="D52" s="676"/>
      <c r="E52" s="676">
        <f>-$E$51-E53</f>
        <v>0</v>
      </c>
      <c r="F52" s="676">
        <f t="shared" ref="F52:M52" si="13">-$E$51-F53</f>
        <v>0</v>
      </c>
      <c r="G52" s="676">
        <f t="shared" si="13"/>
        <v>0</v>
      </c>
      <c r="H52" s="676">
        <f t="shared" si="13"/>
        <v>0</v>
      </c>
      <c r="I52" s="676">
        <f t="shared" si="13"/>
        <v>0</v>
      </c>
      <c r="J52" s="676">
        <f t="shared" si="13"/>
        <v>0</v>
      </c>
      <c r="K52" s="676">
        <f t="shared" si="13"/>
        <v>0</v>
      </c>
      <c r="L52" s="676">
        <f t="shared" si="13"/>
        <v>0</v>
      </c>
      <c r="M52" s="676">
        <f t="shared" si="13"/>
        <v>0</v>
      </c>
      <c r="N52" s="676"/>
      <c r="O52" s="676"/>
      <c r="P52" s="676"/>
      <c r="Q52" s="676"/>
      <c r="R52" s="676"/>
      <c r="S52" s="676"/>
      <c r="T52" s="676"/>
      <c r="U52" s="676"/>
      <c r="V52" s="676"/>
      <c r="W52" s="676"/>
      <c r="X52" s="676"/>
      <c r="Y52" s="676"/>
      <c r="Z52" s="676"/>
      <c r="AA52" s="676"/>
      <c r="AB52" s="677"/>
    </row>
    <row r="53" spans="1:28" outlineLevel="1">
      <c r="A53" s="37"/>
      <c r="B53" s="674" t="s">
        <v>2054</v>
      </c>
      <c r="C53" s="675"/>
      <c r="D53" s="676">
        <f>+C51*$C$94</f>
        <v>0</v>
      </c>
      <c r="E53" s="676">
        <f t="shared" ref="E53:M53" si="14">D54*$C$94</f>
        <v>0</v>
      </c>
      <c r="F53" s="676">
        <f t="shared" si="14"/>
        <v>0</v>
      </c>
      <c r="G53" s="676">
        <f t="shared" si="14"/>
        <v>0</v>
      </c>
      <c r="H53" s="676">
        <f t="shared" si="14"/>
        <v>0</v>
      </c>
      <c r="I53" s="676">
        <f t="shared" si="14"/>
        <v>0</v>
      </c>
      <c r="J53" s="676">
        <f t="shared" si="14"/>
        <v>0</v>
      </c>
      <c r="K53" s="676">
        <f t="shared" si="14"/>
        <v>0</v>
      </c>
      <c r="L53" s="676">
        <f t="shared" si="14"/>
        <v>0</v>
      </c>
      <c r="M53" s="676">
        <f t="shared" si="14"/>
        <v>0</v>
      </c>
      <c r="N53" s="676"/>
      <c r="O53" s="676"/>
      <c r="P53" s="676"/>
      <c r="Q53" s="676"/>
      <c r="R53" s="676"/>
      <c r="S53" s="676"/>
      <c r="T53" s="676"/>
      <c r="U53" s="676"/>
      <c r="V53" s="676"/>
      <c r="W53" s="676"/>
      <c r="X53" s="676"/>
      <c r="Y53" s="676"/>
      <c r="Z53" s="676"/>
      <c r="AA53" s="676"/>
      <c r="AB53" s="677"/>
    </row>
    <row r="54" spans="1:28" outlineLevel="1">
      <c r="A54" s="37"/>
      <c r="B54" s="674" t="s">
        <v>2055</v>
      </c>
      <c r="C54" s="675"/>
      <c r="D54" s="676">
        <f>+C51-D52</f>
        <v>0</v>
      </c>
      <c r="E54" s="676">
        <f>+D54-E52</f>
        <v>0</v>
      </c>
      <c r="F54" s="676">
        <f t="shared" ref="F54:M54" si="15">+E54-F52</f>
        <v>0</v>
      </c>
      <c r="G54" s="676">
        <f t="shared" si="15"/>
        <v>0</v>
      </c>
      <c r="H54" s="676">
        <f t="shared" si="15"/>
        <v>0</v>
      </c>
      <c r="I54" s="676">
        <f t="shared" si="15"/>
        <v>0</v>
      </c>
      <c r="J54" s="676">
        <f t="shared" si="15"/>
        <v>0</v>
      </c>
      <c r="K54" s="676">
        <f t="shared" si="15"/>
        <v>0</v>
      </c>
      <c r="L54" s="676">
        <f t="shared" si="15"/>
        <v>0</v>
      </c>
      <c r="M54" s="676">
        <f t="shared" si="15"/>
        <v>0</v>
      </c>
      <c r="N54" s="676"/>
      <c r="O54" s="676"/>
      <c r="P54" s="676"/>
      <c r="Q54" s="676"/>
      <c r="R54" s="676"/>
      <c r="S54" s="676"/>
      <c r="T54" s="676"/>
      <c r="U54" s="676"/>
      <c r="V54" s="676"/>
      <c r="W54" s="676"/>
      <c r="X54" s="676"/>
      <c r="Y54" s="676"/>
      <c r="Z54" s="676"/>
      <c r="AA54" s="676"/>
      <c r="AB54" s="677"/>
    </row>
    <row r="55" spans="1:28" outlineLevel="1">
      <c r="A55" s="37"/>
      <c r="B55" s="674" t="s">
        <v>2056</v>
      </c>
      <c r="C55" s="675"/>
      <c r="D55" s="50">
        <f t="shared" ref="D55:M55" si="16">IF($C$64="Si",IF(D35-1&lt;=($C$92/12),$C$99,0),0)</f>
        <v>0</v>
      </c>
      <c r="E55" s="50">
        <f t="shared" si="16"/>
        <v>0</v>
      </c>
      <c r="F55" s="50">
        <f t="shared" si="16"/>
        <v>0</v>
      </c>
      <c r="G55" s="50">
        <f t="shared" si="16"/>
        <v>0</v>
      </c>
      <c r="H55" s="50">
        <f t="shared" si="16"/>
        <v>0</v>
      </c>
      <c r="I55" s="50">
        <f t="shared" si="16"/>
        <v>0</v>
      </c>
      <c r="J55" s="50">
        <f t="shared" si="16"/>
        <v>0</v>
      </c>
      <c r="K55" s="50">
        <f t="shared" si="16"/>
        <v>0</v>
      </c>
      <c r="L55" s="50">
        <f t="shared" si="16"/>
        <v>0</v>
      </c>
      <c r="M55" s="50">
        <f t="shared" si="16"/>
        <v>0</v>
      </c>
      <c r="N55" s="676"/>
      <c r="O55" s="676"/>
      <c r="P55" s="676"/>
      <c r="Q55" s="676"/>
      <c r="R55" s="676"/>
      <c r="S55" s="676"/>
      <c r="T55" s="676"/>
      <c r="U55" s="676"/>
      <c r="V55" s="676"/>
      <c r="W55" s="676"/>
      <c r="X55" s="676"/>
      <c r="Y55" s="676"/>
      <c r="Z55" s="676"/>
      <c r="AA55" s="676"/>
      <c r="AB55" s="677"/>
    </row>
    <row r="56" spans="1:28">
      <c r="A56" s="37"/>
      <c r="B56" s="678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2"/>
    </row>
    <row r="57" spans="1:28">
      <c r="A57" s="37"/>
      <c r="B57" s="762" t="s">
        <v>2212</v>
      </c>
      <c r="C57" s="765" t="e">
        <f>+C36</f>
        <v>#N/A</v>
      </c>
      <c r="D57" s="765">
        <f>+D40+D42+D47+D48</f>
        <v>11143369.990774091</v>
      </c>
      <c r="E57" s="765" t="e">
        <f t="shared" ref="E57:AB57" si="17">+E40+E42+E47+E48</f>
        <v>#N/A</v>
      </c>
      <c r="F57" s="765" t="e">
        <f t="shared" si="17"/>
        <v>#N/A</v>
      </c>
      <c r="G57" s="765" t="e">
        <f t="shared" si="17"/>
        <v>#N/A</v>
      </c>
      <c r="H57" s="765" t="e">
        <f t="shared" si="17"/>
        <v>#N/A</v>
      </c>
      <c r="I57" s="765" t="e">
        <f t="shared" si="17"/>
        <v>#N/A</v>
      </c>
      <c r="J57" s="765" t="e">
        <f t="shared" si="17"/>
        <v>#N/A</v>
      </c>
      <c r="K57" s="765" t="e">
        <f t="shared" si="17"/>
        <v>#N/A</v>
      </c>
      <c r="L57" s="765" t="e">
        <f t="shared" si="17"/>
        <v>#N/A</v>
      </c>
      <c r="M57" s="765" t="e">
        <f t="shared" si="17"/>
        <v>#N/A</v>
      </c>
      <c r="N57" s="765" t="e">
        <f t="shared" si="17"/>
        <v>#N/A</v>
      </c>
      <c r="O57" s="765" t="e">
        <f t="shared" si="17"/>
        <v>#N/A</v>
      </c>
      <c r="P57" s="765" t="e">
        <f t="shared" si="17"/>
        <v>#N/A</v>
      </c>
      <c r="Q57" s="765" t="e">
        <f t="shared" si="17"/>
        <v>#N/A</v>
      </c>
      <c r="R57" s="765" t="e">
        <f t="shared" si="17"/>
        <v>#N/A</v>
      </c>
      <c r="S57" s="765" t="e">
        <f t="shared" si="17"/>
        <v>#N/A</v>
      </c>
      <c r="T57" s="765" t="e">
        <f t="shared" si="17"/>
        <v>#N/A</v>
      </c>
      <c r="U57" s="765" t="e">
        <f t="shared" si="17"/>
        <v>#N/A</v>
      </c>
      <c r="V57" s="765" t="e">
        <f t="shared" si="17"/>
        <v>#N/A</v>
      </c>
      <c r="W57" s="765" t="e">
        <f t="shared" si="17"/>
        <v>#N/A</v>
      </c>
      <c r="X57" s="765" t="e">
        <f t="shared" si="17"/>
        <v>#N/A</v>
      </c>
      <c r="Y57" s="765" t="e">
        <f t="shared" si="17"/>
        <v>#N/A</v>
      </c>
      <c r="Z57" s="765" t="e">
        <f t="shared" si="17"/>
        <v>#N/A</v>
      </c>
      <c r="AA57" s="765" t="e">
        <f t="shared" si="17"/>
        <v>#N/A</v>
      </c>
      <c r="AB57" s="765" t="e">
        <f t="shared" si="17"/>
        <v>#N/A</v>
      </c>
    </row>
    <row r="58" spans="1:28">
      <c r="A58" s="37"/>
      <c r="B58" s="762"/>
      <c r="C58" s="765" t="e">
        <f>+C57</f>
        <v>#N/A</v>
      </c>
      <c r="D58" s="765" t="e">
        <f>+C58+D57</f>
        <v>#N/A</v>
      </c>
      <c r="E58" s="765" t="e">
        <f>+D58+E57</f>
        <v>#N/A</v>
      </c>
      <c r="F58" s="765" t="e">
        <f t="shared" ref="F58:AB58" si="18">+E58+F57</f>
        <v>#N/A</v>
      </c>
      <c r="G58" s="765" t="e">
        <f t="shared" si="18"/>
        <v>#N/A</v>
      </c>
      <c r="H58" s="765" t="e">
        <f t="shared" si="18"/>
        <v>#N/A</v>
      </c>
      <c r="I58" s="765" t="e">
        <f t="shared" si="18"/>
        <v>#N/A</v>
      </c>
      <c r="J58" s="765" t="e">
        <f t="shared" si="18"/>
        <v>#N/A</v>
      </c>
      <c r="K58" s="765" t="e">
        <f t="shared" si="18"/>
        <v>#N/A</v>
      </c>
      <c r="L58" s="765" t="e">
        <f t="shared" si="18"/>
        <v>#N/A</v>
      </c>
      <c r="M58" s="765" t="e">
        <f t="shared" si="18"/>
        <v>#N/A</v>
      </c>
      <c r="N58" s="765" t="e">
        <f t="shared" si="18"/>
        <v>#N/A</v>
      </c>
      <c r="O58" s="765" t="e">
        <f t="shared" si="18"/>
        <v>#N/A</v>
      </c>
      <c r="P58" s="765" t="e">
        <f t="shared" si="18"/>
        <v>#N/A</v>
      </c>
      <c r="Q58" s="765" t="e">
        <f t="shared" si="18"/>
        <v>#N/A</v>
      </c>
      <c r="R58" s="765" t="e">
        <f t="shared" si="18"/>
        <v>#N/A</v>
      </c>
      <c r="S58" s="765" t="e">
        <f t="shared" si="18"/>
        <v>#N/A</v>
      </c>
      <c r="T58" s="765" t="e">
        <f t="shared" si="18"/>
        <v>#N/A</v>
      </c>
      <c r="U58" s="765" t="e">
        <f t="shared" si="18"/>
        <v>#N/A</v>
      </c>
      <c r="V58" s="765" t="e">
        <f t="shared" si="18"/>
        <v>#N/A</v>
      </c>
      <c r="W58" s="765" t="e">
        <f t="shared" si="18"/>
        <v>#N/A</v>
      </c>
      <c r="X58" s="765" t="e">
        <f t="shared" si="18"/>
        <v>#N/A</v>
      </c>
      <c r="Y58" s="765" t="e">
        <f t="shared" si="18"/>
        <v>#N/A</v>
      </c>
      <c r="Z58" s="765" t="e">
        <f t="shared" si="18"/>
        <v>#N/A</v>
      </c>
      <c r="AA58" s="765" t="e">
        <f t="shared" si="18"/>
        <v>#N/A</v>
      </c>
      <c r="AB58" s="765" t="e">
        <f t="shared" si="18"/>
        <v>#N/A</v>
      </c>
    </row>
    <row r="59" spans="1:28" ht="15.75" thickBot="1">
      <c r="A59" s="37"/>
      <c r="B59" s="762"/>
      <c r="C59" s="763"/>
      <c r="D59" s="763"/>
      <c r="E59" s="763"/>
      <c r="F59" s="763"/>
      <c r="G59" s="763"/>
      <c r="H59" s="763"/>
      <c r="I59" s="763"/>
      <c r="J59" s="763"/>
      <c r="K59" s="763"/>
      <c r="L59" s="763"/>
      <c r="M59" s="763"/>
      <c r="N59" s="763"/>
      <c r="O59" s="763"/>
      <c r="P59" s="763"/>
      <c r="Q59" s="763"/>
      <c r="R59" s="763"/>
      <c r="S59" s="763"/>
      <c r="T59" s="763"/>
      <c r="U59" s="763"/>
      <c r="V59" s="763"/>
      <c r="W59" s="763"/>
      <c r="X59" s="763"/>
      <c r="Y59" s="763"/>
      <c r="Z59" s="763"/>
      <c r="AA59" s="763"/>
      <c r="AB59" s="764"/>
    </row>
    <row r="60" spans="1:28" s="679" customFormat="1" ht="15.75">
      <c r="B60" s="680" t="s">
        <v>260</v>
      </c>
      <c r="C60" s="681" t="e">
        <f>+C36+C37+C51</f>
        <v>#N/A</v>
      </c>
      <c r="D60" s="691" t="e">
        <f>D36+D40+D42+D43+D44+D47+D48+D51+D49+D55</f>
        <v>#N/A</v>
      </c>
      <c r="E60" s="691" t="e">
        <f t="shared" ref="E60:AB60" si="19">E36+E40+E42+E43+E44+E47+E48+E51+E49+E55</f>
        <v>#N/A</v>
      </c>
      <c r="F60" s="691" t="e">
        <f t="shared" si="19"/>
        <v>#N/A</v>
      </c>
      <c r="G60" s="691" t="e">
        <f t="shared" si="19"/>
        <v>#N/A</v>
      </c>
      <c r="H60" s="691" t="e">
        <f t="shared" si="19"/>
        <v>#N/A</v>
      </c>
      <c r="I60" s="691" t="e">
        <f t="shared" si="19"/>
        <v>#N/A</v>
      </c>
      <c r="J60" s="691" t="e">
        <f t="shared" si="19"/>
        <v>#N/A</v>
      </c>
      <c r="K60" s="691" t="e">
        <f t="shared" si="19"/>
        <v>#N/A</v>
      </c>
      <c r="L60" s="691" t="e">
        <f t="shared" si="19"/>
        <v>#N/A</v>
      </c>
      <c r="M60" s="691" t="e">
        <f t="shared" si="19"/>
        <v>#N/A</v>
      </c>
      <c r="N60" s="691" t="e">
        <f t="shared" si="19"/>
        <v>#N/A</v>
      </c>
      <c r="O60" s="691" t="e">
        <f t="shared" si="19"/>
        <v>#N/A</v>
      </c>
      <c r="P60" s="691" t="e">
        <f t="shared" si="19"/>
        <v>#N/A</v>
      </c>
      <c r="Q60" s="691" t="e">
        <f t="shared" si="19"/>
        <v>#N/A</v>
      </c>
      <c r="R60" s="691" t="e">
        <f t="shared" si="19"/>
        <v>#N/A</v>
      </c>
      <c r="S60" s="691" t="e">
        <f t="shared" si="19"/>
        <v>#N/A</v>
      </c>
      <c r="T60" s="691" t="e">
        <f t="shared" si="19"/>
        <v>#N/A</v>
      </c>
      <c r="U60" s="691" t="e">
        <f t="shared" si="19"/>
        <v>#N/A</v>
      </c>
      <c r="V60" s="691" t="e">
        <f t="shared" si="19"/>
        <v>#N/A</v>
      </c>
      <c r="W60" s="691" t="e">
        <f t="shared" si="19"/>
        <v>#N/A</v>
      </c>
      <c r="X60" s="691" t="e">
        <f t="shared" si="19"/>
        <v>#N/A</v>
      </c>
      <c r="Y60" s="691" t="e">
        <f t="shared" si="19"/>
        <v>#N/A</v>
      </c>
      <c r="Z60" s="691" t="e">
        <f t="shared" si="19"/>
        <v>#N/A</v>
      </c>
      <c r="AA60" s="691" t="e">
        <f t="shared" si="19"/>
        <v>#N/A</v>
      </c>
      <c r="AB60" s="691" t="e">
        <f t="shared" si="19"/>
        <v>#N/A</v>
      </c>
    </row>
    <row r="61" spans="1:28" ht="16.5" thickBot="1">
      <c r="B61" s="405" t="s">
        <v>261</v>
      </c>
      <c r="C61" s="406" t="e">
        <f>C60</f>
        <v>#N/A</v>
      </c>
      <c r="D61" s="692" t="e">
        <f>C61+D60</f>
        <v>#N/A</v>
      </c>
      <c r="E61" s="692" t="e">
        <f t="shared" ref="E61:AB61" si="20">D61+E60</f>
        <v>#N/A</v>
      </c>
      <c r="F61" s="692" t="e">
        <f t="shared" si="20"/>
        <v>#N/A</v>
      </c>
      <c r="G61" s="692" t="e">
        <f t="shared" si="20"/>
        <v>#N/A</v>
      </c>
      <c r="H61" s="692" t="e">
        <f t="shared" si="20"/>
        <v>#N/A</v>
      </c>
      <c r="I61" s="692" t="e">
        <f t="shared" si="20"/>
        <v>#N/A</v>
      </c>
      <c r="J61" s="692" t="e">
        <f t="shared" si="20"/>
        <v>#N/A</v>
      </c>
      <c r="K61" s="692" t="e">
        <f t="shared" si="20"/>
        <v>#N/A</v>
      </c>
      <c r="L61" s="692" t="e">
        <f t="shared" si="20"/>
        <v>#N/A</v>
      </c>
      <c r="M61" s="692" t="e">
        <f t="shared" si="20"/>
        <v>#N/A</v>
      </c>
      <c r="N61" s="692" t="e">
        <f t="shared" si="20"/>
        <v>#N/A</v>
      </c>
      <c r="O61" s="692" t="e">
        <f t="shared" si="20"/>
        <v>#N/A</v>
      </c>
      <c r="P61" s="692" t="e">
        <f t="shared" si="20"/>
        <v>#N/A</v>
      </c>
      <c r="Q61" s="692" t="e">
        <f t="shared" si="20"/>
        <v>#N/A</v>
      </c>
      <c r="R61" s="692" t="e">
        <f t="shared" si="20"/>
        <v>#N/A</v>
      </c>
      <c r="S61" s="692" t="e">
        <f t="shared" si="20"/>
        <v>#N/A</v>
      </c>
      <c r="T61" s="692" t="e">
        <f t="shared" si="20"/>
        <v>#N/A</v>
      </c>
      <c r="U61" s="692" t="e">
        <f t="shared" si="20"/>
        <v>#N/A</v>
      </c>
      <c r="V61" s="692" t="e">
        <f t="shared" si="20"/>
        <v>#N/A</v>
      </c>
      <c r="W61" s="692" t="e">
        <f t="shared" si="20"/>
        <v>#N/A</v>
      </c>
      <c r="X61" s="692" t="e">
        <f t="shared" si="20"/>
        <v>#N/A</v>
      </c>
      <c r="Y61" s="692" t="e">
        <f t="shared" si="20"/>
        <v>#N/A</v>
      </c>
      <c r="Z61" s="692" t="e">
        <f t="shared" si="20"/>
        <v>#N/A</v>
      </c>
      <c r="AA61" s="692" t="e">
        <f t="shared" si="20"/>
        <v>#N/A</v>
      </c>
      <c r="AB61" s="693" t="e">
        <f t="shared" si="20"/>
        <v>#N/A</v>
      </c>
    </row>
    <row r="62" spans="1:28" ht="15.75">
      <c r="B62" s="715"/>
      <c r="C62" s="410"/>
      <c r="D62" s="717">
        <f>-D51</f>
        <v>0</v>
      </c>
      <c r="E62" s="717">
        <f t="shared" ref="E62:M62" si="21">-E51</f>
        <v>0</v>
      </c>
      <c r="F62" s="717">
        <f t="shared" si="21"/>
        <v>0</v>
      </c>
      <c r="G62" s="717">
        <f t="shared" si="21"/>
        <v>0</v>
      </c>
      <c r="H62" s="717">
        <f t="shared" si="21"/>
        <v>0</v>
      </c>
      <c r="I62" s="717">
        <f t="shared" si="21"/>
        <v>0</v>
      </c>
      <c r="J62" s="717">
        <f t="shared" si="21"/>
        <v>0</v>
      </c>
      <c r="K62" s="717">
        <f t="shared" si="21"/>
        <v>0</v>
      </c>
      <c r="L62" s="717">
        <f t="shared" si="21"/>
        <v>0</v>
      </c>
      <c r="M62" s="717">
        <f t="shared" si="21"/>
        <v>0</v>
      </c>
      <c r="N62" s="716"/>
      <c r="O62" s="716"/>
      <c r="P62" s="716"/>
      <c r="Q62" s="716"/>
      <c r="R62" s="716"/>
      <c r="S62" s="716"/>
      <c r="T62" s="716"/>
      <c r="U62" s="716"/>
      <c r="V62" s="716"/>
      <c r="W62" s="716"/>
      <c r="X62" s="716"/>
      <c r="Y62" s="716"/>
      <c r="Z62" s="716"/>
      <c r="AA62" s="716"/>
      <c r="AB62" s="716"/>
    </row>
    <row r="63" spans="1:28" ht="15.75" thickBot="1"/>
    <row r="64" spans="1:28" ht="16.5" thickBot="1">
      <c r="B64" s="682" t="s">
        <v>1676</v>
      </c>
      <c r="C64" s="683" t="str">
        <f>+'Datos de Entrada (On Grid)'!G15</f>
        <v>No</v>
      </c>
    </row>
    <row r="65" spans="2:3" ht="16.5" thickBot="1">
      <c r="B65" s="682" t="s">
        <v>1678</v>
      </c>
      <c r="C65" s="683" t="str">
        <f>+'Datos de Entrada (On Grid)'!G11</f>
        <v>Si</v>
      </c>
    </row>
    <row r="66" spans="2:3" ht="15.75" thickBot="1"/>
    <row r="67" spans="2:3" ht="15.75" thickBot="1">
      <c r="B67" s="1414" t="s">
        <v>266</v>
      </c>
      <c r="C67" s="1415"/>
    </row>
    <row r="68" spans="2:3" ht="15.75">
      <c r="B68" s="684" t="s">
        <v>262</v>
      </c>
      <c r="C68" s="685" t="e">
        <f>+D10</f>
        <v>#N/A</v>
      </c>
    </row>
    <row r="69" spans="2:3" ht="15.75">
      <c r="B69" s="686" t="s">
        <v>764</v>
      </c>
      <c r="C69" s="427">
        <f>+D30</f>
        <v>0.12</v>
      </c>
    </row>
    <row r="70" spans="2:3" ht="15.75">
      <c r="B70" s="687" t="s">
        <v>263</v>
      </c>
      <c r="C70" s="688">
        <f>+AVERAGE((D40:AB40))</f>
        <v>25724215.134408012</v>
      </c>
    </row>
    <row r="71" spans="2:3" ht="15.75">
      <c r="B71" s="434" t="s">
        <v>264</v>
      </c>
      <c r="C71" s="435" t="e">
        <f>C60+NPV(D30,D60:AB60)</f>
        <v>#N/A</v>
      </c>
    </row>
    <row r="72" spans="2:3" ht="15.75">
      <c r="B72" s="434" t="s">
        <v>763</v>
      </c>
      <c r="C72" s="435" t="e">
        <f>+(D10*D32+D11)/D3</f>
        <v>#N/A</v>
      </c>
    </row>
    <row r="73" spans="2:3" ht="15.75">
      <c r="B73" s="434" t="s">
        <v>1687</v>
      </c>
      <c r="C73" s="435" t="e">
        <f>+(-C68-NPV(D30,D42:AB42)-NPV(D30,D48:H48)-NPV(D30,E47:I47)/(1+D30))/NPV(D30,D38:AB38)</f>
        <v>#N/A</v>
      </c>
    </row>
    <row r="74" spans="2:3" ht="15.75">
      <c r="B74" s="434" t="s">
        <v>1689</v>
      </c>
      <c r="C74" s="442" t="e">
        <f>IF(C64="Si","N/A",IRR(C60:AB60))</f>
        <v>#VALUE!</v>
      </c>
    </row>
    <row r="75" spans="2:3" ht="15.75">
      <c r="B75" s="443" t="s">
        <v>2057</v>
      </c>
      <c r="C75" s="444" t="e">
        <f>+IRR(C60:M60)</f>
        <v>#VALUE!</v>
      </c>
    </row>
    <row r="76" spans="2:3" ht="15.75">
      <c r="B76" s="443" t="s">
        <v>1690</v>
      </c>
      <c r="C76" s="444" t="str">
        <f>+IF(C64="Si",MIRR(C61:AB61,C94,C69),"N/A")</f>
        <v>N/A</v>
      </c>
    </row>
    <row r="77" spans="2:3" ht="16.5" thickBot="1">
      <c r="B77" s="689" t="s">
        <v>265</v>
      </c>
      <c r="C77" s="690">
        <f>+COUNTIF(D61:AB61,"&lt;0")</f>
        <v>0</v>
      </c>
    </row>
    <row r="78" spans="2:3" ht="16.5" thickBot="1">
      <c r="B78" s="702"/>
      <c r="C78" s="696"/>
    </row>
    <row r="79" spans="2:3" ht="16.5" thickBot="1">
      <c r="B79" s="1416" t="s">
        <v>266</v>
      </c>
      <c r="C79" s="1417"/>
    </row>
    <row r="80" spans="2:3" ht="18">
      <c r="B80" s="276" t="s">
        <v>262</v>
      </c>
      <c r="C80" s="289" t="e">
        <f>D10</f>
        <v>#N/A</v>
      </c>
    </row>
    <row r="81" spans="2:13" ht="18">
      <c r="B81" s="277" t="s">
        <v>1235</v>
      </c>
      <c r="C81" s="697">
        <f>+D3/12</f>
        <v>854.14275719499983</v>
      </c>
    </row>
    <row r="82" spans="2:13" ht="18">
      <c r="B82" s="277" t="s">
        <v>1236</v>
      </c>
      <c r="C82" s="289">
        <f>+C81*0.95*'Datos de Entrada (On Grid)'!D22</f>
        <v>918941.10166973842</v>
      </c>
    </row>
    <row r="83" spans="2:13" ht="18">
      <c r="B83" s="277" t="s">
        <v>764</v>
      </c>
      <c r="C83" s="698">
        <f>+C69</f>
        <v>0.12</v>
      </c>
    </row>
    <row r="84" spans="2:13" ht="18">
      <c r="B84" s="699" t="s">
        <v>264</v>
      </c>
      <c r="C84" s="700" t="e">
        <f>C60+NPV(C83,D60:AB60)</f>
        <v>#N/A</v>
      </c>
      <c r="M84" s="766" t="s">
        <v>2213</v>
      </c>
    </row>
    <row r="85" spans="2:13" ht="18">
      <c r="B85" s="699" t="s">
        <v>1234</v>
      </c>
      <c r="C85" s="701" t="e">
        <f>+(C80-NPV(C83,D42:AB42)-NPV(C83,D48:H48)-NPV(C83,E47:I47)/(1+C83))/NPV(C83,D38:AB38)</f>
        <v>#N/A</v>
      </c>
      <c r="M85" s="768" t="e">
        <f>+AB61</f>
        <v>#N/A</v>
      </c>
    </row>
    <row r="86" spans="2:13" ht="18">
      <c r="B86" s="278" t="s">
        <v>1232</v>
      </c>
      <c r="C86" s="705" t="e">
        <f>+IRR(C57:M57)</f>
        <v>#VALUE!</v>
      </c>
    </row>
    <row r="87" spans="2:13" ht="18">
      <c r="B87" s="278" t="s">
        <v>1233</v>
      </c>
      <c r="C87" s="706" t="e">
        <f>IRR(C57:AB57)</f>
        <v>#VALUE!</v>
      </c>
    </row>
    <row r="88" spans="2:13" ht="18.75" thickBot="1">
      <c r="B88" s="279" t="s">
        <v>265</v>
      </c>
      <c r="C88" s="288">
        <f>+COUNTIF(D58:AB58,"&lt;0")+1</f>
        <v>1</v>
      </c>
    </row>
    <row r="89" spans="2:13" ht="15.75" thickBot="1"/>
    <row r="90" spans="2:13" ht="16.5" thickBot="1">
      <c r="B90" s="1416" t="s">
        <v>1674</v>
      </c>
      <c r="C90" s="1417"/>
    </row>
    <row r="91" spans="2:13" ht="18">
      <c r="B91" s="277" t="s">
        <v>2065</v>
      </c>
      <c r="C91" s="703" t="str">
        <f>+VLOOKUP('Datos de Entrada (On Grid)'!G16,'Var. Financieras'!A2:G4,1,FALSE)</f>
        <v>Somos EPM</v>
      </c>
    </row>
    <row r="92" spans="2:13" ht="18">
      <c r="B92" s="277" t="s">
        <v>1692</v>
      </c>
      <c r="C92" s="718">
        <f>+VLOOKUP('Datos de Entrada (On Grid)'!G16,'Var. Financieras'!A3:G5,3,FALSE)</f>
        <v>120</v>
      </c>
    </row>
    <row r="93" spans="2:13" ht="18">
      <c r="B93" s="277" t="s">
        <v>1693</v>
      </c>
      <c r="C93" s="703">
        <f>+VLOOKUP('Datos de Entrada (On Grid)'!G16,'Var. Financieras'!A3:G5,5,FALSE)</f>
        <v>1.2999999999999999E-2</v>
      </c>
    </row>
    <row r="94" spans="2:13" ht="18">
      <c r="B94" s="277" t="s">
        <v>1694</v>
      </c>
      <c r="C94" s="704">
        <f>+VLOOKUP('Datos de Entrada (On Grid)'!G16,'Var. Financieras'!A3:G5,4,FALSE)</f>
        <v>0.16765177626913008</v>
      </c>
    </row>
    <row r="95" spans="2:13" ht="18">
      <c r="B95" s="277" t="s">
        <v>1695</v>
      </c>
      <c r="C95" s="289" t="e">
        <f>+VLOOKUP('Datos de Entrada (On Grid)'!G16,'Var. Financieras'!A3:G5,2,FALSE)</f>
        <v>#N/A</v>
      </c>
    </row>
    <row r="96" spans="2:13" ht="18">
      <c r="B96" s="699" t="s">
        <v>1696</v>
      </c>
      <c r="C96" s="289" t="e">
        <f>+VLOOKUP('Datos de Entrada (On Grid)'!G16,'Var. Financieras'!A3:G5,6,FALSE)</f>
        <v>#N/A</v>
      </c>
    </row>
    <row r="97" spans="2:3" ht="18">
      <c r="B97" s="699" t="s">
        <v>1697</v>
      </c>
      <c r="C97" s="289" t="e">
        <f>+VLOOKUP('Datos de Entrada (On Grid)'!G16,'Var. Financieras'!A3:G5,7,FALSE)</f>
        <v>#N/A</v>
      </c>
    </row>
    <row r="98" spans="2:3" ht="18">
      <c r="B98" s="712" t="s">
        <v>2067</v>
      </c>
      <c r="C98" s="713" t="e">
        <f>+SUM(R7:AC7)</f>
        <v>#N/A</v>
      </c>
    </row>
    <row r="99" spans="2:3" ht="18.75" thickBot="1">
      <c r="B99" s="707" t="s">
        <v>2056</v>
      </c>
      <c r="C99" s="708">
        <v>0</v>
      </c>
    </row>
  </sheetData>
  <mergeCells count="3">
    <mergeCell ref="B67:C67"/>
    <mergeCell ref="B79:C79"/>
    <mergeCell ref="B90:C90"/>
  </mergeCells>
  <phoneticPr fontId="42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IrMenu">
                <anchor moveWithCells="1" sizeWithCells="1">
                  <from>
                    <xdr:col>7</xdr:col>
                    <xdr:colOff>0</xdr:colOff>
                    <xdr:row>1</xdr:row>
                    <xdr:rowOff>85725</xdr:rowOff>
                  </from>
                  <to>
                    <xdr:col>8</xdr:col>
                    <xdr:colOff>581025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AAE5E-FED6-4529-8585-E5ED18EDBEE4}">
  <sheetPr codeName="Hoja13"/>
  <dimension ref="A1:H10"/>
  <sheetViews>
    <sheetView workbookViewId="0">
      <selection activeCell="B4" sqref="B4"/>
    </sheetView>
  </sheetViews>
  <sheetFormatPr baseColWidth="10" defaultRowHeight="14.25"/>
  <cols>
    <col min="1" max="1" width="11.125" bestFit="1" customWidth="1"/>
    <col min="2" max="2" width="17.375" bestFit="1" customWidth="1"/>
    <col min="6" max="6" width="12.5" customWidth="1"/>
    <col min="7" max="7" width="14.125" customWidth="1"/>
    <col min="8" max="8" width="16.375" bestFit="1" customWidth="1"/>
  </cols>
  <sheetData>
    <row r="1" spans="1:8">
      <c r="A1" s="1251" t="s">
        <v>2256</v>
      </c>
      <c r="B1" s="1250"/>
      <c r="C1" s="1250"/>
      <c r="D1" s="1250"/>
      <c r="E1" s="1250"/>
      <c r="F1" s="1250"/>
      <c r="G1" s="1250"/>
      <c r="H1" s="1250"/>
    </row>
    <row r="2" spans="1:8">
      <c r="B2" t="s">
        <v>1695</v>
      </c>
      <c r="C2" t="s">
        <v>2061</v>
      </c>
      <c r="D2" t="s">
        <v>2062</v>
      </c>
      <c r="E2" t="s">
        <v>1693</v>
      </c>
      <c r="F2" t="s">
        <v>2063</v>
      </c>
      <c r="G2" t="s">
        <v>2064</v>
      </c>
      <c r="H2" t="s">
        <v>2066</v>
      </c>
    </row>
    <row r="3" spans="1:8">
      <c r="A3" t="s">
        <v>2058</v>
      </c>
      <c r="B3" s="709" t="e">
        <f>+'Datos de Salida (On grid)'!I14</f>
        <v>#N/A</v>
      </c>
      <c r="C3">
        <v>108</v>
      </c>
      <c r="D3" s="710">
        <v>0.17</v>
      </c>
      <c r="E3" s="711">
        <f>+(1+D3)^(0.0833333333333333)-1</f>
        <v>1.3169611131462311E-2</v>
      </c>
      <c r="F3" s="709" t="e">
        <f>+PMT(E3,C3,-B3)</f>
        <v>#N/A</v>
      </c>
      <c r="G3" s="548" t="e">
        <f>+PMT(D3,C3/12,-B3)</f>
        <v>#N/A</v>
      </c>
      <c r="H3" s="709" t="e">
        <f>+B3*D3</f>
        <v>#N/A</v>
      </c>
    </row>
    <row r="4" spans="1:8">
      <c r="A4" t="s">
        <v>2059</v>
      </c>
      <c r="B4" s="709" t="e">
        <f>+'Datos de Salida (On grid)'!I14*1.02</f>
        <v>#N/A</v>
      </c>
      <c r="C4">
        <v>120</v>
      </c>
      <c r="D4" s="710">
        <f>+(1+E4)^(12/1)-1</f>
        <v>0.16765177626913008</v>
      </c>
      <c r="E4" s="320">
        <v>1.2999999999999999E-2</v>
      </c>
      <c r="F4" s="709" t="e">
        <f>+PMT(E4,C4,-B4)</f>
        <v>#N/A</v>
      </c>
      <c r="G4" s="548" t="e">
        <f>+PMT(D4,C4/12,-B4)</f>
        <v>#N/A</v>
      </c>
      <c r="H4" s="714" t="e">
        <f>+G4</f>
        <v>#N/A</v>
      </c>
    </row>
    <row r="5" spans="1:8">
      <c r="A5" t="s">
        <v>2060</v>
      </c>
    </row>
    <row r="7" spans="1:8">
      <c r="A7" s="1251" t="s">
        <v>2257</v>
      </c>
      <c r="B7" s="1251"/>
    </row>
    <row r="8" spans="1:8">
      <c r="A8" s="17" t="s">
        <v>2258</v>
      </c>
      <c r="B8" s="714">
        <f>+'Datos de Entrada (On Grid)'!D15</f>
        <v>4000</v>
      </c>
    </row>
    <row r="9" spans="1:8">
      <c r="A9" s="17" t="s">
        <v>224</v>
      </c>
      <c r="B9" s="307">
        <v>3.6999999999999998E-2</v>
      </c>
    </row>
    <row r="10" spans="1:8">
      <c r="A10" s="17" t="s">
        <v>2259</v>
      </c>
      <c r="B10" s="307">
        <v>7.0000000000000007E-2</v>
      </c>
    </row>
  </sheetData>
  <mergeCells count="2">
    <mergeCell ref="A1:H1"/>
    <mergeCell ref="A7:B7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77431-5B7B-47ED-88B4-8310F45E5BF2}">
  <sheetPr codeName="Hoja23"/>
  <dimension ref="B1:N18"/>
  <sheetViews>
    <sheetView topLeftCell="A7" workbookViewId="0">
      <selection activeCell="G6" sqref="G6"/>
    </sheetView>
  </sheetViews>
  <sheetFormatPr baseColWidth="10" defaultRowHeight="14.25"/>
  <cols>
    <col min="3" max="3" width="14.375" customWidth="1"/>
    <col min="4" max="4" width="10.625" customWidth="1"/>
    <col min="5" max="5" width="16.875" customWidth="1"/>
    <col min="6" max="6" width="9" customWidth="1"/>
    <col min="7" max="7" width="14.5" bestFit="1" customWidth="1"/>
    <col min="8" max="8" width="10.625" bestFit="1" customWidth="1"/>
    <col min="9" max="9" width="14" customWidth="1"/>
    <col min="12" max="12" width="11.375" bestFit="1" customWidth="1"/>
    <col min="14" max="14" width="11.375" bestFit="1" customWidth="1"/>
  </cols>
  <sheetData>
    <row r="1" spans="2:14" ht="15" thickBot="1"/>
    <row r="2" spans="2:14" ht="15">
      <c r="B2" s="131"/>
      <c r="C2" s="132"/>
      <c r="D2" s="132"/>
      <c r="E2" s="132"/>
      <c r="F2" s="132"/>
      <c r="G2" s="777"/>
      <c r="H2" s="780"/>
      <c r="I2" s="780"/>
      <c r="J2" s="781"/>
    </row>
    <row r="3" spans="2:14" ht="18">
      <c r="B3" s="134"/>
      <c r="C3" s="84"/>
      <c r="D3" s="84"/>
      <c r="E3" s="789"/>
      <c r="F3" s="790"/>
      <c r="G3" s="309"/>
      <c r="H3" s="782"/>
      <c r="I3" s="782"/>
      <c r="J3" s="783"/>
    </row>
    <row r="4" spans="2:14" ht="15.75" thickBot="1">
      <c r="B4" s="134"/>
      <c r="C4" s="84"/>
      <c r="D4" s="84"/>
      <c r="E4" s="84"/>
      <c r="F4" s="84"/>
      <c r="G4" s="309"/>
      <c r="H4" s="782"/>
      <c r="I4" s="782"/>
      <c r="J4" s="783"/>
    </row>
    <row r="5" spans="2:14" ht="17.25">
      <c r="B5" s="134"/>
      <c r="C5" s="1418" t="s">
        <v>140</v>
      </c>
      <c r="D5" s="1419"/>
      <c r="E5" s="1420"/>
      <c r="F5" s="775" t="s">
        <v>141</v>
      </c>
      <c r="G5" s="775" t="s">
        <v>916</v>
      </c>
      <c r="H5" s="775" t="s">
        <v>206</v>
      </c>
      <c r="I5" s="776" t="s">
        <v>112</v>
      </c>
      <c r="J5" s="783"/>
    </row>
    <row r="6" spans="2:14" ht="50.25" customHeight="1">
      <c r="B6" s="134"/>
      <c r="C6" s="1427" t="str">
        <f>VLOOKUP('Datos de Entrada (On Grid)'!G20,'Datos Equipos'!B9:L24,2,FALSE)</f>
        <v>Panel solar Monocristalino  HalfCell (585W)</v>
      </c>
      <c r="D6" s="1428"/>
      <c r="E6" s="1429"/>
      <c r="F6" s="791">
        <f>+'Calculos (On Grid)'!B23</f>
        <v>14</v>
      </c>
      <c r="G6" s="793">
        <f>+'Calculos (On Grid)'!F73</f>
        <v>0</v>
      </c>
      <c r="H6" s="793">
        <v>0</v>
      </c>
      <c r="I6" s="794">
        <f>+H6+G6</f>
        <v>0</v>
      </c>
      <c r="J6" s="783"/>
    </row>
    <row r="7" spans="2:14" ht="50.25" customHeight="1">
      <c r="B7" s="134"/>
      <c r="C7" s="1427" t="str">
        <f>VLOOKUP('Datos de Entrada (On Grid)'!G22,'Datos Equipos'!B28:K77,2,FALSE)</f>
        <v>Inversor Híbrido 8 kW Split phase</v>
      </c>
      <c r="D7" s="1428"/>
      <c r="E7" s="1429"/>
      <c r="F7" s="791">
        <f>+'Calculos (On Grid)'!C26</f>
        <v>1</v>
      </c>
      <c r="G7" s="793" t="str">
        <f>+'Calculos (On Grid)'!G74</f>
        <v>Peso</v>
      </c>
      <c r="H7" s="793">
        <v>0</v>
      </c>
      <c r="I7" s="794" t="e">
        <f t="shared" ref="I7:I13" si="0">+H7+G7</f>
        <v>#VALUE!</v>
      </c>
      <c r="J7" s="784"/>
    </row>
    <row r="8" spans="2:14" ht="50.25" customHeight="1">
      <c r="B8" s="134"/>
      <c r="C8" s="1427" t="s">
        <v>149</v>
      </c>
      <c r="D8" s="1428"/>
      <c r="E8" s="1429"/>
      <c r="F8" s="791">
        <v>1</v>
      </c>
      <c r="G8" s="793" t="e">
        <f>+'Calculos (On Grid)'!G75</f>
        <v>#N/A</v>
      </c>
      <c r="H8" s="793" t="e">
        <f>+G8*0.19</f>
        <v>#N/A</v>
      </c>
      <c r="I8" s="794" t="e">
        <f t="shared" si="0"/>
        <v>#N/A</v>
      </c>
      <c r="J8" s="785"/>
    </row>
    <row r="9" spans="2:14" ht="50.25" customHeight="1">
      <c r="B9" s="134"/>
      <c r="C9" s="1427" t="s">
        <v>150</v>
      </c>
      <c r="D9" s="1428"/>
      <c r="E9" s="1429"/>
      <c r="F9" s="791">
        <v>1</v>
      </c>
      <c r="G9" s="793" t="e">
        <f>+'Calculos (On Grid)'!G76</f>
        <v>#N/A</v>
      </c>
      <c r="H9" s="793" t="e">
        <f>+G9*0.19</f>
        <v>#N/A</v>
      </c>
      <c r="I9" s="794" t="e">
        <f t="shared" si="0"/>
        <v>#N/A</v>
      </c>
      <c r="J9" s="786"/>
    </row>
    <row r="10" spans="2:14" ht="50.25" customHeight="1">
      <c r="B10" s="134"/>
      <c r="C10" s="1427" t="s">
        <v>1868</v>
      </c>
      <c r="D10" s="1428"/>
      <c r="E10" s="1429"/>
      <c r="F10" s="791">
        <v>1</v>
      </c>
      <c r="G10" s="793" t="e">
        <f>'Calculos (On Grid)'!G78</f>
        <v>#N/A</v>
      </c>
      <c r="H10" s="793" t="e">
        <f>+G10*0.19*0.05</f>
        <v>#N/A</v>
      </c>
      <c r="I10" s="794" t="e">
        <f t="shared" si="0"/>
        <v>#N/A</v>
      </c>
      <c r="J10" s="784"/>
      <c r="L10">
        <v>3361345</v>
      </c>
      <c r="M10">
        <f>+L10*0.19</f>
        <v>638655.55000000005</v>
      </c>
      <c r="N10">
        <f>+M10+L10</f>
        <v>4000000.55</v>
      </c>
    </row>
    <row r="11" spans="2:14" ht="50.25" customHeight="1">
      <c r="B11" s="134"/>
      <c r="C11" s="1427" t="s">
        <v>2727</v>
      </c>
      <c r="D11" s="1428"/>
      <c r="E11" s="1429"/>
      <c r="F11" s="791">
        <v>1</v>
      </c>
      <c r="G11" s="793" t="e">
        <f>'Calculos (On Grid)'!G79</f>
        <v>#N/A</v>
      </c>
      <c r="H11" s="793" t="e">
        <f>+G11*0.19</f>
        <v>#N/A</v>
      </c>
      <c r="I11" s="794" t="e">
        <f>+H11+G11</f>
        <v>#N/A</v>
      </c>
      <c r="J11" s="784"/>
      <c r="L11" s="714" t="e">
        <f>+G12-94678</f>
        <v>#N/A</v>
      </c>
      <c r="M11" t="e">
        <f>+L11*0.19</f>
        <v>#N/A</v>
      </c>
      <c r="N11" s="714" t="e">
        <f>+M11+L11</f>
        <v>#N/A</v>
      </c>
    </row>
    <row r="12" spans="2:14" ht="50.25" customHeight="1">
      <c r="B12" s="134"/>
      <c r="C12" s="1427" t="s">
        <v>2728</v>
      </c>
      <c r="D12" s="1428"/>
      <c r="E12" s="1429"/>
      <c r="F12" s="791">
        <v>1</v>
      </c>
      <c r="G12" s="793" t="e">
        <f>+'Calculos (On Grid)'!G77</f>
        <v>#N/A</v>
      </c>
      <c r="H12" s="793" t="e">
        <f>+G12*0.19</f>
        <v>#N/A</v>
      </c>
      <c r="I12" s="794" t="e">
        <f t="shared" si="0"/>
        <v>#N/A</v>
      </c>
      <c r="J12" s="784"/>
    </row>
    <row r="13" spans="2:14" ht="50.25" customHeight="1" thickBot="1">
      <c r="B13" s="134"/>
      <c r="C13" s="1430" t="s">
        <v>152</v>
      </c>
      <c r="D13" s="1431"/>
      <c r="E13" s="1432"/>
      <c r="F13" s="792">
        <v>1</v>
      </c>
      <c r="G13" s="795" t="e">
        <f>+'Calculos (On Grid)'!G80</f>
        <v>#N/A</v>
      </c>
      <c r="H13" s="795" t="e">
        <f>+G13*0.19</f>
        <v>#N/A</v>
      </c>
      <c r="I13" s="796" t="e">
        <f t="shared" si="0"/>
        <v>#N/A</v>
      </c>
      <c r="J13" s="784"/>
    </row>
    <row r="14" spans="2:14" ht="15.75" thickBot="1">
      <c r="B14" s="308"/>
      <c r="C14" s="778"/>
      <c r="D14" s="778"/>
      <c r="E14" s="782"/>
      <c r="F14" s="782"/>
      <c r="G14" s="788"/>
      <c r="H14" s="779"/>
      <c r="I14" s="779"/>
      <c r="J14" s="784"/>
    </row>
    <row r="15" spans="2:14" ht="14.45" customHeight="1">
      <c r="B15" s="308"/>
      <c r="C15" s="778"/>
      <c r="D15" s="778"/>
      <c r="E15" s="782"/>
      <c r="F15" s="782"/>
      <c r="G15" s="1423" t="s">
        <v>916</v>
      </c>
      <c r="H15" s="1424"/>
      <c r="I15" s="797">
        <f>+'Calculos (On Grid)'!B58+'Calculos (On Grid)'!B45+'Calculos (On Grid)'!B66+'Calculos (On Grid)'!B60</f>
        <v>0</v>
      </c>
      <c r="J15" s="786"/>
    </row>
    <row r="16" spans="2:14" ht="14.45" customHeight="1">
      <c r="B16" s="308"/>
      <c r="C16" s="778"/>
      <c r="D16" s="778"/>
      <c r="E16" s="782"/>
      <c r="F16" s="782"/>
      <c r="G16" s="1425" t="s">
        <v>153</v>
      </c>
      <c r="H16" s="1426"/>
      <c r="I16" s="798">
        <f>+'Calculos (On Grid)'!B59</f>
        <v>0</v>
      </c>
      <c r="J16" s="783"/>
    </row>
    <row r="17" spans="2:10" ht="15" customHeight="1" thickBot="1">
      <c r="B17" s="308"/>
      <c r="C17" s="778"/>
      <c r="D17" s="778"/>
      <c r="E17" s="309"/>
      <c r="F17" s="309"/>
      <c r="G17" s="1421" t="s">
        <v>112</v>
      </c>
      <c r="H17" s="1422"/>
      <c r="I17" s="799" t="e">
        <f>'Calculos (On Grid)'!B67</f>
        <v>#N/A</v>
      </c>
      <c r="J17" s="783"/>
    </row>
    <row r="18" spans="2:10" ht="15" thickBot="1">
      <c r="B18" s="787"/>
      <c r="C18" s="310"/>
      <c r="D18" s="310"/>
      <c r="E18" s="310"/>
      <c r="F18" s="310"/>
      <c r="G18" s="310"/>
      <c r="H18" s="310"/>
      <c r="I18" s="310"/>
      <c r="J18" s="311"/>
    </row>
  </sheetData>
  <mergeCells count="12">
    <mergeCell ref="C5:E5"/>
    <mergeCell ref="G17:H17"/>
    <mergeCell ref="G15:H15"/>
    <mergeCell ref="G16:H16"/>
    <mergeCell ref="C6:E6"/>
    <mergeCell ref="C7:E7"/>
    <mergeCell ref="C8:E8"/>
    <mergeCell ref="C9:E9"/>
    <mergeCell ref="C10:E10"/>
    <mergeCell ref="C11:E11"/>
    <mergeCell ref="C12:E12"/>
    <mergeCell ref="C13:E13"/>
  </mergeCells>
  <conditionalFormatting sqref="F3">
    <cfRule type="beginsWith" dxfId="3" priority="1" operator="beginsWith" text="Cumple">
      <formula>LEFT((F3),LEN("Cumple"))=("Cumple")</formula>
    </cfRule>
  </conditionalFormatting>
  <conditionalFormatting sqref="F3">
    <cfRule type="beginsWith" dxfId="2" priority="2" operator="beginsWith" text="No Cumple">
      <formula>LEFT((F3),LEN("No Cumple"))=("No Cumple")</formula>
    </cfRule>
  </conditionalFormatting>
  <pageMargins left="0.7" right="0.7" top="0.75" bottom="0.75" header="0.3" footer="0.3"/>
  <pageSetup orientation="portrait" horizontalDpi="4294967292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IrMenu">
                <anchor moveWithCells="1" sizeWithCells="1">
                  <from>
                    <xdr:col>2</xdr:col>
                    <xdr:colOff>0</xdr:colOff>
                    <xdr:row>2</xdr:row>
                    <xdr:rowOff>9525</xdr:rowOff>
                  </from>
                  <to>
                    <xdr:col>3</xdr:col>
                    <xdr:colOff>638175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FBEF6-EA0B-4323-AD9E-D296CB0C0C2C}">
  <sheetPr codeName="Hoja18"/>
  <dimension ref="B1:L22"/>
  <sheetViews>
    <sheetView topLeftCell="A4" zoomScale="82" zoomScaleNormal="82" workbookViewId="0">
      <selection activeCell="L12" sqref="L12"/>
    </sheetView>
  </sheetViews>
  <sheetFormatPr baseColWidth="10" defaultRowHeight="14.25"/>
  <cols>
    <col min="3" max="3" width="25.5" bestFit="1" customWidth="1"/>
    <col min="4" max="4" width="14.5" bestFit="1" customWidth="1"/>
    <col min="6" max="6" width="14.375" customWidth="1"/>
    <col min="7" max="7" width="40.5" customWidth="1"/>
    <col min="8" max="8" width="14.5" customWidth="1"/>
    <col min="9" max="9" width="14.5" bestFit="1" customWidth="1"/>
  </cols>
  <sheetData>
    <row r="1" spans="2:12" ht="15" thickBot="1"/>
    <row r="2" spans="2:12" ht="15">
      <c r="B2" s="131"/>
      <c r="C2" s="132"/>
      <c r="D2" s="132"/>
      <c r="E2" s="132"/>
      <c r="F2" s="132"/>
      <c r="G2" s="132"/>
      <c r="H2" s="132"/>
      <c r="I2" s="133"/>
    </row>
    <row r="3" spans="2:12" ht="21">
      <c r="B3" s="134"/>
      <c r="C3" s="245" t="s">
        <v>119</v>
      </c>
      <c r="D3" s="84"/>
      <c r="E3" s="84"/>
      <c r="F3" s="84"/>
      <c r="G3" s="9" t="s">
        <v>121</v>
      </c>
      <c r="H3" s="10" t="e">
        <f>IF(VLOOKUP('Datos de Entrada (On Grid)'!G20,'Datos Equipos'!B16:M24,11,FALSE)*H6&lt;='Datos de Entrada (On Grid)'!#REF!,"Cumple","No Cumple")</f>
        <v>#REF!</v>
      </c>
      <c r="I3" s="135"/>
    </row>
    <row r="4" spans="2:12" ht="15">
      <c r="B4" s="134"/>
      <c r="C4" s="84"/>
      <c r="D4" s="84"/>
      <c r="E4" s="84"/>
      <c r="F4" s="84"/>
      <c r="G4" s="84"/>
      <c r="H4" s="84"/>
      <c r="I4" s="135"/>
    </row>
    <row r="5" spans="2:12" ht="17.25">
      <c r="B5" s="134"/>
      <c r="C5" s="11" t="s">
        <v>136</v>
      </c>
      <c r="D5" s="11" t="s">
        <v>138</v>
      </c>
      <c r="E5" s="84"/>
      <c r="F5" s="271" t="s">
        <v>139</v>
      </c>
      <c r="G5" s="271" t="s">
        <v>140</v>
      </c>
      <c r="H5" s="271" t="s">
        <v>141</v>
      </c>
      <c r="I5" s="135"/>
    </row>
    <row r="6" spans="2:12" ht="63" customHeight="1">
      <c r="B6" s="134"/>
      <c r="C6" s="12" t="s">
        <v>142</v>
      </c>
      <c r="D6" s="10">
        <f>(SUM('Datos de Entrada (On Grid)'!D25:D36)/COUNTA('Datos de Entrada (On Grid)'!D25:D36))*12</f>
        <v>10200</v>
      </c>
      <c r="E6" s="84"/>
      <c r="F6" s="10"/>
      <c r="G6" s="275" t="str">
        <f>VLOOKUP('Datos de Entrada (On Grid)'!G20,'Datos Equipos'!B9:L24,2,FALSE)</f>
        <v>Panel solar Monocristalino  HalfCell (585W)</v>
      </c>
      <c r="H6" s="275">
        <f>+'Calculos (On Grid)'!B23</f>
        <v>14</v>
      </c>
      <c r="I6" s="246"/>
    </row>
    <row r="7" spans="2:12" ht="69.75" customHeight="1">
      <c r="B7" s="134"/>
      <c r="C7" s="12" t="s">
        <v>143</v>
      </c>
      <c r="D7" s="13">
        <f>+H6*'Calculos (On Grid)'!B10*'Calculos (On Grid)'!B9*'Calculos (On Grid)'!B8*'Calculos (On Grid)'!B7*'Calculos (On Grid)'!B5*365/1000</f>
        <v>10190.777236093543</v>
      </c>
      <c r="E7" s="84"/>
      <c r="F7" s="10"/>
      <c r="G7" s="275" t="str">
        <f>VLOOKUP('Datos de Entrada (On Grid)'!G22,'Datos Equipos'!B28:K77,2,FALSE)</f>
        <v>Inversor Híbrido 8 kW Split phase</v>
      </c>
      <c r="H7" s="275">
        <f>+'Calculos (On Grid)'!C26</f>
        <v>1</v>
      </c>
      <c r="I7" s="247"/>
      <c r="L7" s="1"/>
    </row>
    <row r="8" spans="2:12" ht="62.25" customHeight="1">
      <c r="B8" s="134"/>
      <c r="C8" s="12" t="s">
        <v>144</v>
      </c>
      <c r="D8" s="14">
        <f>D7/D6</f>
        <v>0.99909580746015125</v>
      </c>
      <c r="E8" s="84"/>
      <c r="F8" s="10"/>
      <c r="G8" s="275" t="str">
        <f>+'Datos de Entrada (On Grid)'!G23</f>
        <v>Batería Litio US5000 48V Pylontech</v>
      </c>
      <c r="H8" s="275" t="e">
        <f>+'Calculos (On Grid)'!B13</f>
        <v>#N/A</v>
      </c>
      <c r="I8" s="135"/>
      <c r="L8" s="226"/>
    </row>
    <row r="9" spans="2:12" ht="57.75" customHeight="1">
      <c r="B9" s="134"/>
      <c r="C9" s="12" t="s">
        <v>145</v>
      </c>
      <c r="D9" s="10">
        <f>+H6*2*1.2</f>
        <v>33.6</v>
      </c>
      <c r="E9" s="84"/>
      <c r="F9" s="2"/>
      <c r="G9" s="275" t="s">
        <v>149</v>
      </c>
      <c r="H9" s="275">
        <v>1</v>
      </c>
      <c r="I9" s="135"/>
      <c r="L9" s="227"/>
    </row>
    <row r="10" spans="2:12" ht="51" customHeight="1">
      <c r="B10" s="134"/>
      <c r="C10" s="12" t="s">
        <v>146</v>
      </c>
      <c r="D10" s="195">
        <f>'Datos de Entrada (On Grid)'!D22*D6</f>
        <v>11551377.600000001</v>
      </c>
      <c r="E10" s="84"/>
      <c r="F10" s="2"/>
      <c r="G10" s="275" t="s">
        <v>150</v>
      </c>
      <c r="H10" s="275">
        <v>1</v>
      </c>
      <c r="I10" s="135"/>
      <c r="L10" s="1"/>
    </row>
    <row r="11" spans="2:12" ht="53.25" customHeight="1">
      <c r="B11" s="134"/>
      <c r="C11" s="228" t="s">
        <v>147</v>
      </c>
      <c r="D11" s="229">
        <f>D7*'Datos de Entrada (On Grid)'!D22</f>
        <v>11540932.930549106</v>
      </c>
      <c r="E11" s="84"/>
      <c r="F11" s="2"/>
      <c r="G11" s="275" t="s">
        <v>151</v>
      </c>
      <c r="H11" s="275">
        <v>1</v>
      </c>
      <c r="I11" s="135"/>
      <c r="L11" s="1"/>
    </row>
    <row r="12" spans="2:12" ht="39.75" customHeight="1">
      <c r="B12" s="134"/>
      <c r="C12" s="230" t="s">
        <v>148</v>
      </c>
      <c r="D12" s="231">
        <f>D11/D10</f>
        <v>0.99909580746015125</v>
      </c>
      <c r="E12" s="84"/>
      <c r="F12" s="2"/>
      <c r="G12" s="275" t="s">
        <v>152</v>
      </c>
      <c r="H12" s="275">
        <v>1</v>
      </c>
      <c r="I12" s="247"/>
      <c r="L12" s="1"/>
    </row>
    <row r="13" spans="2:12" ht="15.75">
      <c r="B13" s="134"/>
      <c r="C13" s="232" t="s">
        <v>824</v>
      </c>
      <c r="D13" s="230">
        <f>0.000707*D7</f>
        <v>7.204879505918135</v>
      </c>
      <c r="E13" s="84"/>
      <c r="F13" s="84"/>
      <c r="G13" s="272" t="s">
        <v>916</v>
      </c>
      <c r="H13" s="194" t="e">
        <f>+'Calculos (On Grid)'!D94+'Calculos (On Grid)'!F95</f>
        <v>#N/A</v>
      </c>
      <c r="I13" s="247"/>
      <c r="L13" s="227"/>
    </row>
    <row r="14" spans="2:12" ht="15.75">
      <c r="B14" s="134"/>
      <c r="C14" s="84"/>
      <c r="D14" s="230"/>
      <c r="E14" s="84"/>
      <c r="F14" s="84"/>
      <c r="G14" s="273" t="s">
        <v>153</v>
      </c>
      <c r="H14" s="244" t="e">
        <f>+'Calculos (On Grid)'!E94</f>
        <v>#N/A</v>
      </c>
      <c r="I14" s="248"/>
    </row>
    <row r="15" spans="2:12" ht="15.75">
      <c r="B15" s="134"/>
      <c r="C15" s="84"/>
      <c r="D15" s="84"/>
      <c r="E15" s="84"/>
      <c r="F15" s="84"/>
      <c r="G15" s="274" t="s">
        <v>112</v>
      </c>
      <c r="H15" s="254" t="e">
        <f>+'Calculos (On Grid)'!F96</f>
        <v>#N/A</v>
      </c>
      <c r="I15" s="249"/>
    </row>
    <row r="16" spans="2:12" ht="15">
      <c r="B16" s="134"/>
      <c r="C16" s="84"/>
      <c r="D16" s="84"/>
      <c r="E16" s="84"/>
      <c r="F16" s="84"/>
      <c r="G16" s="136"/>
      <c r="H16" s="136"/>
      <c r="I16" s="250"/>
    </row>
    <row r="17" spans="2:9" ht="15">
      <c r="B17" s="134"/>
      <c r="C17" s="84"/>
      <c r="D17" s="84"/>
      <c r="E17" s="84"/>
      <c r="F17" s="8"/>
      <c r="G17" s="136"/>
      <c r="H17" s="136"/>
      <c r="I17" s="135"/>
    </row>
    <row r="18" spans="2:9" ht="15">
      <c r="B18" s="134"/>
      <c r="C18" s="84"/>
      <c r="D18" s="84"/>
      <c r="E18" s="84"/>
      <c r="F18" s="136"/>
      <c r="G18" s="136"/>
      <c r="H18" s="136"/>
      <c r="I18" s="135"/>
    </row>
    <row r="19" spans="2:9" ht="15">
      <c r="B19" s="134"/>
      <c r="C19" s="84"/>
      <c r="D19" s="84"/>
      <c r="E19" s="84"/>
      <c r="F19" s="136"/>
      <c r="G19" s="136"/>
      <c r="H19" s="136"/>
      <c r="I19" s="135"/>
    </row>
    <row r="20" spans="2:9" ht="15">
      <c r="B20" s="134"/>
      <c r="C20" s="84"/>
      <c r="D20" s="84"/>
      <c r="E20" s="84"/>
      <c r="F20" s="136"/>
      <c r="G20" s="136"/>
      <c r="H20" s="136"/>
      <c r="I20" s="135"/>
    </row>
    <row r="21" spans="2:9" ht="15">
      <c r="B21" s="134"/>
      <c r="C21" s="8"/>
      <c r="D21" s="8"/>
      <c r="E21" s="8"/>
      <c r="F21" s="136"/>
      <c r="G21" s="136"/>
      <c r="H21" s="136"/>
      <c r="I21" s="135"/>
    </row>
    <row r="22" spans="2:9" ht="15" thickBot="1">
      <c r="B22" s="251"/>
      <c r="C22" s="252"/>
      <c r="D22" s="252"/>
      <c r="E22" s="252"/>
      <c r="F22" s="252"/>
      <c r="G22" s="252"/>
      <c r="H22" s="252"/>
      <c r="I22" s="253"/>
    </row>
  </sheetData>
  <conditionalFormatting sqref="H3">
    <cfRule type="beginsWith" dxfId="1" priority="1" operator="beginsWith" text="Cumple">
      <formula>LEFT((H3),LEN("Cumple"))=("Cumple")</formula>
    </cfRule>
  </conditionalFormatting>
  <conditionalFormatting sqref="H3">
    <cfRule type="beginsWith" dxfId="0" priority="2" operator="beginsWith" text="No Cumple">
      <formula>LEFT((H3),LEN("No Cumple"))=("No Cumple")</formula>
    </cfRule>
  </conditionalFormatting>
  <pageMargins left="0.7" right="0.7" top="0.75" bottom="0.75" header="0.3" footer="0.3"/>
  <pageSetup orientation="portrait" horizontalDpi="4294967292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IrMenu">
                <anchor moveWithCells="1" sizeWithCells="1">
                  <from>
                    <xdr:col>10</xdr:col>
                    <xdr:colOff>457200</xdr:colOff>
                    <xdr:row>1</xdr:row>
                    <xdr:rowOff>114300</xdr:rowOff>
                  </from>
                  <to>
                    <xdr:col>12</xdr:col>
                    <xdr:colOff>581025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F23CD8F-115B-47C1-A03B-29E09421AC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27</vt:i4>
      </vt:variant>
      <vt:variant>
        <vt:lpstr>Rangos con nombre</vt:lpstr>
      </vt:variant>
      <vt:variant>
        <vt:i4>1</vt:i4>
      </vt:variant>
    </vt:vector>
  </HeadingPairs>
  <TitlesOfParts>
    <vt:vector size="28" baseType="lpstr">
      <vt:lpstr>Datos de Entrada (On Grid)</vt:lpstr>
      <vt:lpstr>Datos de entrada (Off grid)</vt:lpstr>
      <vt:lpstr>Referencias</vt:lpstr>
      <vt:lpstr>Precios Meico</vt:lpstr>
      <vt:lpstr>Calculos (On Grid)</vt:lpstr>
      <vt:lpstr>Calculos (Off Grid)</vt:lpstr>
      <vt:lpstr>Precios E&amp;M</vt:lpstr>
      <vt:lpstr>Historico costos proyectos</vt:lpstr>
      <vt:lpstr>Hoja1</vt:lpstr>
      <vt:lpstr>Mejoras Simón</vt:lpstr>
      <vt:lpstr>Datos Equipos</vt:lpstr>
      <vt:lpstr>PPA Calculos</vt:lpstr>
      <vt:lpstr>PPA inversionista</vt:lpstr>
      <vt:lpstr>Datos de Salida (On grid)</vt:lpstr>
      <vt:lpstr>PPA Datos Salida</vt:lpstr>
      <vt:lpstr>Precios</vt:lpstr>
      <vt:lpstr>PPA Flujo de Caja Cliente</vt:lpstr>
      <vt:lpstr>PPA Formulario INELCO</vt:lpstr>
      <vt:lpstr>PPA Modalidades</vt:lpstr>
      <vt:lpstr>Datos de salida (Off Grid)</vt:lpstr>
      <vt:lpstr>Historico de Cotizaciones</vt:lpstr>
      <vt:lpstr>Graficas</vt:lpstr>
      <vt:lpstr>Contrato</vt:lpstr>
      <vt:lpstr>Flujo de caja</vt:lpstr>
      <vt:lpstr>Var. Financieras</vt:lpstr>
      <vt:lpstr>Salida UPME</vt:lpstr>
      <vt:lpstr>Datos de Salida (Híbrido)</vt:lpstr>
      <vt:lpstr>'PPA Formulario INELCO'!Área_de_impresión</vt:lpstr>
    </vt:vector>
  </TitlesOfParts>
  <Manager>Simón García Orrego</Manager>
  <Company>MUNDO SOS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Cotizador Sistemas Solares MUNDO SOS</dc:title>
  <dc:creator>Hugo Gómez</dc:creator>
  <cp:lastModifiedBy>ingenieria3</cp:lastModifiedBy>
  <cp:lastPrinted>2022-02-16T22:29:18Z</cp:lastPrinted>
  <dcterms:created xsi:type="dcterms:W3CDTF">2020-02-10T21:40:50Z</dcterms:created>
  <dcterms:modified xsi:type="dcterms:W3CDTF">2025-11-13T02:54:39Z</dcterms:modified>
</cp:coreProperties>
</file>