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dmin\Desktop\AGH\SOiE\proj1\"/>
    </mc:Choice>
  </mc:AlternateContent>
  <xr:revisionPtr revIDLastSave="0" documentId="13_ncr:1_{9715D62C-43C2-43E7-9F01-B8051A0D364D}" xr6:coauthVersionLast="47" xr6:coauthVersionMax="47" xr10:uidLastSave="{00000000-0000-0000-0000-000000000000}"/>
  <bookViews>
    <workbookView xWindow="-120" yWindow="-120" windowWidth="29040" windowHeight="15840" xr2:uid="{A3826BF4-A497-49A9-B033-E7F27608D3C4}"/>
  </bookViews>
  <sheets>
    <sheet name="Dane" sheetId="1" r:id="rId1"/>
    <sheet name="Część zasadnicza" sheetId="2" r:id="rId2"/>
  </sheets>
  <definedNames>
    <definedName name="_xlchart.v1.0" hidden="1">'Część zasadnicza'!$B$5:$B$20</definedName>
    <definedName name="_xlchart.v1.1" hidden="1">'Część zasadnicza'!$C$5:$C$20</definedName>
    <definedName name="_xlchart.v1.2" hidden="1">'Część zasadnicza'!$C$5:$C$20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7" i="2" l="1"/>
  <c r="G98" i="2"/>
  <c r="G99" i="2"/>
  <c r="G100" i="2"/>
  <c r="G101" i="2"/>
  <c r="G102" i="2"/>
  <c r="G103" i="2"/>
  <c r="G104" i="2"/>
  <c r="G96" i="2"/>
  <c r="F97" i="2"/>
  <c r="F98" i="2"/>
  <c r="F99" i="2"/>
  <c r="F100" i="2"/>
  <c r="F101" i="2"/>
  <c r="F102" i="2"/>
  <c r="F103" i="2"/>
  <c r="F104" i="2"/>
  <c r="F96" i="2"/>
  <c r="H78" i="2"/>
  <c r="H79" i="2" s="1"/>
  <c r="H80" i="2" s="1"/>
  <c r="H81" i="2" s="1"/>
  <c r="D78" i="2"/>
  <c r="D79" i="2" s="1"/>
  <c r="D80" i="2" s="1"/>
  <c r="D81" i="2" s="1"/>
  <c r="R6" i="2"/>
  <c r="R7" i="2"/>
  <c r="R8" i="2"/>
  <c r="R9" i="2"/>
  <c r="R10" i="2"/>
  <c r="R11" i="2"/>
  <c r="R12" i="2"/>
  <c r="R13" i="2"/>
  <c r="R14" i="2"/>
  <c r="R15" i="2"/>
  <c r="R16" i="2"/>
  <c r="R17" i="2"/>
  <c r="R18" i="2"/>
  <c r="R19" i="2"/>
  <c r="R20" i="2"/>
  <c r="R5" i="2"/>
  <c r="L6" i="2"/>
  <c r="L7" i="2"/>
  <c r="L8" i="2"/>
  <c r="L9" i="2"/>
  <c r="L10" i="2"/>
  <c r="L11" i="2"/>
  <c r="L12" i="2"/>
  <c r="L13" i="2"/>
  <c r="L14" i="2"/>
  <c r="L15" i="2"/>
  <c r="L16" i="2"/>
  <c r="L17" i="2"/>
  <c r="L18" i="2"/>
  <c r="L19" i="2"/>
  <c r="L20" i="2"/>
  <c r="L5" i="2"/>
  <c r="K6" i="2"/>
  <c r="K7" i="2"/>
  <c r="K8" i="2"/>
  <c r="K9" i="2"/>
  <c r="K10" i="2"/>
  <c r="K11" i="2"/>
  <c r="K12" i="2"/>
  <c r="K13" i="2"/>
  <c r="K14" i="2"/>
  <c r="K15" i="2"/>
  <c r="K16" i="2"/>
  <c r="K17" i="2"/>
  <c r="K18" i="2"/>
  <c r="K19" i="2"/>
  <c r="K20" i="2"/>
  <c r="K5" i="2"/>
  <c r="F52" i="2"/>
  <c r="B52" i="2"/>
  <c r="C46" i="2"/>
  <c r="C48" i="2" s="1"/>
  <c r="R21" i="2" l="1"/>
  <c r="B41" i="2" s="1"/>
  <c r="B65" i="2"/>
  <c r="L21" i="2"/>
  <c r="K21" i="2"/>
  <c r="B63" i="2"/>
  <c r="D98" i="2" s="1"/>
  <c r="B62" i="2"/>
  <c r="D97" i="2" s="1"/>
  <c r="E52" i="2"/>
  <c r="C52" i="2"/>
  <c r="B53" i="2" s="1"/>
  <c r="B64" i="2" s="1"/>
  <c r="D99" i="2" s="1"/>
  <c r="D48" i="2"/>
  <c r="I52" i="2" s="1"/>
  <c r="G29" i="2"/>
  <c r="C99" i="2" s="1"/>
  <c r="G28" i="2"/>
  <c r="C98" i="2" s="1"/>
  <c r="B29" i="2"/>
  <c r="B99" i="2" s="1"/>
  <c r="B28" i="2"/>
  <c r="B98" i="2" s="1"/>
  <c r="N29" i="2"/>
  <c r="N28" i="2"/>
  <c r="B26" i="2"/>
  <c r="B96" i="2" s="1"/>
  <c r="G26" i="2"/>
  <c r="C96" i="2" s="1"/>
  <c r="G27" i="2"/>
  <c r="C97" i="2" s="1"/>
  <c r="B27" i="2"/>
  <c r="B97" i="2" s="1"/>
  <c r="G37" i="2" l="1"/>
  <c r="B37" i="2"/>
  <c r="K52" i="2"/>
  <c r="J52" i="2"/>
  <c r="C53" i="2"/>
  <c r="B54" i="2" s="1"/>
  <c r="E53" i="2"/>
  <c r="G52" i="2"/>
  <c r="F53" i="2" s="1"/>
  <c r="G65" i="2" s="1"/>
  <c r="D7" i="2"/>
  <c r="H7" i="2" s="1"/>
  <c r="J16" i="2"/>
  <c r="F5" i="2"/>
  <c r="F16" i="2"/>
  <c r="J18" i="2"/>
  <c r="F18" i="2"/>
  <c r="F7" i="2"/>
  <c r="F9" i="2"/>
  <c r="F14" i="2"/>
  <c r="J17" i="2"/>
  <c r="F17" i="2"/>
  <c r="J6" i="2"/>
  <c r="F20" i="2"/>
  <c r="F8" i="2"/>
  <c r="D5" i="2"/>
  <c r="J7" i="2"/>
  <c r="J19" i="2"/>
  <c r="F6" i="2"/>
  <c r="F19" i="2"/>
  <c r="J8" i="2"/>
  <c r="J20" i="2"/>
  <c r="F10" i="2"/>
  <c r="J9" i="2"/>
  <c r="J5" i="2"/>
  <c r="F11" i="2"/>
  <c r="F12" i="2"/>
  <c r="J14" i="2"/>
  <c r="F15" i="2"/>
  <c r="J10" i="2"/>
  <c r="D10" i="2"/>
  <c r="J11" i="2"/>
  <c r="D6" i="2"/>
  <c r="J13" i="2"/>
  <c r="F13" i="2"/>
  <c r="J12" i="2"/>
  <c r="J15" i="2"/>
  <c r="G18" i="2"/>
  <c r="G5" i="2"/>
  <c r="E11" i="2"/>
  <c r="I11" i="2" s="1"/>
  <c r="G13" i="2"/>
  <c r="G19" i="2"/>
  <c r="G17" i="2"/>
  <c r="G6" i="2"/>
  <c r="G20" i="2"/>
  <c r="G8" i="2"/>
  <c r="G14" i="2"/>
  <c r="G15" i="2"/>
  <c r="G7" i="2"/>
  <c r="G9" i="2"/>
  <c r="G10" i="2"/>
  <c r="G11" i="2"/>
  <c r="G12" i="2"/>
  <c r="G16" i="2"/>
  <c r="E13" i="2"/>
  <c r="I13" i="2" s="1"/>
  <c r="E20" i="2"/>
  <c r="I20" i="2" s="1"/>
  <c r="E12" i="2"/>
  <c r="I12" i="2" s="1"/>
  <c r="E10" i="2"/>
  <c r="I10" i="2" s="1"/>
  <c r="E9" i="2"/>
  <c r="I9" i="2" s="1"/>
  <c r="E8" i="2"/>
  <c r="I8" i="2" s="1"/>
  <c r="E7" i="2"/>
  <c r="I7" i="2" s="1"/>
  <c r="E6" i="2"/>
  <c r="I6" i="2" s="1"/>
  <c r="E16" i="2"/>
  <c r="I16" i="2" s="1"/>
  <c r="E5" i="2"/>
  <c r="I5" i="2" s="1"/>
  <c r="E19" i="2"/>
  <c r="I19" i="2" s="1"/>
  <c r="E18" i="2"/>
  <c r="I18" i="2" s="1"/>
  <c r="E15" i="2"/>
  <c r="I15" i="2" s="1"/>
  <c r="E17" i="2"/>
  <c r="I17" i="2" s="1"/>
  <c r="E14" i="2"/>
  <c r="I14" i="2" s="1"/>
  <c r="D17" i="2"/>
  <c r="D15" i="2"/>
  <c r="D18" i="2"/>
  <c r="D14" i="2"/>
  <c r="D12" i="2"/>
  <c r="D11" i="2"/>
  <c r="D9" i="2"/>
  <c r="D16" i="2"/>
  <c r="D13" i="2"/>
  <c r="D20" i="2"/>
  <c r="D8" i="2"/>
  <c r="D19" i="2"/>
  <c r="J53" i="2" l="1"/>
  <c r="G62" i="2"/>
  <c r="E97" i="2" s="1"/>
  <c r="G63" i="2"/>
  <c r="E98" i="2" s="1"/>
  <c r="G53" i="2"/>
  <c r="F54" i="2" s="1"/>
  <c r="G64" i="2" s="1"/>
  <c r="E99" i="2" s="1"/>
  <c r="I53" i="2"/>
  <c r="C54" i="2"/>
  <c r="B55" i="2" s="1"/>
  <c r="E54" i="2"/>
  <c r="J21" i="2"/>
  <c r="B40" i="2" s="1"/>
  <c r="H15" i="2"/>
  <c r="F21" i="2"/>
  <c r="H16" i="2"/>
  <c r="H8" i="2"/>
  <c r="H20" i="2"/>
  <c r="H13" i="2"/>
  <c r="H10" i="2"/>
  <c r="H11" i="2"/>
  <c r="H6" i="2"/>
  <c r="I21" i="2"/>
  <c r="H17" i="2"/>
  <c r="H5" i="2"/>
  <c r="H12" i="2"/>
  <c r="H14" i="2"/>
  <c r="H9" i="2"/>
  <c r="H19" i="2"/>
  <c r="H18" i="2"/>
  <c r="E21" i="2"/>
  <c r="G31" i="2" s="1"/>
  <c r="D21" i="2"/>
  <c r="B31" i="2" s="1"/>
  <c r="B32" i="2" l="1"/>
  <c r="B101" i="2" s="1"/>
  <c r="B100" i="2"/>
  <c r="G32" i="2"/>
  <c r="C100" i="2"/>
  <c r="K53" i="2"/>
  <c r="J54" i="2"/>
  <c r="C55" i="2"/>
  <c r="E55" i="2"/>
  <c r="G54" i="2"/>
  <c r="I54" i="2"/>
  <c r="G36" i="2"/>
  <c r="C104" i="2" s="1"/>
  <c r="B33" i="2"/>
  <c r="B102" i="2" s="1"/>
  <c r="B35" i="2"/>
  <c r="B103" i="2" s="1"/>
  <c r="G21" i="2"/>
  <c r="H21" i="2"/>
  <c r="G33" i="2" l="1"/>
  <c r="C102" i="2" s="1"/>
  <c r="C101" i="2"/>
  <c r="G35" i="2"/>
  <c r="C103" i="2" s="1"/>
  <c r="J55" i="2"/>
  <c r="J56" i="2" s="1"/>
  <c r="K54" i="2"/>
  <c r="F55" i="2"/>
  <c r="B36" i="2"/>
  <c r="B104" i="2" s="1"/>
  <c r="B61" i="2" l="1"/>
  <c r="D96" i="2" s="1"/>
  <c r="G55" i="2"/>
  <c r="I55" i="2"/>
  <c r="K55" i="2" l="1"/>
  <c r="K56" i="2" s="1"/>
  <c r="G61" i="2" s="1"/>
  <c r="P52" i="2"/>
  <c r="N52" i="2"/>
  <c r="L52" i="2"/>
  <c r="N53" i="2"/>
  <c r="L53" i="2"/>
  <c r="P53" i="2"/>
  <c r="P54" i="2"/>
  <c r="N54" i="2"/>
  <c r="L54" i="2"/>
  <c r="P55" i="2"/>
  <c r="N55" i="2"/>
  <c r="L55" i="2"/>
  <c r="Q55" i="2" l="1"/>
  <c r="E96" i="2"/>
  <c r="M55" i="2"/>
  <c r="O55" i="2"/>
  <c r="L56" i="2"/>
  <c r="B67" i="2" s="1"/>
  <c r="N56" i="2"/>
  <c r="P56" i="2"/>
  <c r="M52" i="2"/>
  <c r="Q52" i="2"/>
  <c r="O52" i="2"/>
  <c r="Q53" i="2"/>
  <c r="O53" i="2"/>
  <c r="M53" i="2"/>
  <c r="Q54" i="2"/>
  <c r="O54" i="2"/>
  <c r="M54" i="2"/>
  <c r="B68" i="2" l="1"/>
  <c r="D100" i="2"/>
  <c r="B72" i="2"/>
  <c r="D104" i="2" s="1"/>
  <c r="B71" i="2"/>
  <c r="D103" i="2" s="1"/>
  <c r="M56" i="2"/>
  <c r="G67" i="2" s="1"/>
  <c r="O56" i="2"/>
  <c r="Q56" i="2"/>
  <c r="G68" i="2" l="1"/>
  <c r="E100" i="2"/>
  <c r="B69" i="2"/>
  <c r="D102" i="2" s="1"/>
  <c r="D101" i="2"/>
  <c r="G72" i="2"/>
  <c r="E104" i="2" s="1"/>
  <c r="G71" i="2"/>
  <c r="E103" i="2" s="1"/>
  <c r="G69" i="2" l="1"/>
  <c r="E102" i="2" s="1"/>
  <c r="E101" i="2"/>
</calcChain>
</file>

<file path=xl/sharedStrings.xml><?xml version="1.0" encoding="utf-8"?>
<sst xmlns="http://schemas.openxmlformats.org/spreadsheetml/2006/main" count="261" uniqueCount="158">
  <si>
    <t>Kod</t>
  </si>
  <si>
    <t>Nazwa</t>
  </si>
  <si>
    <t>ogółem</t>
  </si>
  <si>
    <t>rynek pierwotny</t>
  </si>
  <si>
    <t>mieszkania</t>
  </si>
  <si>
    <t>2021</t>
  </si>
  <si>
    <t>[-]</t>
  </si>
  <si>
    <t>[zł]</t>
  </si>
  <si>
    <t>0200000</t>
  </si>
  <si>
    <t>DOLNOŚLĄSKIE</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</si>
  <si>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</si>
  <si>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</si>
  <si>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</si>
  <si>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</si>
  <si>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</si>
  <si>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</si>
  <si>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</si>
  <si>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</si>
  <si>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</si>
  <si>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</si>
  <si>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</si>
  <si>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</si>
  <si>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</si>
  <si>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</si>
  <si>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</si>
  <si>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</si>
  <si>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</si>
  <si>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</si>
  <si>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</si>
  <si>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</si>
  <si>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</si>
  <si>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</si>
  <si>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</si>
  <si>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</si>
  <si>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</si>
  <si>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</si>
  <si>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</si>
  <si>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</si>
  <si>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</si>
  <si>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</si>
  <si>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x</t>
  </si>
  <si>
    <t>y</t>
  </si>
  <si>
    <t>1. Szereg prosty</t>
  </si>
  <si>
    <t>n</t>
  </si>
  <si>
    <t>Dane posortowane rosnąco</t>
  </si>
  <si>
    <t>Dane nieposortowane</t>
  </si>
  <si>
    <t>i</t>
  </si>
  <si>
    <t>xi</t>
  </si>
  <si>
    <t>yi</t>
  </si>
  <si>
    <t>(xi-xsr)^2</t>
  </si>
  <si>
    <t>(yi-ysr)^2</t>
  </si>
  <si>
    <t>(xi-xsr)^3</t>
  </si>
  <si>
    <t>(yi-ysr)^3</t>
  </si>
  <si>
    <t>(xi-xsr)^4</t>
  </si>
  <si>
    <t>(yi-ysr)^4</t>
  </si>
  <si>
    <t>(xi-xsr)*(yi-ysr)</t>
  </si>
  <si>
    <t>(2i-n-1)*xi</t>
  </si>
  <si>
    <t>(2i-n-1)*yi</t>
  </si>
  <si>
    <t>Rx</t>
  </si>
  <si>
    <t>Ry</t>
  </si>
  <si>
    <t>di^2</t>
  </si>
  <si>
    <t>sumy</t>
  </si>
  <si>
    <t>statystyka</t>
  </si>
  <si>
    <t>wartość (x)</t>
  </si>
  <si>
    <t>interpretacja dla x</t>
  </si>
  <si>
    <t>wartość (y)</t>
  </si>
  <si>
    <t>interpretacja dla y</t>
  </si>
  <si>
    <t>Miary położenia</t>
  </si>
  <si>
    <t>średnia</t>
  </si>
  <si>
    <t>średnio oddano do użytku 14668 mieszkań na województwo (w 2021 roku)</t>
  </si>
  <si>
    <t>1 mkw mieszkania kosztował w 2021 średnio 6222 zł w każdym województwie</t>
  </si>
  <si>
    <t>mediana</t>
  </si>
  <si>
    <t>w połowie województw oddano do użytku 10007 mieszkań lub mniej oraz w połowie oddano do użytku 10007 mieszkań lub więcej</t>
  </si>
  <si>
    <t>w 8 województwach (50%) średnia cena za 1 mkw. mieszkania wyniosła w 2021 roku 5925,50 zł lub mniej oraz w 8 województwach 5925,50 zł lub więcej</t>
  </si>
  <si>
    <t>Q1</t>
  </si>
  <si>
    <t>w 25% województw oddano do użytku 5884 lub mniej mieszkań, a w 75% województw 5884 lub więcej mieszkań</t>
  </si>
  <si>
    <t>w 4 województwach (25%) średnia cena za 1 mkw. mieszkania wyniosła 5553 zł lub mniej, a w 12 województwach (75%) 5553 zł lub więcej</t>
  </si>
  <si>
    <t>pozycja Q1</t>
  </si>
  <si>
    <t>Q3</t>
  </si>
  <si>
    <t>w 75% województw oddano do użytku 21923 lub mniej mieszkań, a w 25% województw 21923 lub więcej mieszkań</t>
  </si>
  <si>
    <t>w 12 województwach (75%) średnia cena za 1 mkw. mieszkania wyniosła 7118 zł lub mniej, a w 4 województwach (25%) 7118 zł lub więcej</t>
  </si>
  <si>
    <t>pozycja Q3</t>
  </si>
  <si>
    <t>Miary dyspersji</t>
  </si>
  <si>
    <t>wariancja</t>
  </si>
  <si>
    <t>odch. std</t>
  </si>
  <si>
    <t>WZ</t>
  </si>
  <si>
    <t>duża zmienność</t>
  </si>
  <si>
    <t>mała zmienność</t>
  </si>
  <si>
    <t>Miary asymetrii i koncentracji</t>
  </si>
  <si>
    <t>Związki między zmiennymi</t>
  </si>
  <si>
    <t>wartość</t>
  </si>
  <si>
    <t>interpretacja</t>
  </si>
  <si>
    <t>rXY</t>
  </si>
  <si>
    <t>rS</t>
  </si>
  <si>
    <t>istnieje silna, dodatnia zależność monotoniczna między badanymi zmiennymi</t>
  </si>
  <si>
    <t>umiarkowana koncentracja liczby mieszkań oddanych do użytku między poszczególnymi województwami</t>
  </si>
  <si>
    <t>słaba koncentracja średniej ceny za mkw. Mieszkania między województwami</t>
  </si>
  <si>
    <t>2. Szereg rozdzielczy przedziałowy</t>
  </si>
  <si>
    <t>liczba przedziałów</t>
  </si>
  <si>
    <t>hx</t>
  </si>
  <si>
    <t>hy</t>
  </si>
  <si>
    <t>szerokość przedziału</t>
  </si>
  <si>
    <t>nxi</t>
  </si>
  <si>
    <t>xi'</t>
  </si>
  <si>
    <t>nyi</t>
  </si>
  <si>
    <t>yi'</t>
  </si>
  <si>
    <t>xi' * nxi</t>
  </si>
  <si>
    <t>yi' * nyi</t>
  </si>
  <si>
    <t>nxi * (xi'-xsr)^2</t>
  </si>
  <si>
    <t>nyi * (yi'-ysr)^2</t>
  </si>
  <si>
    <t>nxi * (xi'-xsr)^3</t>
  </si>
  <si>
    <t>nyi * (yi'-ysr)^3</t>
  </si>
  <si>
    <t>nxi * (xi'-xsr)^4</t>
  </si>
  <si>
    <t>nyi * (yi'-ysr)^4</t>
  </si>
  <si>
    <t>początek przedziału &lt;</t>
  </si>
  <si>
    <t>koniec przedziału )</t>
  </si>
  <si>
    <t>średnio oddano do użytku 14934 mieszkań na województwo (w 2021 roku)</t>
  </si>
  <si>
    <t>1 mkw mieszkania kosztował w 2021 średnio 6189,80 zł w każdym województwie</t>
  </si>
  <si>
    <t>w połowie województw oddano do użytku 11605 mieszkań lub mniej oraz w połowie oddano do użytku 11605 mieszkań lub więcej</t>
  </si>
  <si>
    <t>w 8 województwach (50%) średnia cena za 1 mkw. mieszkania wyniosła w 2021 roku 6024 zł lub mniej oraz w 8 województwach 6024 zł lub więcej</t>
  </si>
  <si>
    <t>w 25% województw oddano do użytku 7508 lub mniej mieszkań, a w 75% województw 7508 lub więcej mieszkań</t>
  </si>
  <si>
    <t>w 4 województwach (25%) średnia cena za 1 mkw. mieszkania wyniosła 5582 zł lub mniej, a w 12 województwach (75%) 5582 zł lub więcej</t>
  </si>
  <si>
    <t>w 75% województw oddano do użytku 20483 lub mniej mieszkań, a w 25% województw 20483 lub więcej mieszkań</t>
  </si>
  <si>
    <t>w 12 województwach (75%) średnia cena za 1 mkw. mieszkania wyniosła 6797 zł lub mniej, a w 4 województwach (25%) 6797 zł lub więcej</t>
  </si>
  <si>
    <t>D0</t>
  </si>
  <si>
    <t>odchylenie std</t>
  </si>
  <si>
    <t>Źródła danych:</t>
  </si>
  <si>
    <t>https://bdl.stat.gov.pl/bdl/metadane/cechy/3824?back=True</t>
  </si>
  <si>
    <t>https://bdl.stat.gov.pl/bdl/metadane/cechy/3788?back=True</t>
  </si>
  <si>
    <t>(2021, ogółem, mieszkania)</t>
  </si>
  <si>
    <t>(2021, rynek pierwotny, ogółem)</t>
  </si>
  <si>
    <t>x - liczba mieszkań oddanych do użytku w 2021 roku</t>
  </si>
  <si>
    <t>y - średnia cena za 1 metr kwadratowy lokalu mieszkalnego na rynku pierwotnym w 2021 roku</t>
  </si>
  <si>
    <t>wsp. asymetrii</t>
  </si>
  <si>
    <t>A &gt; 0, asymetria prawostronna</t>
  </si>
  <si>
    <t>kurtoza</t>
  </si>
  <si>
    <t>K &gt; 3, rozkład leptokurtyczny; silna koncentracja danych wokół średniej</t>
  </si>
  <si>
    <t>A &gt; 0, asymetria prawostronna (dosyć nieznaczna)</t>
  </si>
  <si>
    <t>K &lt; 3, rozkład platokurtyczny; słaba koncentracja danych wokół średniej</t>
  </si>
  <si>
    <t>K &gt; 3, rozkład leptokurtyczny (stosunkowo niedaleki od mezokurtycznego); dosyć silna koncentracja danych wokół średniej</t>
  </si>
  <si>
    <t>5873 zł to najczęściej występująca w poszczególnych województwach średnia cena za 1 mkw. mieszkania</t>
  </si>
  <si>
    <t>rangi</t>
  </si>
  <si>
    <t>Wykresy pudełkowe sugerują dosyć znaczącą asymetrię zmiennej x oraz bardzo niewielką zmiennej y, co znajduje odzwierciedlenie w wartościach współczynnika asymetrii</t>
  </si>
  <si>
    <t>indeks Giniego</t>
  </si>
  <si>
    <t>x - częstości skumulowane</t>
  </si>
  <si>
    <t>y - częstości skumulowane</t>
  </si>
  <si>
    <t>Histogramy sugerują znaczącą asymetrię prawostronną zmiennej x oraz umiarkowaną asymetrię prawostronną zmiennej y</t>
  </si>
  <si>
    <t>rXY &gt; 0 i |rXY| &gt; 0,9; istnieje bardzo silna, dodatnia zależność liniowa między badanymi zmiennymi, czyli wraz ze wzrostem liczby mieszkań oddanych do użytku w poszczególnych województwach rośnie też średnia cena za 1 mkw. lokalu mieszkalnego w tych regionach</t>
  </si>
  <si>
    <t>9436 to teoretycznie najczęściej występująca liczba mieszkań oddanych do użytku w poszczególnych województwach</t>
  </si>
  <si>
    <t>3. Podsumowanie</t>
  </si>
  <si>
    <t>Porównanie wybranych statystyk:</t>
  </si>
  <si>
    <t>szereg prosty</t>
  </si>
  <si>
    <t>szereg rozdz. przedziałowy</t>
  </si>
  <si>
    <t>błąd względny</t>
  </si>
  <si>
    <t>liczby mieszkań oddanych do użytku są średnio rozrzucone na odległość 9496 mieszkań wokół średniej</t>
  </si>
  <si>
    <t>średnie ceny za 1 mkw mieszkania są średnio rozrzucone na odległość 972,77 zł od średniej</t>
  </si>
  <si>
    <t>liczby mieszkań oddanych do użytku są średnio rozrzucone na odległość 10619 mieszkań wokół średniej</t>
  </si>
  <si>
    <t>średnie ceny za 1 mkw mieszkania są średnio rozrzucone na odległość 868,08 zł od średniej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</si>
</sst>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b/>
      <sz val="11"/>
      <color theme="1"/>
      <name val="Calibri"/>
      <family val="2"/>
      <charset val="238"/>
      <scheme val="minor"/>
    </font>
    <font>
      <sz val="11"/>
      <name val="Calibri"/>
      <family val="2"/>
      <charset val="238"/>
    </font>
    <font>
      <sz val="11"/>
      <color rgb="FF000000"/>
      <name val="Calibri"/>
      <family val="2"/>
      <charset val="238"/>
    </font>
    <font>
      <sz val="8"/>
      <name val="Calibri"/>
      <family val="2"/>
      <charset val="238"/>
      <scheme val="minor"/>
    </font>
    <font>
      <sz val="11"/>
      <color rgb="FF444444"/>
      <name val="Calibri"/>
      <family val="2"/>
      <charset val="1"/>
    </font>
    <font>
      <sz val="11"/>
      <color theme="1"/>
      <name val="Calibri"/>
      <family val="2"/>
      <charset val="238"/>
      <scheme val="minor"/>
    </font>
    <font>
      <u/>
      <sz val="11"/>
      <color theme="10"/>
      <name val="Calibri"/>
      <family val="2"/>
      <charset val="238"/>
      <scheme val="minor"/>
    </font>
  </fonts>
  <fills count="6">
    <fill>
      <patternFill patternType="none"/>
    </fill>
    <fill>
      <patternFill patternType="gray125"/>
    </fill>
    <fill>
      <patternFill patternType="solid">
        <fgColor rgb="FFD3D3D3"/>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style="thin">
        <color indexed="64"/>
      </right>
      <top/>
      <bottom/>
      <diagonal/>
    </border>
  </borders>
  <cellStyleXfs count="5">
    <xf numFmtId="0" fontId="0" fillId="0" borderId="0"/>
    <xf numFmtId="0" fontId="2" fillId="0" borderId="0"/>
    <xf numFmtId="0" fontId="3" fillId="2" borderId="1">
      <alignment horizontal="left" vertical="center" wrapText="1"/>
    </xf>
    <xf numFmtId="9" fontId="6" fillId="0" borderId="0" applyFont="0" applyFill="0" applyBorder="0" applyAlignment="0" applyProtection="0"/>
    <xf numFmtId="0" fontId="7" fillId="0" borderId="0" applyNumberFormat="0" applyFill="0" applyBorder="0" applyAlignment="0" applyProtection="0"/>
  </cellStyleXfs>
  <cellXfs count="75">
    <xf numFmtId="0" fontId="0" fillId="0" borderId="0" xfId="0"/>
    <xf numFmtId="0" fontId="3" fillId="2" borderId="1" xfId="2">
      <alignment horizontal="left" vertical="center" wrapText="1"/>
    </xf>
    <xf numFmtId="0" fontId="0" fillId="0" borderId="0" xfId="0" applyAlignment="1">
      <alignment horizontal="center"/>
    </xf>
    <xf numFmtId="0" fontId="2" fillId="0" borderId="0" xfId="1"/>
    <xf numFmtId="3" fontId="2" fillId="0" borderId="0" xfId="1" applyNumberFormat="1"/>
    <xf numFmtId="3" fontId="0" fillId="0" borderId="0" xfId="0" applyNumberFormat="1"/>
    <xf numFmtId="0" fontId="0" fillId="0" borderId="3" xfId="0" applyBorder="1"/>
    <xf numFmtId="0" fontId="0" fillId="0" borderId="3" xfId="0" applyBorder="1" applyAlignment="1">
      <alignment horizontal="center"/>
    </xf>
    <xf numFmtId="3" fontId="2" fillId="0" borderId="3" xfId="1" applyNumberFormat="1" applyBorder="1" applyAlignment="1">
      <alignment horizontal="center"/>
    </xf>
    <xf numFmtId="1" fontId="0" fillId="0" borderId="0" xfId="0" applyNumberFormat="1"/>
    <xf numFmtId="3" fontId="0" fillId="0" borderId="3" xfId="0" applyNumberFormat="1" applyBorder="1"/>
    <xf numFmtId="11" fontId="0" fillId="0" borderId="3" xfId="0" applyNumberFormat="1" applyBorder="1"/>
    <xf numFmtId="1" fontId="0" fillId="0" borderId="3" xfId="0" applyNumberFormat="1" applyBorder="1"/>
    <xf numFmtId="2" fontId="0" fillId="0" borderId="3" xfId="0" applyNumberFormat="1" applyBorder="1"/>
    <xf numFmtId="10" fontId="0" fillId="0" borderId="3" xfId="0" applyNumberFormat="1" applyBorder="1"/>
    <xf numFmtId="0" fontId="0" fillId="0" borderId="3" xfId="0" applyBorder="1" applyAlignment="1">
      <alignment horizontal="center" wrapText="1"/>
    </xf>
    <xf numFmtId="0" fontId="0" fillId="0" borderId="3" xfId="0" applyBorder="1" applyAlignment="1">
      <alignment wrapText="1"/>
    </xf>
    <xf numFmtId="0" fontId="0" fillId="0" borderId="0" xfId="0" applyAlignment="1">
      <alignment horizontal="left"/>
    </xf>
    <xf numFmtId="0" fontId="0" fillId="0" borderId="1" xfId="0" applyBorder="1"/>
    <xf numFmtId="3" fontId="2" fillId="0" borderId="1" xfId="1" applyNumberFormat="1" applyBorder="1"/>
    <xf numFmtId="0" fontId="1" fillId="0" borderId="0" xfId="0" applyFont="1" applyAlignment="1">
      <alignment horizontal="left"/>
    </xf>
    <xf numFmtId="0" fontId="0" fillId="0" borderId="5" xfId="0" applyBorder="1"/>
    <xf numFmtId="3" fontId="2" fillId="0" borderId="7" xfId="1" applyNumberFormat="1" applyBorder="1"/>
    <xf numFmtId="0" fontId="0" fillId="0" borderId="7" xfId="0" applyBorder="1"/>
    <xf numFmtId="11" fontId="0" fillId="0" borderId="0" xfId="0" applyNumberFormat="1"/>
    <xf numFmtId="3" fontId="2" fillId="4" borderId="3" xfId="1" applyNumberFormat="1" applyFill="1" applyBorder="1"/>
    <xf numFmtId="3" fontId="2" fillId="5" borderId="3" xfId="1" applyNumberFormat="1" applyFill="1" applyBorder="1"/>
    <xf numFmtId="0" fontId="0" fillId="3" borderId="3" xfId="0" applyFill="1" applyBorder="1"/>
    <xf numFmtId="3" fontId="2" fillId="3" borderId="3" xfId="1" applyNumberFormat="1" applyFill="1" applyBorder="1"/>
    <xf numFmtId="0" fontId="3" fillId="2" borderId="1" xfId="2">
      <alignment horizontal="left" vertical="center" wrapText="1"/>
    </xf>
    <xf numFmtId="0" fontId="0" fillId="0" borderId="3" xfId="0" applyBorder="1" applyAlignment="1">
      <alignment horizontal="center"/>
    </xf>
    <xf numFmtId="0" fontId="0" fillId="3" borderId="3" xfId="0" applyFill="1" applyBorder="1" applyAlignment="1">
      <alignment horizontal="center"/>
    </xf>
    <xf numFmtId="0" fontId="0" fillId="0" borderId="3" xfId="0" applyBorder="1" applyAlignment="1">
      <alignment horizontal="left"/>
    </xf>
    <xf numFmtId="0" fontId="0" fillId="0" borderId="0" xfId="0" applyAlignment="1">
      <alignment horizontal="left"/>
    </xf>
    <xf numFmtId="0" fontId="0" fillId="0" borderId="0" xfId="0" applyAlignment="1">
      <alignment horizontal="center"/>
    </xf>
    <xf numFmtId="0" fontId="0" fillId="0" borderId="4" xfId="0" applyBorder="1" applyAlignment="1">
      <alignment horizontal="center"/>
    </xf>
    <xf numFmtId="1" fontId="0" fillId="0" borderId="3" xfId="0" applyNumberFormat="1" applyBorder="1" applyAlignment="1">
      <alignment horizontal="left"/>
    </xf>
    <xf numFmtId="3" fontId="2" fillId="5" borderId="3" xfId="1" applyNumberFormat="1" applyFill="1" applyBorder="1" applyAlignment="1">
      <alignment horizontal="left"/>
    </xf>
    <xf numFmtId="0" fontId="1" fillId="0" borderId="0" xfId="0" applyFont="1" applyAlignment="1">
      <alignment horizontal="left"/>
    </xf>
    <xf numFmtId="3" fontId="2" fillId="4" borderId="3" xfId="1" applyNumberFormat="1" applyFill="1" applyBorder="1" applyAlignment="1">
      <alignment horizontal="left"/>
    </xf>
    <xf numFmtId="0" fontId="2" fillId="0" borderId="0" xfId="1" applyFill="1"/>
    <xf numFmtId="0" fontId="2" fillId="0" borderId="0" xfId="1" applyFill="1" applyAlignment="1">
      <alignment horizontal="right"/>
    </xf>
    <xf numFmtId="0" fontId="7" fillId="0" borderId="0" xfId="4" applyAlignment="1">
      <alignment horizontal="left"/>
    </xf>
    <xf numFmtId="0" fontId="1" fillId="0" borderId="2" xfId="0" applyFont="1" applyBorder="1" applyAlignment="1">
      <alignment horizontal="center"/>
    </xf>
    <xf numFmtId="0" fontId="1" fillId="0" borderId="2" xfId="0" applyFont="1" applyBorder="1" applyAlignment="1">
      <alignment horizontal="center" wrapText="1"/>
    </xf>
    <xf numFmtId="3" fontId="2" fillId="0" borderId="0" xfId="1" applyNumberFormat="1" applyBorder="1"/>
    <xf numFmtId="11" fontId="0" fillId="0" borderId="0" xfId="0" applyNumberFormat="1" applyBorder="1"/>
    <xf numFmtId="0" fontId="0" fillId="0" borderId="8" xfId="0" applyBorder="1" applyAlignment="1">
      <alignment horizontal="center"/>
    </xf>
    <xf numFmtId="3" fontId="2" fillId="0" borderId="8" xfId="1" applyNumberFormat="1" applyBorder="1" applyAlignment="1">
      <alignment horizontal="center"/>
    </xf>
    <xf numFmtId="3" fontId="0" fillId="0" borderId="8" xfId="0" applyNumberFormat="1" applyBorder="1"/>
    <xf numFmtId="11" fontId="0" fillId="0" borderId="8" xfId="0" applyNumberFormat="1" applyBorder="1"/>
    <xf numFmtId="0" fontId="0" fillId="0" borderId="8" xfId="0" applyBorder="1"/>
    <xf numFmtId="3" fontId="2" fillId="0" borderId="9" xfId="1" applyNumberFormat="1" applyBorder="1"/>
    <xf numFmtId="0" fontId="0" fillId="0" borderId="9" xfId="0" applyBorder="1"/>
    <xf numFmtId="3" fontId="2" fillId="5" borderId="3" xfId="1" applyNumberFormat="1" applyFill="1" applyBorder="1" applyAlignment="1">
      <alignment horizontal="center"/>
    </xf>
    <xf numFmtId="3" fontId="2" fillId="3" borderId="3" xfId="1" applyNumberFormat="1" applyFill="1" applyBorder="1" applyAlignment="1">
      <alignment horizontal="center"/>
    </xf>
    <xf numFmtId="1" fontId="0" fillId="0" borderId="3" xfId="0" applyNumberFormat="1" applyBorder="1" applyAlignment="1">
      <alignment horizontal="left" wrapText="1"/>
    </xf>
    <xf numFmtId="0" fontId="0" fillId="0" borderId="3" xfId="0" applyBorder="1" applyAlignment="1">
      <alignment horizontal="left" wrapText="1"/>
    </xf>
    <xf numFmtId="1" fontId="5" fillId="0" borderId="3" xfId="0" applyNumberFormat="1" applyFont="1" applyBorder="1" applyAlignment="1">
      <alignment horizontal="left" wrapText="1"/>
    </xf>
    <xf numFmtId="0" fontId="0" fillId="0" borderId="3" xfId="0" applyBorder="1" applyAlignment="1">
      <alignment horizontal="center" wrapText="1"/>
    </xf>
    <xf numFmtId="0" fontId="0" fillId="0" borderId="10" xfId="0" applyBorder="1" applyAlignment="1">
      <alignment horizontal="right"/>
    </xf>
    <xf numFmtId="0" fontId="0" fillId="0" borderId="10" xfId="0" applyBorder="1"/>
    <xf numFmtId="1" fontId="0" fillId="0" borderId="8" xfId="0" applyNumberFormat="1" applyBorder="1"/>
    <xf numFmtId="3" fontId="0" fillId="0" borderId="10" xfId="0" applyNumberFormat="1" applyBorder="1"/>
    <xf numFmtId="11" fontId="0" fillId="0" borderId="10" xfId="0" applyNumberFormat="1" applyBorder="1"/>
    <xf numFmtId="0" fontId="0" fillId="0" borderId="11" xfId="0" applyBorder="1"/>
    <xf numFmtId="0" fontId="0" fillId="0" borderId="0" xfId="0" applyAlignment="1">
      <alignment horizontal="left" wrapText="1"/>
    </xf>
    <xf numFmtId="0" fontId="0" fillId="0" borderId="3" xfId="0" applyBorder="1" applyAlignment="1">
      <alignment wrapText="1"/>
    </xf>
    <xf numFmtId="0" fontId="0" fillId="0" borderId="0" xfId="0" applyFont="1" applyAlignment="1">
      <alignment horizontal="left"/>
    </xf>
    <xf numFmtId="9" fontId="0" fillId="0" borderId="3" xfId="3" applyFont="1" applyBorder="1"/>
    <xf numFmtId="2" fontId="0" fillId="0" borderId="10" xfId="0" applyNumberFormat="1" applyBorder="1"/>
    <xf numFmtId="0" fontId="0" fillId="0" borderId="0" xfId="0"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xf>
    <xf numFmtId="0" fontId="0" fillId="0" borderId="10" xfId="0" applyBorder="1" applyAlignment="1">
      <alignment horizontal="center"/>
    </xf>
  </cellXfs>
  <cellStyles count="5">
    <cellStyle name="Hiperłącze" xfId="4" builtinId="8"/>
    <cellStyle name="Kolumna" xfId="2" xr:uid="{DD802FAD-B670-4333-9B70-1A8A26F82F22}"/>
    <cellStyle name="Normalny" xfId="0" builtinId="0"/>
    <cellStyle name="Normalny 2" xfId="1" xr:uid="{983BCCBE-4A6A-4F5C-AF2D-95181F62C1B1}"/>
    <cellStyle name="Procentowy"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Dane!$C$28</c:f>
              <c:strCache>
                <c:ptCount val="1"/>
                <c:pt idx="0">
                  <c:v>x</c:v>
                </c:pt>
              </c:strCache>
            </c:strRef>
          </c:tx>
          <c:spPr>
            <a:solidFill>
              <a:schemeClr val="accent1"/>
            </a:solidFill>
            <a:ln>
              <a:noFill/>
            </a:ln>
            <a:effectLst/>
          </c:spPr>
          <c:invertIfNegative val="0"/>
          <c:cat>
            <c:strRef>
              <c:f>Dane!$B$29:$B$44</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Dane!$C$29:$C$44</c:f>
              <c:numCache>
                <c:formatCode>#,##0</c:formatCode>
                <c:ptCount val="16"/>
                <c:pt idx="0">
                  <c:v>24975</c:v>
                </c:pt>
                <c:pt idx="1">
                  <c:v>9798</c:v>
                </c:pt>
                <c:pt idx="2">
                  <c:v>9070</c:v>
                </c:pt>
                <c:pt idx="3">
                  <c:v>5079</c:v>
                </c:pt>
                <c:pt idx="4">
                  <c:v>12052</c:v>
                </c:pt>
                <c:pt idx="5">
                  <c:v>21923</c:v>
                </c:pt>
                <c:pt idx="6">
                  <c:v>44385</c:v>
                </c:pt>
                <c:pt idx="7">
                  <c:v>3410</c:v>
                </c:pt>
                <c:pt idx="8">
                  <c:v>9904</c:v>
                </c:pt>
                <c:pt idx="9">
                  <c:v>7733</c:v>
                </c:pt>
                <c:pt idx="10">
                  <c:v>21765</c:v>
                </c:pt>
                <c:pt idx="11">
                  <c:v>16972</c:v>
                </c:pt>
                <c:pt idx="12">
                  <c:v>4525</c:v>
                </c:pt>
                <c:pt idx="13">
                  <c:v>5884</c:v>
                </c:pt>
                <c:pt idx="14">
                  <c:v>27095</c:v>
                </c:pt>
                <c:pt idx="15">
                  <c:v>10110</c:v>
                </c:pt>
              </c:numCache>
            </c:numRef>
          </c:val>
          <c:extLst>
            <c:ext xmlns:c16="http://schemas.microsoft.com/office/drawing/2014/chart" uri="{C3380CC4-5D6E-409C-BE32-E72D297353CC}">
              <c16:uniqueId val="{00000000-CA77-453C-B264-47083280A2F1}"/>
            </c:ext>
          </c:extLst>
        </c:ser>
        <c:ser>
          <c:idx val="1"/>
          <c:order val="1"/>
          <c:tx>
            <c:strRef>
              <c:f>Dane!$D$28</c:f>
              <c:strCache>
                <c:ptCount val="1"/>
                <c:pt idx="0">
                  <c:v>y</c:v>
                </c:pt>
              </c:strCache>
            </c:strRef>
          </c:tx>
          <c:spPr>
            <a:solidFill>
              <a:schemeClr val="accent2"/>
            </a:solidFill>
            <a:ln>
              <a:noFill/>
            </a:ln>
            <a:effectLst/>
          </c:spPr>
          <c:invertIfNegative val="0"/>
          <c:cat>
            <c:strRef>
              <c:f>Dane!$B$29:$B$44</c:f>
              <c:strCache>
                <c:ptCount val="16"/>
                <c:pt idx="0">
                  <c:v>DOLNOŚLĄSKIE</c:v>
                </c:pt>
                <c:pt idx="1">
                  <c:v>KUJAWSKO-POMORSKIE</c:v>
                </c:pt>
                <c:pt idx="2">
                  <c:v>LUBELSKIE</c:v>
                </c:pt>
                <c:pt idx="3">
                  <c:v>LUBUSKIE</c:v>
                </c:pt>
                <c:pt idx="4">
                  <c:v>ŁÓDZKIE</c:v>
                </c:pt>
                <c:pt idx="5">
                  <c:v>MAŁOPOLSKIE</c:v>
                </c:pt>
                <c:pt idx="6">
                  <c:v>MAZOWIECKIE</c:v>
                </c:pt>
                <c:pt idx="7">
                  <c:v>OPOLSKIE</c:v>
                </c:pt>
                <c:pt idx="8">
                  <c:v>PODKARPACKIE</c:v>
                </c:pt>
                <c:pt idx="9">
                  <c:v>PODLASKIE</c:v>
                </c:pt>
                <c:pt idx="10">
                  <c:v>POMORSKIE</c:v>
                </c:pt>
                <c:pt idx="11">
                  <c:v>ŚLĄSKIE</c:v>
                </c:pt>
                <c:pt idx="12">
                  <c:v>ŚWIĘTOKRZYSKIE</c:v>
                </c:pt>
                <c:pt idx="13">
                  <c:v>WARMIŃSKO-MAZURSKIE</c:v>
                </c:pt>
                <c:pt idx="14">
                  <c:v>WIELKOPOLSKIE</c:v>
                </c:pt>
                <c:pt idx="15">
                  <c:v>ZACHODNIOPOMORSKIE</c:v>
                </c:pt>
              </c:strCache>
            </c:strRef>
          </c:cat>
          <c:val>
            <c:numRef>
              <c:f>Dane!$D$29:$D$44</c:f>
              <c:numCache>
                <c:formatCode>#,##0</c:formatCode>
                <c:ptCount val="16"/>
                <c:pt idx="0">
                  <c:v>7118</c:v>
                </c:pt>
                <c:pt idx="1">
                  <c:v>5734</c:v>
                </c:pt>
                <c:pt idx="2">
                  <c:v>6108</c:v>
                </c:pt>
                <c:pt idx="3">
                  <c:v>4588</c:v>
                </c:pt>
                <c:pt idx="4">
                  <c:v>6133</c:v>
                </c:pt>
                <c:pt idx="5">
                  <c:v>8123</c:v>
                </c:pt>
                <c:pt idx="6">
                  <c:v>7790</c:v>
                </c:pt>
                <c:pt idx="7">
                  <c:v>5153</c:v>
                </c:pt>
                <c:pt idx="8">
                  <c:v>5871</c:v>
                </c:pt>
                <c:pt idx="9">
                  <c:v>5632</c:v>
                </c:pt>
                <c:pt idx="10">
                  <c:v>7530</c:v>
                </c:pt>
                <c:pt idx="11">
                  <c:v>5390</c:v>
                </c:pt>
                <c:pt idx="12">
                  <c:v>5820</c:v>
                </c:pt>
                <c:pt idx="13">
                  <c:v>5553</c:v>
                </c:pt>
                <c:pt idx="14">
                  <c:v>5980</c:v>
                </c:pt>
                <c:pt idx="15">
                  <c:v>7029</c:v>
                </c:pt>
              </c:numCache>
            </c:numRef>
          </c:val>
          <c:extLst>
            <c:ext xmlns:c16="http://schemas.microsoft.com/office/drawing/2014/chart" uri="{C3380CC4-5D6E-409C-BE32-E72D297353CC}">
              <c16:uniqueId val="{00000001-CA77-453C-B264-47083280A2F1}"/>
            </c:ext>
          </c:extLst>
        </c:ser>
        <c:dLbls>
          <c:showLegendKey val="0"/>
          <c:showVal val="0"/>
          <c:showCatName val="0"/>
          <c:showSerName val="0"/>
          <c:showPercent val="0"/>
          <c:showBubbleSize val="0"/>
        </c:dLbls>
        <c:gapWidth val="219"/>
        <c:overlap val="-27"/>
        <c:axId val="1975825487"/>
        <c:axId val="1975827887"/>
      </c:barChart>
      <c:catAx>
        <c:axId val="197582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75827887"/>
        <c:crosses val="autoZero"/>
        <c:auto val="1"/>
        <c:lblAlgn val="ctr"/>
        <c:lblOffset val="100"/>
        <c:noMultiLvlLbl val="0"/>
      </c:catAx>
      <c:valAx>
        <c:axId val="1975827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75825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w="19050">
              <a:solidFill>
                <a:schemeClr val="tx1"/>
              </a:solidFill>
            </a:ln>
            <a:effectLst/>
          </c:spPr>
          <c:invertIfNegative val="0"/>
          <c:val>
            <c:numRef>
              <c:f>'Część zasadnicza'!$D$52:$D$55</c:f>
              <c:numCache>
                <c:formatCode>General</c:formatCode>
                <c:ptCount val="4"/>
                <c:pt idx="0">
                  <c:v>10</c:v>
                </c:pt>
                <c:pt idx="1">
                  <c:v>3</c:v>
                </c:pt>
                <c:pt idx="2">
                  <c:v>2</c:v>
                </c:pt>
                <c:pt idx="3">
                  <c:v>1</c:v>
                </c:pt>
              </c:numCache>
            </c:numRef>
          </c:val>
          <c:extLst>
            <c:ext xmlns:c16="http://schemas.microsoft.com/office/drawing/2014/chart" uri="{C3380CC4-5D6E-409C-BE32-E72D297353CC}">
              <c16:uniqueId val="{00000000-F4CD-481D-828B-609D93880FEA}"/>
            </c:ext>
          </c:extLst>
        </c:ser>
        <c:dLbls>
          <c:showLegendKey val="0"/>
          <c:showVal val="0"/>
          <c:showCatName val="0"/>
          <c:showSerName val="0"/>
          <c:showPercent val="0"/>
          <c:showBubbleSize val="0"/>
        </c:dLbls>
        <c:gapWidth val="0"/>
        <c:axId val="393960543"/>
        <c:axId val="158652255"/>
      </c:barChart>
      <c:catAx>
        <c:axId val="3939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a:t>
                </a:r>
                <a:r>
                  <a:rPr lang="pl-PL" baseline="0"/>
                  <a:t> n</a:t>
                </a:r>
                <a:r>
                  <a:rPr lang="pl-PL"/>
                  <a:t>umer</a:t>
                </a:r>
                <a:r>
                  <a:rPr lang="pl-PL" baseline="0"/>
                  <a:t> przedziału</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652255"/>
        <c:crosses val="autoZero"/>
        <c:auto val="1"/>
        <c:lblAlgn val="ctr"/>
        <c:lblOffset val="100"/>
        <c:noMultiLvlLbl val="0"/>
      </c:catAx>
      <c:valAx>
        <c:axId val="158652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nxi, liczność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396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2"/>
            </a:solidFill>
            <a:ln w="19050">
              <a:solidFill>
                <a:schemeClr val="tx1"/>
              </a:solidFill>
            </a:ln>
            <a:effectLst/>
          </c:spPr>
          <c:invertIfNegative val="0"/>
          <c:val>
            <c:numRef>
              <c:f>'Część zasadnicza'!$H$52:$H$55</c:f>
              <c:numCache>
                <c:formatCode>General</c:formatCode>
                <c:ptCount val="4"/>
                <c:pt idx="0">
                  <c:v>3</c:v>
                </c:pt>
                <c:pt idx="1">
                  <c:v>8</c:v>
                </c:pt>
                <c:pt idx="2">
                  <c:v>2</c:v>
                </c:pt>
                <c:pt idx="3">
                  <c:v>3</c:v>
                </c:pt>
              </c:numCache>
            </c:numRef>
          </c:val>
          <c:extLst>
            <c:ext xmlns:c16="http://schemas.microsoft.com/office/drawing/2014/chart" uri="{C3380CC4-5D6E-409C-BE32-E72D297353CC}">
              <c16:uniqueId val="{00000000-ACD0-4174-9CC8-2D33B52CA2E8}"/>
            </c:ext>
          </c:extLst>
        </c:ser>
        <c:dLbls>
          <c:showLegendKey val="0"/>
          <c:showVal val="0"/>
          <c:showCatName val="0"/>
          <c:showSerName val="0"/>
          <c:showPercent val="0"/>
          <c:showBubbleSize val="0"/>
        </c:dLbls>
        <c:gapWidth val="0"/>
        <c:axId val="159568959"/>
        <c:axId val="158643615"/>
      </c:barChart>
      <c:catAx>
        <c:axId val="15956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 numer przedziału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643615"/>
        <c:crosses val="autoZero"/>
        <c:auto val="1"/>
        <c:lblAlgn val="ctr"/>
        <c:lblOffset val="100"/>
        <c:noMultiLvlLbl val="0"/>
      </c:catAx>
      <c:valAx>
        <c:axId val="158643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nyi, liczność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95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Krzywa częstości skumulowanych  -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'Część zasadnicza'!$C$78:$C$81</c:f>
              <c:numCache>
                <c:formatCode>0</c:formatCode>
                <c:ptCount val="4"/>
                <c:pt idx="0">
                  <c:v>8531.875</c:v>
                </c:pt>
                <c:pt idx="1">
                  <c:v>18775.625</c:v>
                </c:pt>
                <c:pt idx="2">
                  <c:v>29019.375</c:v>
                </c:pt>
                <c:pt idx="3">
                  <c:v>39263.125</c:v>
                </c:pt>
              </c:numCache>
            </c:numRef>
          </c:cat>
          <c:val>
            <c:numRef>
              <c:f>'Część zasadnicza'!$D$78:$D$81</c:f>
              <c:numCache>
                <c:formatCode>General</c:formatCode>
                <c:ptCount val="4"/>
                <c:pt idx="0">
                  <c:v>0.625</c:v>
                </c:pt>
                <c:pt idx="1">
                  <c:v>0.8125</c:v>
                </c:pt>
                <c:pt idx="2">
                  <c:v>0.9375</c:v>
                </c:pt>
                <c:pt idx="3">
                  <c:v>1</c:v>
                </c:pt>
              </c:numCache>
            </c:numRef>
          </c:val>
          <c:smooth val="0"/>
          <c:extLst>
            <c:ext xmlns:c16="http://schemas.microsoft.com/office/drawing/2014/chart" uri="{C3380CC4-5D6E-409C-BE32-E72D297353CC}">
              <c16:uniqueId val="{00000000-5117-415B-BEA3-A68053F5CB13}"/>
            </c:ext>
          </c:extLst>
        </c:ser>
        <c:dLbls>
          <c:showLegendKey val="0"/>
          <c:showVal val="0"/>
          <c:showCatName val="0"/>
          <c:showSerName val="0"/>
          <c:showPercent val="0"/>
          <c:showBubbleSize val="0"/>
        </c:dLbls>
        <c:marker val="1"/>
        <c:smooth val="0"/>
        <c:axId val="1874894208"/>
        <c:axId val="1585471728"/>
      </c:lineChart>
      <c:catAx>
        <c:axId val="18748942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5471728"/>
        <c:crosses val="autoZero"/>
        <c:auto val="1"/>
        <c:lblAlgn val="ctr"/>
        <c:lblOffset val="100"/>
        <c:noMultiLvlLbl val="0"/>
      </c:catAx>
      <c:valAx>
        <c:axId val="1585471728"/>
        <c:scaling>
          <c:orientation val="minMax"/>
          <c:max val="1.05"/>
          <c:min val="0.600000000000000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7489420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Krzywa częstości skumulowanych  - y</a:t>
            </a:r>
          </a:p>
        </c:rich>
      </c:tx>
      <c:layout>
        <c:manualLayout>
          <c:xMode val="edge"/>
          <c:yMode val="edge"/>
          <c:x val="0.207576334208223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cke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'Część zasadnicza'!$G$78:$G$81</c:f>
              <c:numCache>
                <c:formatCode>0</c:formatCode>
                <c:ptCount val="4"/>
                <c:pt idx="0">
                  <c:v>5029.875</c:v>
                </c:pt>
                <c:pt idx="1">
                  <c:v>5913.625</c:v>
                </c:pt>
                <c:pt idx="2">
                  <c:v>6797.375</c:v>
                </c:pt>
                <c:pt idx="3">
                  <c:v>7681.125</c:v>
                </c:pt>
              </c:numCache>
            </c:numRef>
          </c:cat>
          <c:val>
            <c:numRef>
              <c:f>'Część zasadnicza'!$H$78:$H$81</c:f>
              <c:numCache>
                <c:formatCode>General</c:formatCode>
                <c:ptCount val="4"/>
                <c:pt idx="0">
                  <c:v>0.1875</c:v>
                </c:pt>
                <c:pt idx="1">
                  <c:v>0.6875</c:v>
                </c:pt>
                <c:pt idx="2">
                  <c:v>0.8125</c:v>
                </c:pt>
                <c:pt idx="3">
                  <c:v>1</c:v>
                </c:pt>
              </c:numCache>
            </c:numRef>
          </c:val>
          <c:smooth val="0"/>
          <c:extLst>
            <c:ext xmlns:c16="http://schemas.microsoft.com/office/drawing/2014/chart" uri="{C3380CC4-5D6E-409C-BE32-E72D297353CC}">
              <c16:uniqueId val="{00000000-9A00-4BFC-BBF6-BA782A22BF6E}"/>
            </c:ext>
          </c:extLst>
        </c:ser>
        <c:dLbls>
          <c:showLegendKey val="0"/>
          <c:showVal val="0"/>
          <c:showCatName val="0"/>
          <c:showSerName val="0"/>
          <c:showPercent val="0"/>
          <c:showBubbleSize val="0"/>
        </c:dLbls>
        <c:marker val="1"/>
        <c:smooth val="0"/>
        <c:axId val="1583369152"/>
        <c:axId val="1817654592"/>
      </c:lineChart>
      <c:catAx>
        <c:axId val="15833691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17654592"/>
        <c:crosses val="autoZero"/>
        <c:auto val="1"/>
        <c:lblAlgn val="ctr"/>
        <c:lblOffset val="100"/>
        <c:noMultiLvlLbl val="0"/>
      </c:catAx>
      <c:valAx>
        <c:axId val="1817654592"/>
        <c:scaling>
          <c:orientation val="minMax"/>
          <c:max val="1.0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83369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x</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x</a:t>
          </a:r>
        </a:p>
      </cx:txPr>
    </cx:title>
    <cx:plotArea>
      <cx:plotAreaRegion>
        <cx:series layoutId="boxWhisker" uniqueId="{9B93110F-573A-47D5-9682-C2208DA13D8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y</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y</a:t>
          </a:r>
        </a:p>
      </cx:txPr>
    </cx:title>
    <cx:plotArea>
      <cx:plotAreaRegion>
        <cx:series layoutId="boxWhisker" uniqueId="{4CA2B38E-BCFF-446C-90A3-5500FCDD4AE3}">
          <cx:dataId val="0"/>
          <cx:layoutPr>
            <cx:visibility meanLine="0" meanMarker="1" nonoutliers="0" outliers="1"/>
            <cx:statistics quartileMethod="exclusive"/>
          </cx:layoutPr>
        </cx:series>
      </cx:plotAreaRegion>
      <cx:axis id="0">
        <cx:catScaling gapWidth="1"/>
        <cx:tickLabels/>
      </cx:axis>
      <cx:axis id="1">
        <cx:valScaling min="4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57150</xdr:colOff>
      <xdr:row>27</xdr:row>
      <xdr:rowOff>42861</xdr:rowOff>
    </xdr:from>
    <xdr:to>
      <xdr:col>11</xdr:col>
      <xdr:colOff>19050</xdr:colOff>
      <xdr:row>50</xdr:row>
      <xdr:rowOff>123824</xdr:rowOff>
    </xdr:to>
    <xdr:graphicFrame macro="">
      <xdr:nvGraphicFramePr>
        <xdr:cNvPr id="3" name="Wykres 2">
          <a:extLst>
            <a:ext uri="{FF2B5EF4-FFF2-40B4-BE49-F238E27FC236}">
              <a16:creationId xmlns:a16="http://schemas.microsoft.com/office/drawing/2014/main" id="{27C84765-313A-1F38-FA3A-51711CF7D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114301</xdr:colOff>
      <xdr:row>23</xdr:row>
      <xdr:rowOff>4762</xdr:rowOff>
    </xdr:from>
    <xdr:to>
      <xdr:col>15</xdr:col>
      <xdr:colOff>809625</xdr:colOff>
      <xdr:row>38</xdr:row>
      <xdr:rowOff>80962</xdr:rowOff>
    </xdr:to>
    <mc:AlternateContent xmlns:mc="http://schemas.openxmlformats.org/markup-compatibility/2006">
      <mc:Choice xmlns:cx1="http://schemas.microsoft.com/office/drawing/2015/9/8/chartex" Requires="cx1">
        <xdr:graphicFrame macro="">
          <xdr:nvGraphicFramePr>
            <xdr:cNvPr id="4" name="Wykres 3">
              <a:extLst>
                <a:ext uri="{FF2B5EF4-FFF2-40B4-BE49-F238E27FC236}">
                  <a16:creationId xmlns:a16="http://schemas.microsoft.com/office/drawing/2014/main" id="{351B3C59-7543-F9ED-4BFA-E42AE7CCC5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30026" y="4386262"/>
              <a:ext cx="1609724" cy="274320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15</xdr:col>
      <xdr:colOff>914400</xdr:colOff>
      <xdr:row>22</xdr:row>
      <xdr:rowOff>180975</xdr:rowOff>
    </xdr:from>
    <xdr:to>
      <xdr:col>18</xdr:col>
      <xdr:colOff>0</xdr:colOff>
      <xdr:row>38</xdr:row>
      <xdr:rowOff>71436</xdr:rowOff>
    </xdr:to>
    <mc:AlternateContent xmlns:mc="http://schemas.openxmlformats.org/markup-compatibility/2006">
      <mc:Choice xmlns:cx1="http://schemas.microsoft.com/office/drawing/2015/9/8/chartex" Requires="cx1">
        <xdr:graphicFrame macro="">
          <xdr:nvGraphicFramePr>
            <xdr:cNvPr id="5" name="Wykres 4">
              <a:extLst>
                <a:ext uri="{FF2B5EF4-FFF2-40B4-BE49-F238E27FC236}">
                  <a16:creationId xmlns:a16="http://schemas.microsoft.com/office/drawing/2014/main" id="{22E374D9-0387-5804-7EA3-58C659605F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344525" y="4371975"/>
              <a:ext cx="1628775" cy="2747961"/>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12</xdr:col>
      <xdr:colOff>561974</xdr:colOff>
      <xdr:row>58</xdr:row>
      <xdr:rowOff>14287</xdr:rowOff>
    </xdr:from>
    <xdr:to>
      <xdr:col>15</xdr:col>
      <xdr:colOff>514349</xdr:colOff>
      <xdr:row>67</xdr:row>
      <xdr:rowOff>90487</xdr:rowOff>
    </xdr:to>
    <xdr:graphicFrame macro="">
      <xdr:nvGraphicFramePr>
        <xdr:cNvPr id="6" name="Wykres 5">
          <a:extLst>
            <a:ext uri="{FF2B5EF4-FFF2-40B4-BE49-F238E27FC236}">
              <a16:creationId xmlns:a16="http://schemas.microsoft.com/office/drawing/2014/main" id="{D717EC98-13FB-3713-DF23-0C67095F5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742951</xdr:colOff>
      <xdr:row>58</xdr:row>
      <xdr:rowOff>0</xdr:rowOff>
    </xdr:from>
    <xdr:to>
      <xdr:col>19</xdr:col>
      <xdr:colOff>466726</xdr:colOff>
      <xdr:row>67</xdr:row>
      <xdr:rowOff>95250</xdr:rowOff>
    </xdr:to>
    <xdr:graphicFrame macro="">
      <xdr:nvGraphicFramePr>
        <xdr:cNvPr id="7" name="Wykres 6">
          <a:extLst>
            <a:ext uri="{FF2B5EF4-FFF2-40B4-BE49-F238E27FC236}">
              <a16:creationId xmlns:a16="http://schemas.microsoft.com/office/drawing/2014/main" id="{B22C9834-73FC-CE2A-F3E9-FB97E1D97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73</xdr:row>
      <xdr:rowOff>157162</xdr:rowOff>
    </xdr:from>
    <xdr:to>
      <xdr:col>13</xdr:col>
      <xdr:colOff>609600</xdr:colOff>
      <xdr:row>88</xdr:row>
      <xdr:rowOff>42862</xdr:rowOff>
    </xdr:to>
    <xdr:graphicFrame macro="">
      <xdr:nvGraphicFramePr>
        <xdr:cNvPr id="3" name="Wykres 2">
          <a:extLst>
            <a:ext uri="{FF2B5EF4-FFF2-40B4-BE49-F238E27FC236}">
              <a16:creationId xmlns:a16="http://schemas.microsoft.com/office/drawing/2014/main" id="{D0C2FC56-B5D5-4439-EE94-DFCF77303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314325</xdr:colOff>
      <xdr:row>73</xdr:row>
      <xdr:rowOff>147637</xdr:rowOff>
    </xdr:from>
    <xdr:to>
      <xdr:col>18</xdr:col>
      <xdr:colOff>600075</xdr:colOff>
      <xdr:row>88</xdr:row>
      <xdr:rowOff>33337</xdr:rowOff>
    </xdr:to>
    <xdr:graphicFrame macro="">
      <xdr:nvGraphicFramePr>
        <xdr:cNvPr id="8" name="Wykres 7">
          <a:extLst>
            <a:ext uri="{FF2B5EF4-FFF2-40B4-BE49-F238E27FC236}">
              <a16:creationId xmlns:a16="http://schemas.microsoft.com/office/drawing/2014/main" id="{1C8A3E57-8848-BFF4-9616-0EA046396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19051</xdr:colOff>
      <xdr:row>93</xdr:row>
      <xdr:rowOff>9525</xdr:rowOff>
    </xdr:from>
    <xdr:to>
      <xdr:col>13</xdr:col>
      <xdr:colOff>523876</xdr:colOff>
      <xdr:row>103</xdr:row>
      <xdr:rowOff>152400</xdr:rowOff>
    </xdr:to>
    <xdr:sp macro="" textlink="">
      <xdr:nvSpPr>
        <xdr:cNvPr id="10" name="pole tekstowe 9">
          <a:extLst>
            <a:ext uri="{FF2B5EF4-FFF2-40B4-BE49-F238E27FC236}">
              <a16:creationId xmlns:a16="http://schemas.microsoft.com/office/drawing/2014/main" id="{CE5A74FB-1C7B-564C-E6E1-0AE2661F5A8E}"/>
            </a:ext>
          </a:extLst>
        </xdr:cNvPr>
        <xdr:cNvSpPr txBox="1"/>
      </xdr:nvSpPr>
      <xdr:spPr>
        <a:xfrm>
          <a:off x="6734176" y="20412075"/>
          <a:ext cx="4572000" cy="2047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Różnice między obliczonymi</a:t>
          </a:r>
          <a:r>
            <a:rPr lang="pl-PL" sz="1100" baseline="0"/>
            <a:t> statystykami dla różnych szeregów okazały się niezbyt wygórowane, szczególnie w przypadku zmiennej y - dla zmiennej x były one już dosyć znaczące. Wynikają one z utraty części danych, wiążącej się z utworzeniem szeregu rozdzielczego przedziałowego, który siłą rzeczy jest pewnym uproszczeniem. Nie powoduje to jednak całkowitego utracenia istoty danych i nadal możliwe jest wyciąganie trafnych wniosków.</a:t>
          </a:r>
        </a:p>
        <a:p>
          <a:r>
            <a:rPr lang="pl-PL" sz="1100" baseline="0"/>
            <a:t>Szereg prosty jest oczywiście lepszym wyborem, jeśli zależy nam na dokładności wartości obliczanych statystyk, jednak szereg rozdzielczy przedziałowy też ma swoje zalety, takie jak zredukowana długość obliczeń czy łatwość czytelnej wizualizacji danych.</a:t>
          </a:r>
          <a:endParaRPr lang="pl-PL" sz="1100"/>
        </a:p>
      </xdr:txBody>
    </xdr:sp>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dl.stat.gov.pl/bdl/metadane/cechy/3788?back=True" TargetMode="External"/><Relationship Id="rId1" Type="http://schemas.openxmlformats.org/officeDocument/2006/relationships/hyperlink" Target="https://bdl.stat.gov.pl/bdl/metadane/cechy/3824?back=Tru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94CA-3B5B-4C1B-AD4D-D052F81FC7DE}">
  <dimension ref="A1:G44"/>
  <sheetViews>
    <sheetView tabSelected="1" workbookViewId="0">
      <selection sqref="A1:C1"/>
    </sheetView>
  </sheetViews>
  <sheetFormatPr defaultRowHeight="15" x14ac:dyDescent="0.25"/>
  <cols>
    <col min="1" max="1" width="9.140625" customWidth="1"/>
    <col min="2" max="2" width="25.5703125" customWidth="1"/>
    <col min="3" max="3" width="11.5703125" customWidth="1"/>
    <col min="6" max="6" width="24.85546875" customWidth="1"/>
    <col min="7" max="7" width="12.28515625" customWidth="1"/>
  </cols>
  <sheetData>
    <row r="1" spans="1:7" ht="31.5" customHeight="1" x14ac:dyDescent="0.25">
      <c r="A1" s="43" t="s">
        <v>131</v>
      </c>
      <c r="B1" s="43"/>
      <c r="C1" s="43"/>
      <c r="E1" s="44" t="s">
        <v>132</v>
      </c>
      <c r="F1" s="44"/>
      <c r="G1" s="44"/>
    </row>
    <row r="2" spans="1:7" ht="45" x14ac:dyDescent="0.25">
      <c r="A2" s="29" t="s">
        <v>0</v>
      </c>
      <c r="B2" s="29" t="s">
        <v>1</v>
      </c>
      <c r="C2" s="1" t="s">
        <v>2</v>
      </c>
      <c r="E2" s="29" t="s">
        <v>0</v>
      </c>
      <c r="F2" s="29" t="s">
        <v>1</v>
      </c>
      <c r="G2" s="1" t="s">
        <v>3</v>
      </c>
    </row>
    <row r="3" spans="1:7" ht="30" x14ac:dyDescent="0.25">
      <c r="A3" s="29"/>
      <c r="B3" s="29"/>
      <c r="C3" s="1" t="s">
        <v>4</v>
      </c>
      <c r="E3" s="29"/>
      <c r="F3" s="29"/>
      <c r="G3" s="1" t="s">
        <v>2</v>
      </c>
    </row>
    <row r="4" spans="1:7" x14ac:dyDescent="0.25">
      <c r="A4" s="29"/>
      <c r="B4" s="29"/>
      <c r="C4" s="1" t="s">
        <v>5</v>
      </c>
      <c r="E4" s="29"/>
      <c r="F4" s="29"/>
      <c r="G4" s="1" t="s">
        <v>5</v>
      </c>
    </row>
    <row r="5" spans="1:7" x14ac:dyDescent="0.25">
      <c r="A5" s="29"/>
      <c r="B5" s="29"/>
      <c r="C5" s="1" t="s">
        <v>6</v>
      </c>
      <c r="E5" s="29"/>
      <c r="F5" s="29"/>
      <c r="G5" s="1" t="s">
        <v>7</v>
      </c>
    </row>
    <row r="6" spans="1:7" x14ac:dyDescent="0.25">
      <c r="A6" s="3" t="s">
        <v>8</v>
      </c>
      <c r="B6" s="3" t="s">
        <v>9</v>
      </c>
      <c r="C6" s="4">
        <v>24975</v>
      </c>
      <c r="E6" s="3" t="s">
        <v>8</v>
      </c>
      <c r="F6" s="3" t="s">
        <v>9</v>
      </c>
      <c r="G6" s="4">
        <v>7118</v>
      </c>
    </row>
    <row r="7" spans="1:7" x14ac:dyDescent="0.25">
      <c r="A7" s="3" t="s">
        <v>10</v>
      </c>
      <c r="B7" s="3" t="s">
        <v>11</v>
      </c>
      <c r="C7" s="4">
        <v>9798</v>
      </c>
      <c r="E7" s="3" t="s">
        <v>10</v>
      </c>
      <c r="F7" s="3" t="s">
        <v>11</v>
      </c>
      <c r="G7" s="4">
        <v>5734</v>
      </c>
    </row>
    <row r="8" spans="1:7" x14ac:dyDescent="0.25">
      <c r="A8" s="3" t="s">
        <v>12</v>
      </c>
      <c r="B8" s="3" t="s">
        <v>13</v>
      </c>
      <c r="C8" s="4">
        <v>9070</v>
      </c>
      <c r="E8" s="3" t="s">
        <v>12</v>
      </c>
      <c r="F8" s="3" t="s">
        <v>13</v>
      </c>
      <c r="G8" s="4">
        <v>6108</v>
      </c>
    </row>
    <row r="9" spans="1:7" x14ac:dyDescent="0.25">
      <c r="A9" s="3" t="s">
        <v>14</v>
      </c>
      <c r="B9" s="3" t="s">
        <v>15</v>
      </c>
      <c r="C9" s="4">
        <v>5079</v>
      </c>
      <c r="E9" s="3" t="s">
        <v>14</v>
      </c>
      <c r="F9" s="3" t="s">
        <v>15</v>
      </c>
      <c r="G9" s="4">
        <v>4588</v>
      </c>
    </row>
    <row r="10" spans="1:7" x14ac:dyDescent="0.25">
      <c r="A10" s="3" t="s">
        <v>16</v>
      </c>
      <c r="B10" s="3" t="s">
        <v>17</v>
      </c>
      <c r="C10" s="4">
        <v>12052</v>
      </c>
      <c r="E10" s="3" t="s">
        <v>16</v>
      </c>
      <c r="F10" s="3" t="s">
        <v>17</v>
      </c>
      <c r="G10" s="4">
        <v>6133</v>
      </c>
    </row>
    <row r="11" spans="1:7" x14ac:dyDescent="0.25">
      <c r="A11" s="3" t="s">
        <v>18</v>
      </c>
      <c r="B11" s="3" t="s">
        <v>19</v>
      </c>
      <c r="C11" s="4">
        <v>21923</v>
      </c>
      <c r="E11" s="3" t="s">
        <v>18</v>
      </c>
      <c r="F11" s="3" t="s">
        <v>19</v>
      </c>
      <c r="G11" s="4">
        <v>8123</v>
      </c>
    </row>
    <row r="12" spans="1:7" x14ac:dyDescent="0.25">
      <c r="A12" s="3" t="s">
        <v>20</v>
      </c>
      <c r="B12" s="3" t="s">
        <v>21</v>
      </c>
      <c r="C12" s="4">
        <v>44385</v>
      </c>
      <c r="E12" s="3" t="s">
        <v>20</v>
      </c>
      <c r="F12" s="3" t="s">
        <v>21</v>
      </c>
      <c r="G12" s="4">
        <v>7790</v>
      </c>
    </row>
    <row r="13" spans="1:7" x14ac:dyDescent="0.25">
      <c r="A13" s="3" t="s">
        <v>22</v>
      </c>
      <c r="B13" s="3" t="s">
        <v>23</v>
      </c>
      <c r="C13" s="4">
        <v>3410</v>
      </c>
      <c r="E13" s="3" t="s">
        <v>22</v>
      </c>
      <c r="F13" s="3" t="s">
        <v>23</v>
      </c>
      <c r="G13" s="4">
        <v>5153</v>
      </c>
    </row>
    <row r="14" spans="1:7" x14ac:dyDescent="0.25">
      <c r="A14" s="3" t="s">
        <v>24</v>
      </c>
      <c r="B14" s="3" t="s">
        <v>25</v>
      </c>
      <c r="C14" s="4">
        <v>9904</v>
      </c>
      <c r="E14" s="3" t="s">
        <v>24</v>
      </c>
      <c r="F14" s="3" t="s">
        <v>25</v>
      </c>
      <c r="G14" s="4">
        <v>5871</v>
      </c>
    </row>
    <row r="15" spans="1:7" x14ac:dyDescent="0.25">
      <c r="A15" s="3" t="s">
        <v>26</v>
      </c>
      <c r="B15" s="3" t="s">
        <v>27</v>
      </c>
      <c r="C15" s="4">
        <v>7733</v>
      </c>
      <c r="E15" s="3" t="s">
        <v>26</v>
      </c>
      <c r="F15" s="3" t="s">
        <v>27</v>
      </c>
      <c r="G15" s="4">
        <v>5632</v>
      </c>
    </row>
    <row r="16" spans="1:7" x14ac:dyDescent="0.25">
      <c r="A16" s="3" t="s">
        <v>28</v>
      </c>
      <c r="B16" s="3" t="s">
        <v>29</v>
      </c>
      <c r="C16" s="4">
        <v>21765</v>
      </c>
      <c r="E16" s="3" t="s">
        <v>28</v>
      </c>
      <c r="F16" s="3" t="s">
        <v>29</v>
      </c>
      <c r="G16" s="4">
        <v>7530</v>
      </c>
    </row>
    <row r="17" spans="1:7" x14ac:dyDescent="0.25">
      <c r="A17" s="3" t="s">
        <v>30</v>
      </c>
      <c r="B17" s="3" t="s">
        <v>31</v>
      </c>
      <c r="C17" s="4">
        <v>16972</v>
      </c>
      <c r="E17" s="3" t="s">
        <v>30</v>
      </c>
      <c r="F17" s="3" t="s">
        <v>31</v>
      </c>
      <c r="G17" s="4">
        <v>5390</v>
      </c>
    </row>
    <row r="18" spans="1:7" x14ac:dyDescent="0.25">
      <c r="A18" s="3" t="s">
        <v>32</v>
      </c>
      <c r="B18" s="3" t="s">
        <v>33</v>
      </c>
      <c r="C18" s="4">
        <v>4525</v>
      </c>
      <c r="E18" s="3" t="s">
        <v>32</v>
      </c>
      <c r="F18" s="3" t="s">
        <v>33</v>
      </c>
      <c r="G18" s="4">
        <v>5820</v>
      </c>
    </row>
    <row r="19" spans="1:7" x14ac:dyDescent="0.25">
      <c r="A19" s="3" t="s">
        <v>34</v>
      </c>
      <c r="B19" s="3" t="s">
        <v>35</v>
      </c>
      <c r="C19" s="4">
        <v>5884</v>
      </c>
      <c r="E19" s="3" t="s">
        <v>34</v>
      </c>
      <c r="F19" s="3" t="s">
        <v>35</v>
      </c>
      <c r="G19" s="4">
        <v>5553</v>
      </c>
    </row>
    <row r="20" spans="1:7" x14ac:dyDescent="0.25">
      <c r="A20" s="3" t="s">
        <v>36</v>
      </c>
      <c r="B20" s="3" t="s">
        <v>37</v>
      </c>
      <c r="C20" s="4">
        <v>27095</v>
      </c>
      <c r="E20" s="3" t="s">
        <v>36</v>
      </c>
      <c r="F20" s="3" t="s">
        <v>37</v>
      </c>
      <c r="G20" s="4">
        <v>5980</v>
      </c>
    </row>
    <row r="21" spans="1:7" x14ac:dyDescent="0.25">
      <c r="A21" s="3" t="s">
        <v>38</v>
      </c>
      <c r="B21" s="3" t="s">
        <v>39</v>
      </c>
      <c r="C21" s="4">
        <v>10110</v>
      </c>
      <c r="E21" s="3" t="s">
        <v>38</v>
      </c>
      <c r="F21" s="3" t="s">
        <v>39</v>
      </c>
      <c r="G21" s="4">
        <v>7029</v>
      </c>
    </row>
    <row r="23" spans="1:7" x14ac:dyDescent="0.25">
      <c r="A23" s="40" t="s">
        <v>126</v>
      </c>
    </row>
    <row r="24" spans="1:7" x14ac:dyDescent="0.25">
      <c r="A24" s="40" t="s">
        <v>40</v>
      </c>
      <c r="B24" s="42" t="s">
        <v>127</v>
      </c>
      <c r="C24" s="33"/>
      <c r="D24" s="33"/>
      <c r="E24" s="33"/>
      <c r="F24" s="41" t="s">
        <v>129</v>
      </c>
      <c r="G24" s="41"/>
    </row>
    <row r="25" spans="1:7" x14ac:dyDescent="0.25">
      <c r="A25" s="40" t="s">
        <v>41</v>
      </c>
      <c r="B25" s="42" t="s">
        <v>128</v>
      </c>
      <c r="C25" s="33"/>
      <c r="D25" s="33"/>
      <c r="E25" s="33"/>
      <c r="F25" s="41" t="s">
        <v>130</v>
      </c>
      <c r="G25" s="41"/>
    </row>
    <row r="26" spans="1:7" x14ac:dyDescent="0.25">
      <c r="A26" s="40"/>
    </row>
    <row r="27" spans="1:7" x14ac:dyDescent="0.25">
      <c r="A27" s="40"/>
    </row>
    <row r="28" spans="1:7" x14ac:dyDescent="0.25">
      <c r="C28" t="s">
        <v>40</v>
      </c>
      <c r="D28" t="s">
        <v>41</v>
      </c>
    </row>
    <row r="29" spans="1:7" x14ac:dyDescent="0.25">
      <c r="B29" s="3" t="s">
        <v>9</v>
      </c>
      <c r="C29" s="4">
        <v>24975</v>
      </c>
      <c r="D29" s="4">
        <v>7118</v>
      </c>
    </row>
    <row r="30" spans="1:7" x14ac:dyDescent="0.25">
      <c r="B30" s="3" t="s">
        <v>11</v>
      </c>
      <c r="C30" s="4">
        <v>9798</v>
      </c>
      <c r="D30" s="4">
        <v>5734</v>
      </c>
    </row>
    <row r="31" spans="1:7" x14ac:dyDescent="0.25">
      <c r="B31" s="3" t="s">
        <v>13</v>
      </c>
      <c r="C31" s="4">
        <v>9070</v>
      </c>
      <c r="D31" s="4">
        <v>6108</v>
      </c>
    </row>
    <row r="32" spans="1:7" x14ac:dyDescent="0.25">
      <c r="B32" s="3" t="s">
        <v>15</v>
      </c>
      <c r="C32" s="4">
        <v>5079</v>
      </c>
      <c r="D32" s="4">
        <v>4588</v>
      </c>
    </row>
    <row r="33" spans="2:4" x14ac:dyDescent="0.25">
      <c r="B33" s="3" t="s">
        <v>17</v>
      </c>
      <c r="C33" s="4">
        <v>12052</v>
      </c>
      <c r="D33" s="4">
        <v>6133</v>
      </c>
    </row>
    <row r="34" spans="2:4" x14ac:dyDescent="0.25">
      <c r="B34" s="3" t="s">
        <v>19</v>
      </c>
      <c r="C34" s="4">
        <v>21923</v>
      </c>
      <c r="D34" s="4">
        <v>8123</v>
      </c>
    </row>
    <row r="35" spans="2:4" x14ac:dyDescent="0.25">
      <c r="B35" s="3" t="s">
        <v>21</v>
      </c>
      <c r="C35" s="4">
        <v>44385</v>
      </c>
      <c r="D35" s="4">
        <v>7790</v>
      </c>
    </row>
    <row r="36" spans="2:4" x14ac:dyDescent="0.25">
      <c r="B36" s="3" t="s">
        <v>23</v>
      </c>
      <c r="C36" s="4">
        <v>3410</v>
      </c>
      <c r="D36" s="4">
        <v>5153</v>
      </c>
    </row>
    <row r="37" spans="2:4" x14ac:dyDescent="0.25">
      <c r="B37" s="3" t="s">
        <v>25</v>
      </c>
      <c r="C37" s="4">
        <v>9904</v>
      </c>
      <c r="D37" s="4">
        <v>5871</v>
      </c>
    </row>
    <row r="38" spans="2:4" x14ac:dyDescent="0.25">
      <c r="B38" s="3" t="s">
        <v>27</v>
      </c>
      <c r="C38" s="4">
        <v>7733</v>
      </c>
      <c r="D38" s="4">
        <v>5632</v>
      </c>
    </row>
    <row r="39" spans="2:4" x14ac:dyDescent="0.25">
      <c r="B39" s="3" t="s">
        <v>29</v>
      </c>
      <c r="C39" s="4">
        <v>21765</v>
      </c>
      <c r="D39" s="4">
        <v>7530</v>
      </c>
    </row>
    <row r="40" spans="2:4" x14ac:dyDescent="0.25">
      <c r="B40" s="3" t="s">
        <v>31</v>
      </c>
      <c r="C40" s="4">
        <v>16972</v>
      </c>
      <c r="D40" s="4">
        <v>5390</v>
      </c>
    </row>
    <row r="41" spans="2:4" x14ac:dyDescent="0.25">
      <c r="B41" s="3" t="s">
        <v>33</v>
      </c>
      <c r="C41" s="4">
        <v>4525</v>
      </c>
      <c r="D41" s="4">
        <v>5820</v>
      </c>
    </row>
    <row r="42" spans="2:4" x14ac:dyDescent="0.25">
      <c r="B42" s="3" t="s">
        <v>35</v>
      </c>
      <c r="C42" s="4">
        <v>5884</v>
      </c>
      <c r="D42" s="4">
        <v>5553</v>
      </c>
    </row>
    <row r="43" spans="2:4" x14ac:dyDescent="0.25">
      <c r="B43" s="3" t="s">
        <v>37</v>
      </c>
      <c r="C43" s="4">
        <v>27095</v>
      </c>
      <c r="D43" s="4">
        <v>5980</v>
      </c>
    </row>
    <row r="44" spans="2:4" x14ac:dyDescent="0.25">
      <c r="B44" s="3" t="s">
        <v>39</v>
      </c>
      <c r="C44" s="4">
        <v>10110</v>
      </c>
      <c r="D44" s="4">
        <v>7029</v>
      </c>
    </row>
  </sheetData>
  <mergeCells count="10">
    <mergeCell ref="B24:E24"/>
    <mergeCell ref="B25:E25"/>
    <mergeCell ref="F24:G24"/>
    <mergeCell ref="F25:G25"/>
    <mergeCell ref="F2:F5"/>
    <mergeCell ref="A1:C1"/>
    <mergeCell ref="E1:G1"/>
    <mergeCell ref="A2:A5"/>
    <mergeCell ref="B2:B5"/>
    <mergeCell ref="E2:E5"/>
  </mergeCells>
  <hyperlinks>
    <hyperlink ref="B24" r:id="rId1" xr:uid="{50A603E6-2A93-454A-958B-4C75103AFAA2}"/>
    <hyperlink ref="B25" r:id="rId2" xr:uid="{F41072A0-C853-4943-B035-44A258B3596B}"/>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8060-2365-44BA-AF58-CD34662C5EAB}">
  <dimension ref="A1:S104"/>
  <sheetViews>
    <sheetView zoomScaleNormal="100" workbookViewId="0">
      <selection activeCell="F90" sqref="F90"/>
    </sheetView>
  </sheetViews>
  <sheetFormatPr defaultRowHeight="15" x14ac:dyDescent="0.25"/>
  <cols>
    <col min="1" max="1" width="13.85546875" customWidth="1"/>
    <col min="2" max="2" width="12.5703125" customWidth="1"/>
    <col min="3" max="3" width="12.7109375" customWidth="1"/>
    <col min="4" max="4" width="14.42578125" customWidth="1"/>
    <col min="5" max="5" width="10.5703125" customWidth="1"/>
    <col min="6" max="6" width="12.5703125" customWidth="1"/>
    <col min="7" max="7" width="12.140625" customWidth="1"/>
    <col min="8" max="8" width="11.85546875" customWidth="1"/>
    <col min="9" max="9" width="11.140625" customWidth="1"/>
    <col min="10" max="10" width="14.5703125" customWidth="1"/>
    <col min="11" max="11" width="11.140625" customWidth="1"/>
    <col min="12" max="12" width="10.42578125" customWidth="1"/>
    <col min="13" max="13" width="13.7109375" customWidth="1"/>
    <col min="14" max="14" width="14.7109375" customWidth="1"/>
    <col min="15" max="15" width="13.7109375" customWidth="1"/>
    <col min="16" max="16" width="13.85546875" customWidth="1"/>
    <col min="17" max="17" width="15.140625" customWidth="1"/>
  </cols>
  <sheetData>
    <row r="1" spans="1:18" x14ac:dyDescent="0.25">
      <c r="A1" s="38" t="s">
        <v>42</v>
      </c>
      <c r="B1" s="38"/>
      <c r="C1" s="38"/>
    </row>
    <row r="2" spans="1:18" x14ac:dyDescent="0.25">
      <c r="A2" s="2" t="s">
        <v>43</v>
      </c>
      <c r="B2">
        <v>16</v>
      </c>
    </row>
    <row r="3" spans="1:18" x14ac:dyDescent="0.25">
      <c r="A3" s="30" t="s">
        <v>44</v>
      </c>
      <c r="B3" s="30"/>
      <c r="C3" s="30"/>
      <c r="N3" s="30" t="s">
        <v>45</v>
      </c>
      <c r="O3" s="30"/>
      <c r="P3" s="30" t="s">
        <v>141</v>
      </c>
      <c r="Q3" s="35"/>
      <c r="R3" s="30" t="s">
        <v>60</v>
      </c>
    </row>
    <row r="4" spans="1:18" x14ac:dyDescent="0.25">
      <c r="A4" s="7" t="s">
        <v>46</v>
      </c>
      <c r="B4" s="7" t="s">
        <v>47</v>
      </c>
      <c r="C4" s="7" t="s">
        <v>48</v>
      </c>
      <c r="D4" s="7" t="s">
        <v>49</v>
      </c>
      <c r="E4" s="7" t="s">
        <v>50</v>
      </c>
      <c r="F4" s="7" t="s">
        <v>51</v>
      </c>
      <c r="G4" s="7" t="s">
        <v>52</v>
      </c>
      <c r="H4" s="7" t="s">
        <v>53</v>
      </c>
      <c r="I4" s="7" t="s">
        <v>54</v>
      </c>
      <c r="J4" s="6" t="s">
        <v>55</v>
      </c>
      <c r="K4" s="7" t="s">
        <v>56</v>
      </c>
      <c r="L4" s="7" t="s">
        <v>57</v>
      </c>
      <c r="N4" s="21" t="s">
        <v>40</v>
      </c>
      <c r="O4" s="21" t="s">
        <v>41</v>
      </c>
      <c r="P4" s="21" t="s">
        <v>58</v>
      </c>
      <c r="Q4" s="65" t="s">
        <v>59</v>
      </c>
      <c r="R4" s="30"/>
    </row>
    <row r="5" spans="1:18" x14ac:dyDescent="0.25">
      <c r="A5" s="7">
        <v>1</v>
      </c>
      <c r="B5" s="8">
        <v>3410</v>
      </c>
      <c r="C5" s="8">
        <v>4588</v>
      </c>
      <c r="D5" s="10">
        <f>($B5-$B$26)^2</f>
        <v>126731306.25</v>
      </c>
      <c r="E5" s="10">
        <f t="shared" ref="E5:E20" si="0">(C5-G$26)^2</f>
        <v>2669956</v>
      </c>
      <c r="F5" s="11">
        <f t="shared" ref="F5:F20" si="1">($B5-$B$26)^3</f>
        <v>-1426677680109.375</v>
      </c>
      <c r="G5" s="11">
        <f t="shared" ref="G5:G20" si="2">($C5-$G$26)^3</f>
        <v>-4362708104</v>
      </c>
      <c r="H5" s="11">
        <f>D5^2</f>
        <v>1.606082398383129E+16</v>
      </c>
      <c r="I5" s="11">
        <f>E5^2</f>
        <v>7128665041936</v>
      </c>
      <c r="J5" s="10">
        <f t="shared" ref="J5:J20" si="3">($B5-$B$26)*($C5-$G$26)</f>
        <v>18394755</v>
      </c>
      <c r="K5" s="6">
        <f>(2*$A5-$B$2-1)*B5</f>
        <v>-51150</v>
      </c>
      <c r="L5" s="6">
        <f>(2*$A5-$B$2-1)*C5</f>
        <v>-68820</v>
      </c>
      <c r="N5" s="19">
        <v>24975</v>
      </c>
      <c r="O5" s="19">
        <v>7118</v>
      </c>
      <c r="P5" s="18">
        <v>14</v>
      </c>
      <c r="Q5" s="18">
        <v>13</v>
      </c>
      <c r="R5" s="21">
        <f>(P5-Q5)^2</f>
        <v>1</v>
      </c>
    </row>
    <row r="6" spans="1:18" x14ac:dyDescent="0.25">
      <c r="A6" s="7">
        <v>2</v>
      </c>
      <c r="B6" s="8">
        <v>4525</v>
      </c>
      <c r="C6" s="8">
        <v>5153</v>
      </c>
      <c r="D6" s="10">
        <f t="shared" ref="D6:D20" si="4">(B6-B$26)^2</f>
        <v>102870306.25</v>
      </c>
      <c r="E6" s="10">
        <f t="shared" si="0"/>
        <v>1142761</v>
      </c>
      <c r="F6" s="11">
        <f t="shared" si="1"/>
        <v>-1043362081140.625</v>
      </c>
      <c r="G6" s="11">
        <f t="shared" si="2"/>
        <v>-1221611509</v>
      </c>
      <c r="H6" s="11">
        <f t="shared" ref="H6:H20" si="5">D6^2</f>
        <v>1.058229990796879E+16</v>
      </c>
      <c r="I6" s="11">
        <f t="shared" ref="I6:I20" si="6">E6^2</f>
        <v>1305902703121</v>
      </c>
      <c r="J6" s="10">
        <f t="shared" si="3"/>
        <v>10842332.5</v>
      </c>
      <c r="K6" s="6">
        <f t="shared" ref="K6:K20" si="7">(2*$A6-$B$2-1)*B6</f>
        <v>-58825</v>
      </c>
      <c r="L6" s="6">
        <f t="shared" ref="L6:L20" si="8">(2*$A6-$B$2-1)*C6</f>
        <v>-66989</v>
      </c>
      <c r="N6" s="19">
        <v>9798</v>
      </c>
      <c r="O6" s="19">
        <v>5734</v>
      </c>
      <c r="P6" s="18">
        <v>7</v>
      </c>
      <c r="Q6" s="18">
        <v>6</v>
      </c>
      <c r="R6" s="18">
        <f t="shared" ref="R6:R20" si="9">(P6-Q6)^2</f>
        <v>1</v>
      </c>
    </row>
    <row r="7" spans="1:18" x14ac:dyDescent="0.25">
      <c r="A7" s="7">
        <v>3</v>
      </c>
      <c r="B7" s="8">
        <v>5079</v>
      </c>
      <c r="C7" s="8">
        <v>5390</v>
      </c>
      <c r="D7" s="10">
        <f t="shared" si="4"/>
        <v>91939332.25</v>
      </c>
      <c r="E7" s="10">
        <f t="shared" si="0"/>
        <v>692224</v>
      </c>
      <c r="F7" s="11">
        <f t="shared" si="1"/>
        <v>-881560287279.125</v>
      </c>
      <c r="G7" s="11">
        <f t="shared" si="2"/>
        <v>-575930368</v>
      </c>
      <c r="H7" s="11">
        <f t="shared" si="5"/>
        <v>8452840814575890</v>
      </c>
      <c r="I7" s="11">
        <f t="shared" si="6"/>
        <v>479174066176</v>
      </c>
      <c r="J7" s="10">
        <f t="shared" si="3"/>
        <v>7977632</v>
      </c>
      <c r="K7" s="6">
        <f t="shared" si="7"/>
        <v>-55869</v>
      </c>
      <c r="L7" s="6">
        <f t="shared" si="8"/>
        <v>-59290</v>
      </c>
      <c r="N7" s="19">
        <v>9070</v>
      </c>
      <c r="O7" s="19">
        <v>6108</v>
      </c>
      <c r="P7" s="18">
        <v>6</v>
      </c>
      <c r="Q7" s="18">
        <v>10</v>
      </c>
      <c r="R7" s="18">
        <f t="shared" si="9"/>
        <v>16</v>
      </c>
    </row>
    <row r="8" spans="1:18" x14ac:dyDescent="0.25">
      <c r="A8" s="7">
        <v>4</v>
      </c>
      <c r="B8" s="8">
        <v>5884</v>
      </c>
      <c r="C8" s="8">
        <v>5553</v>
      </c>
      <c r="D8" s="10">
        <f t="shared" si="4"/>
        <v>77149872.25</v>
      </c>
      <c r="E8" s="10">
        <f t="shared" si="0"/>
        <v>447561</v>
      </c>
      <c r="F8" s="11">
        <f t="shared" si="1"/>
        <v>-677645902907.875</v>
      </c>
      <c r="G8" s="11">
        <f t="shared" si="2"/>
        <v>-299418309</v>
      </c>
      <c r="H8" s="11">
        <f t="shared" si="5"/>
        <v>5952102788191320</v>
      </c>
      <c r="I8" s="11">
        <f t="shared" si="6"/>
        <v>200310848721</v>
      </c>
      <c r="J8" s="10">
        <f t="shared" si="3"/>
        <v>5876161.5</v>
      </c>
      <c r="K8" s="6">
        <f t="shared" si="7"/>
        <v>-52956</v>
      </c>
      <c r="L8" s="6">
        <f t="shared" si="8"/>
        <v>-49977</v>
      </c>
      <c r="N8" s="19">
        <v>5079</v>
      </c>
      <c r="O8" s="19">
        <v>4588</v>
      </c>
      <c r="P8" s="18">
        <v>3</v>
      </c>
      <c r="Q8" s="18">
        <v>1</v>
      </c>
      <c r="R8" s="18">
        <f t="shared" si="9"/>
        <v>4</v>
      </c>
    </row>
    <row r="9" spans="1:18" x14ac:dyDescent="0.25">
      <c r="A9" s="7">
        <v>5</v>
      </c>
      <c r="B9" s="8">
        <v>7733</v>
      </c>
      <c r="C9" s="8">
        <v>5632</v>
      </c>
      <c r="D9" s="10">
        <f t="shared" si="4"/>
        <v>48087290.25</v>
      </c>
      <c r="E9" s="10">
        <f t="shared" si="0"/>
        <v>348100</v>
      </c>
      <c r="F9" s="11">
        <f t="shared" si="1"/>
        <v>-333461314238.625</v>
      </c>
      <c r="G9" s="11">
        <f t="shared" si="2"/>
        <v>-205379000</v>
      </c>
      <c r="H9" s="11">
        <f t="shared" si="5"/>
        <v>2312387483587745</v>
      </c>
      <c r="I9" s="11">
        <f t="shared" si="6"/>
        <v>121173610000</v>
      </c>
      <c r="J9" s="10">
        <f t="shared" si="3"/>
        <v>4091355</v>
      </c>
      <c r="K9" s="6">
        <f t="shared" si="7"/>
        <v>-54131</v>
      </c>
      <c r="L9" s="6">
        <f t="shared" si="8"/>
        <v>-39424</v>
      </c>
      <c r="N9" s="19">
        <v>12052</v>
      </c>
      <c r="O9" s="19">
        <v>6133</v>
      </c>
      <c r="P9" s="18">
        <v>10</v>
      </c>
      <c r="Q9" s="18">
        <v>11</v>
      </c>
      <c r="R9" s="18">
        <f t="shared" si="9"/>
        <v>1</v>
      </c>
    </row>
    <row r="10" spans="1:18" x14ac:dyDescent="0.25">
      <c r="A10" s="7">
        <v>6</v>
      </c>
      <c r="B10" s="8">
        <v>9070</v>
      </c>
      <c r="C10" s="8">
        <v>5734</v>
      </c>
      <c r="D10" s="10">
        <f t="shared" si="4"/>
        <v>31332006.25</v>
      </c>
      <c r="E10" s="10">
        <f t="shared" si="0"/>
        <v>238144</v>
      </c>
      <c r="F10" s="11">
        <f t="shared" si="1"/>
        <v>-175380904984.375</v>
      </c>
      <c r="G10" s="11">
        <f t="shared" si="2"/>
        <v>-116214272</v>
      </c>
      <c r="H10" s="11">
        <f t="shared" si="5"/>
        <v>981694615650039</v>
      </c>
      <c r="I10" s="11">
        <f t="shared" si="6"/>
        <v>56712564736</v>
      </c>
      <c r="J10" s="10">
        <f t="shared" si="3"/>
        <v>2731580</v>
      </c>
      <c r="K10" s="6">
        <f t="shared" si="7"/>
        <v>-45350</v>
      </c>
      <c r="L10" s="6">
        <f t="shared" si="8"/>
        <v>-28670</v>
      </c>
      <c r="N10" s="19">
        <v>21923</v>
      </c>
      <c r="O10" s="19">
        <v>8123</v>
      </c>
      <c r="P10" s="18">
        <v>13</v>
      </c>
      <c r="Q10" s="18">
        <v>16</v>
      </c>
      <c r="R10" s="18">
        <f t="shared" si="9"/>
        <v>9</v>
      </c>
    </row>
    <row r="11" spans="1:18" x14ac:dyDescent="0.25">
      <c r="A11" s="7">
        <v>7</v>
      </c>
      <c r="B11" s="8">
        <v>9798</v>
      </c>
      <c r="C11" s="8">
        <v>5820</v>
      </c>
      <c r="D11" s="10">
        <f t="shared" si="4"/>
        <v>23712030.25</v>
      </c>
      <c r="E11" s="10">
        <f t="shared" si="0"/>
        <v>161604</v>
      </c>
      <c r="F11" s="11">
        <f t="shared" si="1"/>
        <v>-115465731302.375</v>
      </c>
      <c r="G11" s="11">
        <f t="shared" si="2"/>
        <v>-64964808</v>
      </c>
      <c r="H11" s="11">
        <f t="shared" si="5"/>
        <v>562260378576915.06</v>
      </c>
      <c r="I11" s="11">
        <f t="shared" si="6"/>
        <v>26115852816</v>
      </c>
      <c r="J11" s="10">
        <f t="shared" si="3"/>
        <v>1957539</v>
      </c>
      <c r="K11" s="6">
        <f t="shared" si="7"/>
        <v>-29394</v>
      </c>
      <c r="L11" s="6">
        <f t="shared" si="8"/>
        <v>-17460</v>
      </c>
      <c r="N11" s="19">
        <v>44385</v>
      </c>
      <c r="O11" s="19">
        <v>7790</v>
      </c>
      <c r="P11" s="18">
        <v>16</v>
      </c>
      <c r="Q11" s="18">
        <v>15</v>
      </c>
      <c r="R11" s="18">
        <f t="shared" si="9"/>
        <v>1</v>
      </c>
    </row>
    <row r="12" spans="1:18" x14ac:dyDescent="0.25">
      <c r="A12" s="7">
        <v>8</v>
      </c>
      <c r="B12" s="8">
        <v>9904</v>
      </c>
      <c r="C12" s="8">
        <v>5871</v>
      </c>
      <c r="D12" s="10">
        <f t="shared" si="4"/>
        <v>22690932.25</v>
      </c>
      <c r="E12" s="10">
        <f t="shared" si="0"/>
        <v>123201</v>
      </c>
      <c r="F12" s="11">
        <f t="shared" si="1"/>
        <v>-108088255772.875</v>
      </c>
      <c r="G12" s="11">
        <f t="shared" si="2"/>
        <v>-43243551</v>
      </c>
      <c r="H12" s="11">
        <f t="shared" si="5"/>
        <v>514878406374090.06</v>
      </c>
      <c r="I12" s="11">
        <f t="shared" si="6"/>
        <v>15178486401</v>
      </c>
      <c r="J12" s="10">
        <f t="shared" si="3"/>
        <v>1671988.5</v>
      </c>
      <c r="K12" s="6">
        <f t="shared" si="7"/>
        <v>-9904</v>
      </c>
      <c r="L12" s="6">
        <f t="shared" si="8"/>
        <v>-5871</v>
      </c>
      <c r="N12" s="19">
        <v>3410</v>
      </c>
      <c r="O12" s="19">
        <v>5153</v>
      </c>
      <c r="P12" s="18">
        <v>1</v>
      </c>
      <c r="Q12" s="18">
        <v>2</v>
      </c>
      <c r="R12" s="18">
        <f t="shared" si="9"/>
        <v>1</v>
      </c>
    </row>
    <row r="13" spans="1:18" x14ac:dyDescent="0.25">
      <c r="A13" s="7">
        <v>9</v>
      </c>
      <c r="B13" s="8">
        <v>10110</v>
      </c>
      <c r="C13" s="8">
        <v>5980</v>
      </c>
      <c r="D13" s="10">
        <f t="shared" si="4"/>
        <v>20770806.25</v>
      </c>
      <c r="E13" s="10">
        <f t="shared" si="0"/>
        <v>58564</v>
      </c>
      <c r="F13" s="11">
        <f t="shared" si="1"/>
        <v>-94662949484.375</v>
      </c>
      <c r="G13" s="11">
        <f t="shared" si="2"/>
        <v>-14172488</v>
      </c>
      <c r="H13" s="11">
        <f t="shared" si="5"/>
        <v>431426392275039.06</v>
      </c>
      <c r="I13" s="11">
        <f t="shared" si="6"/>
        <v>3429742096</v>
      </c>
      <c r="J13" s="10">
        <f t="shared" si="3"/>
        <v>1102915</v>
      </c>
      <c r="K13" s="6">
        <f t="shared" si="7"/>
        <v>10110</v>
      </c>
      <c r="L13" s="6">
        <f t="shared" si="8"/>
        <v>5980</v>
      </c>
      <c r="N13" s="19">
        <v>9904</v>
      </c>
      <c r="O13" s="19">
        <v>5871</v>
      </c>
      <c r="P13" s="18">
        <v>8</v>
      </c>
      <c r="Q13" s="18">
        <v>8</v>
      </c>
      <c r="R13" s="18">
        <f t="shared" si="9"/>
        <v>0</v>
      </c>
    </row>
    <row r="14" spans="1:18" x14ac:dyDescent="0.25">
      <c r="A14" s="7">
        <v>10</v>
      </c>
      <c r="B14" s="8">
        <v>12052</v>
      </c>
      <c r="C14" s="8">
        <v>6108</v>
      </c>
      <c r="D14" s="10">
        <f t="shared" si="4"/>
        <v>6840840.25</v>
      </c>
      <c r="E14" s="10">
        <f t="shared" si="0"/>
        <v>12996</v>
      </c>
      <c r="F14" s="11">
        <f t="shared" si="1"/>
        <v>-17892217673.875</v>
      </c>
      <c r="G14" s="11">
        <f t="shared" si="2"/>
        <v>-1481544</v>
      </c>
      <c r="H14" s="11">
        <f t="shared" si="5"/>
        <v>46797095326020.063</v>
      </c>
      <c r="I14" s="11">
        <f t="shared" si="6"/>
        <v>168896016</v>
      </c>
      <c r="J14" s="10">
        <f t="shared" si="3"/>
        <v>298167</v>
      </c>
      <c r="K14" s="6">
        <f t="shared" si="7"/>
        <v>36156</v>
      </c>
      <c r="L14" s="6">
        <f t="shared" si="8"/>
        <v>18324</v>
      </c>
      <c r="N14" s="19">
        <v>7733</v>
      </c>
      <c r="O14" s="19">
        <v>5632</v>
      </c>
      <c r="P14" s="18">
        <v>5</v>
      </c>
      <c r="Q14" s="18">
        <v>5</v>
      </c>
      <c r="R14" s="18">
        <f t="shared" si="9"/>
        <v>0</v>
      </c>
    </row>
    <row r="15" spans="1:18" x14ac:dyDescent="0.25">
      <c r="A15" s="7">
        <v>11</v>
      </c>
      <c r="B15" s="8">
        <v>16972</v>
      </c>
      <c r="C15" s="8">
        <v>6133</v>
      </c>
      <c r="D15" s="10">
        <f t="shared" si="4"/>
        <v>5310720.25</v>
      </c>
      <c r="E15" s="10">
        <f t="shared" si="0"/>
        <v>7921</v>
      </c>
      <c r="F15" s="11">
        <f t="shared" si="1"/>
        <v>12238554816.125</v>
      </c>
      <c r="G15" s="11">
        <f t="shared" si="2"/>
        <v>-704969</v>
      </c>
      <c r="H15" s="11">
        <f t="shared" si="5"/>
        <v>28203749573760.063</v>
      </c>
      <c r="I15" s="11">
        <f t="shared" si="6"/>
        <v>62742241</v>
      </c>
      <c r="J15" s="10">
        <f t="shared" si="3"/>
        <v>-205100.5</v>
      </c>
      <c r="K15" s="6">
        <f t="shared" si="7"/>
        <v>84860</v>
      </c>
      <c r="L15" s="6">
        <f t="shared" si="8"/>
        <v>30665</v>
      </c>
      <c r="N15" s="19">
        <v>21765</v>
      </c>
      <c r="O15" s="19">
        <v>7530</v>
      </c>
      <c r="P15" s="18">
        <v>12</v>
      </c>
      <c r="Q15" s="18">
        <v>14</v>
      </c>
      <c r="R15" s="18">
        <f t="shared" si="9"/>
        <v>4</v>
      </c>
    </row>
    <row r="16" spans="1:18" x14ac:dyDescent="0.25">
      <c r="A16" s="7">
        <v>12</v>
      </c>
      <c r="B16" s="8">
        <v>21765</v>
      </c>
      <c r="C16" s="8">
        <v>7029</v>
      </c>
      <c r="D16" s="10">
        <f t="shared" si="4"/>
        <v>50374506.25</v>
      </c>
      <c r="E16" s="10">
        <f t="shared" si="0"/>
        <v>651249</v>
      </c>
      <c r="F16" s="11">
        <f t="shared" si="1"/>
        <v>357533058109.375</v>
      </c>
      <c r="G16" s="11">
        <f t="shared" si="2"/>
        <v>525557943</v>
      </c>
      <c r="H16" s="11">
        <f t="shared" si="5"/>
        <v>2537590879931289</v>
      </c>
      <c r="I16" s="11">
        <f t="shared" si="6"/>
        <v>424125260001</v>
      </c>
      <c r="J16" s="10">
        <f t="shared" si="3"/>
        <v>5727682.5</v>
      </c>
      <c r="K16" s="6">
        <f t="shared" si="7"/>
        <v>152355</v>
      </c>
      <c r="L16" s="6">
        <f t="shared" si="8"/>
        <v>49203</v>
      </c>
      <c r="N16" s="19">
        <v>16972</v>
      </c>
      <c r="O16" s="19">
        <v>5390</v>
      </c>
      <c r="P16" s="18">
        <v>11</v>
      </c>
      <c r="Q16" s="18">
        <v>3</v>
      </c>
      <c r="R16" s="18">
        <f t="shared" si="9"/>
        <v>64</v>
      </c>
    </row>
    <row r="17" spans="1:18" x14ac:dyDescent="0.25">
      <c r="A17" s="7">
        <v>13</v>
      </c>
      <c r="B17" s="8">
        <v>21923</v>
      </c>
      <c r="C17" s="8">
        <v>7118</v>
      </c>
      <c r="D17" s="10">
        <f t="shared" si="4"/>
        <v>52642280.25</v>
      </c>
      <c r="E17" s="10">
        <f t="shared" si="0"/>
        <v>802816</v>
      </c>
      <c r="F17" s="11">
        <f t="shared" si="1"/>
        <v>381946064353.875</v>
      </c>
      <c r="G17" s="11">
        <f t="shared" si="2"/>
        <v>719323136</v>
      </c>
      <c r="H17" s="11">
        <f t="shared" si="5"/>
        <v>2771209669919540</v>
      </c>
      <c r="I17" s="11">
        <f t="shared" si="6"/>
        <v>644513529856</v>
      </c>
      <c r="J17" s="10">
        <f t="shared" si="3"/>
        <v>6500928</v>
      </c>
      <c r="K17" s="6">
        <f t="shared" si="7"/>
        <v>197307</v>
      </c>
      <c r="L17" s="6">
        <f t="shared" si="8"/>
        <v>64062</v>
      </c>
      <c r="N17" s="19">
        <v>4525</v>
      </c>
      <c r="O17" s="19">
        <v>5820</v>
      </c>
      <c r="P17" s="18">
        <v>2</v>
      </c>
      <c r="Q17" s="18">
        <v>7</v>
      </c>
      <c r="R17" s="18">
        <f t="shared" si="9"/>
        <v>25</v>
      </c>
    </row>
    <row r="18" spans="1:18" x14ac:dyDescent="0.25">
      <c r="A18" s="7">
        <v>14</v>
      </c>
      <c r="B18" s="8">
        <v>24975</v>
      </c>
      <c r="C18" s="8">
        <v>7530</v>
      </c>
      <c r="D18" s="10">
        <f t="shared" si="4"/>
        <v>106244556.25</v>
      </c>
      <c r="E18" s="10">
        <f t="shared" si="0"/>
        <v>1710864</v>
      </c>
      <c r="F18" s="11">
        <f t="shared" si="1"/>
        <v>1095115763546.875</v>
      </c>
      <c r="G18" s="11">
        <f t="shared" si="2"/>
        <v>2237810112</v>
      </c>
      <c r="H18" s="11">
        <f t="shared" si="5"/>
        <v>1.1287905732759414E+16</v>
      </c>
      <c r="I18" s="11">
        <f t="shared" si="6"/>
        <v>2927055626496</v>
      </c>
      <c r="J18" s="10">
        <f t="shared" si="3"/>
        <v>13482210</v>
      </c>
      <c r="K18" s="6">
        <f t="shared" si="7"/>
        <v>274725</v>
      </c>
      <c r="L18" s="6">
        <f t="shared" si="8"/>
        <v>82830</v>
      </c>
      <c r="N18" s="19">
        <v>5884</v>
      </c>
      <c r="O18" s="19">
        <v>5553</v>
      </c>
      <c r="P18" s="18">
        <v>4</v>
      </c>
      <c r="Q18" s="18">
        <v>4</v>
      </c>
      <c r="R18" s="18">
        <f t="shared" si="9"/>
        <v>0</v>
      </c>
    </row>
    <row r="19" spans="1:18" x14ac:dyDescent="0.25">
      <c r="A19" s="7">
        <v>15</v>
      </c>
      <c r="B19" s="8">
        <v>27095</v>
      </c>
      <c r="C19" s="8">
        <v>7790</v>
      </c>
      <c r="D19" s="10">
        <f t="shared" si="4"/>
        <v>154442756.25</v>
      </c>
      <c r="E19" s="10">
        <f t="shared" si="0"/>
        <v>2458624</v>
      </c>
      <c r="F19" s="11">
        <f t="shared" si="1"/>
        <v>1919337353296.875</v>
      </c>
      <c r="G19" s="11">
        <f t="shared" si="2"/>
        <v>3855122432</v>
      </c>
      <c r="H19" s="11">
        <f t="shared" si="5"/>
        <v>2.3852564958096916E+16</v>
      </c>
      <c r="I19" s="11">
        <f t="shared" si="6"/>
        <v>6044831973376</v>
      </c>
      <c r="J19" s="10">
        <f t="shared" si="3"/>
        <v>19486320</v>
      </c>
      <c r="K19" s="6">
        <f t="shared" si="7"/>
        <v>352235</v>
      </c>
      <c r="L19" s="6">
        <f t="shared" si="8"/>
        <v>101270</v>
      </c>
      <c r="N19" s="22">
        <v>27095</v>
      </c>
      <c r="O19" s="22">
        <v>5980</v>
      </c>
      <c r="P19" s="23">
        <v>15</v>
      </c>
      <c r="Q19" s="23">
        <v>9</v>
      </c>
      <c r="R19" s="23">
        <f t="shared" si="9"/>
        <v>36</v>
      </c>
    </row>
    <row r="20" spans="1:18" ht="15.75" thickBot="1" x14ac:dyDescent="0.3">
      <c r="A20" s="47">
        <v>16</v>
      </c>
      <c r="B20" s="48">
        <v>44385</v>
      </c>
      <c r="C20" s="48">
        <v>8123</v>
      </c>
      <c r="D20" s="49">
        <f t="shared" si="4"/>
        <v>883129806.25</v>
      </c>
      <c r="E20" s="49">
        <f t="shared" si="0"/>
        <v>3613801</v>
      </c>
      <c r="F20" s="50">
        <f t="shared" si="1"/>
        <v>26244410017234.375</v>
      </c>
      <c r="G20" s="50">
        <f t="shared" si="2"/>
        <v>6869835701</v>
      </c>
      <c r="H20" s="50">
        <f t="shared" si="5"/>
        <v>7.799182546871625E+17</v>
      </c>
      <c r="I20" s="50">
        <f t="shared" si="6"/>
        <v>13059557667601</v>
      </c>
      <c r="J20" s="49">
        <f t="shared" si="3"/>
        <v>56492967.5</v>
      </c>
      <c r="K20" s="51">
        <f t="shared" si="7"/>
        <v>665775</v>
      </c>
      <c r="L20" s="51">
        <f t="shared" si="8"/>
        <v>121845</v>
      </c>
      <c r="N20" s="52">
        <v>10110</v>
      </c>
      <c r="O20" s="52">
        <v>7029</v>
      </c>
      <c r="P20" s="53">
        <v>9</v>
      </c>
      <c r="Q20" s="53">
        <v>12</v>
      </c>
      <c r="R20" s="53">
        <f t="shared" si="9"/>
        <v>9</v>
      </c>
    </row>
    <row r="21" spans="1:18" x14ac:dyDescent="0.25">
      <c r="A21" s="61" t="s">
        <v>61</v>
      </c>
      <c r="B21" s="45"/>
      <c r="C21" s="45"/>
      <c r="D21" s="63">
        <f>SUM(D5:D20)</f>
        <v>1804269348</v>
      </c>
      <c r="E21" s="63">
        <f>SUM(E5:E20)</f>
        <v>15140386</v>
      </c>
      <c r="F21" s="64">
        <f t="shared" ref="F21:R21" si="10">SUM(F5:F20)</f>
        <v>25136383486464</v>
      </c>
      <c r="G21" s="64">
        <f t="shared" si="10"/>
        <v>7301820402</v>
      </c>
      <c r="H21" s="64">
        <f t="shared" si="10"/>
        <v>8.6629324154380058E+17</v>
      </c>
      <c r="I21" s="64">
        <f t="shared" si="10"/>
        <v>32436978611590</v>
      </c>
      <c r="J21" s="64">
        <f t="shared" si="10"/>
        <v>156429433</v>
      </c>
      <c r="K21" s="64">
        <f t="shared" si="10"/>
        <v>1415944</v>
      </c>
      <c r="L21" s="64">
        <f t="shared" si="10"/>
        <v>137678</v>
      </c>
      <c r="M21" s="24"/>
      <c r="N21" s="46"/>
      <c r="O21" s="46"/>
      <c r="P21" s="46"/>
      <c r="Q21" s="46"/>
      <c r="R21" s="70">
        <f t="shared" si="10"/>
        <v>172</v>
      </c>
    </row>
    <row r="22" spans="1:18" x14ac:dyDescent="0.25">
      <c r="B22" s="4"/>
      <c r="C22" s="4"/>
    </row>
    <row r="24" spans="1:18" x14ac:dyDescent="0.25">
      <c r="A24" s="27" t="s">
        <v>62</v>
      </c>
      <c r="B24" s="25" t="s">
        <v>63</v>
      </c>
      <c r="C24" s="39" t="s">
        <v>64</v>
      </c>
      <c r="D24" s="39"/>
      <c r="E24" s="39"/>
      <c r="F24" s="39"/>
      <c r="G24" s="26" t="s">
        <v>65</v>
      </c>
      <c r="H24" s="37" t="s">
        <v>66</v>
      </c>
      <c r="I24" s="37"/>
      <c r="J24" s="37"/>
      <c r="K24" s="37"/>
      <c r="L24" s="37"/>
    </row>
    <row r="25" spans="1:18" x14ac:dyDescent="0.25">
      <c r="A25" s="31" t="s">
        <v>67</v>
      </c>
      <c r="B25" s="31"/>
      <c r="C25" s="31"/>
      <c r="D25" s="31"/>
      <c r="E25" s="31"/>
      <c r="F25" s="31"/>
      <c r="G25" s="31"/>
      <c r="H25" s="31"/>
      <c r="I25" s="31"/>
      <c r="J25" s="31"/>
      <c r="K25" s="31"/>
      <c r="L25" s="31"/>
    </row>
    <row r="26" spans="1:18" ht="30" customHeight="1" x14ac:dyDescent="0.25">
      <c r="A26" s="6" t="s">
        <v>68</v>
      </c>
      <c r="B26" s="12">
        <f>(1/$B$2)*SUM(B5:B20)</f>
        <v>14667.5</v>
      </c>
      <c r="C26" s="56" t="s">
        <v>69</v>
      </c>
      <c r="D26" s="56"/>
      <c r="E26" s="56"/>
      <c r="F26" s="56"/>
      <c r="G26" s="13">
        <f>(1/$B$2)*SUM(C5:C20)</f>
        <v>6222</v>
      </c>
      <c r="H26" s="57" t="s">
        <v>70</v>
      </c>
      <c r="I26" s="57"/>
      <c r="J26" s="57"/>
      <c r="K26" s="57"/>
      <c r="L26" s="57"/>
    </row>
    <row r="27" spans="1:18" ht="30" customHeight="1" x14ac:dyDescent="0.25">
      <c r="A27" s="6" t="s">
        <v>71</v>
      </c>
      <c r="B27" s="12">
        <f>(B12+B13)/2</f>
        <v>10007</v>
      </c>
      <c r="C27" s="57" t="s">
        <v>72</v>
      </c>
      <c r="D27" s="57"/>
      <c r="E27" s="57"/>
      <c r="F27" s="57"/>
      <c r="G27" s="13">
        <f>(C12+C13)/2</f>
        <v>5925.5</v>
      </c>
      <c r="H27" s="57" t="s">
        <v>73</v>
      </c>
      <c r="I27" s="57"/>
      <c r="J27" s="57"/>
      <c r="K27" s="57"/>
      <c r="L27" s="57"/>
    </row>
    <row r="28" spans="1:18" ht="30" customHeight="1" x14ac:dyDescent="0.25">
      <c r="A28" s="6" t="s">
        <v>74</v>
      </c>
      <c r="B28" s="12">
        <f>B8</f>
        <v>5884</v>
      </c>
      <c r="C28" s="58" t="s">
        <v>75</v>
      </c>
      <c r="D28" s="56"/>
      <c r="E28" s="56"/>
      <c r="F28" s="56"/>
      <c r="G28" s="13">
        <f>C8</f>
        <v>5553</v>
      </c>
      <c r="H28" s="57" t="s">
        <v>76</v>
      </c>
      <c r="I28" s="57"/>
      <c r="J28" s="57"/>
      <c r="K28" s="57"/>
      <c r="L28" s="57"/>
      <c r="M28" t="s">
        <v>77</v>
      </c>
      <c r="N28" s="9">
        <f>0.25*($B$2+1)</f>
        <v>4.25</v>
      </c>
    </row>
    <row r="29" spans="1:18" ht="30" customHeight="1" x14ac:dyDescent="0.25">
      <c r="A29" s="6" t="s">
        <v>78</v>
      </c>
      <c r="B29" s="12">
        <f>B17</f>
        <v>21923</v>
      </c>
      <c r="C29" s="58" t="s">
        <v>79</v>
      </c>
      <c r="D29" s="56"/>
      <c r="E29" s="56"/>
      <c r="F29" s="56"/>
      <c r="G29" s="13">
        <f>C17</f>
        <v>7118</v>
      </c>
      <c r="H29" s="57" t="s">
        <v>80</v>
      </c>
      <c r="I29" s="57"/>
      <c r="J29" s="57"/>
      <c r="K29" s="57"/>
      <c r="L29" s="57"/>
      <c r="M29" t="s">
        <v>81</v>
      </c>
      <c r="N29" s="9">
        <f>0.75*($B$2+1)</f>
        <v>12.75</v>
      </c>
    </row>
    <row r="30" spans="1:18" x14ac:dyDescent="0.25">
      <c r="A30" s="31" t="s">
        <v>82</v>
      </c>
      <c r="B30" s="31"/>
      <c r="C30" s="31"/>
      <c r="D30" s="31"/>
      <c r="E30" s="31"/>
      <c r="F30" s="31"/>
      <c r="G30" s="31"/>
      <c r="H30" s="31"/>
      <c r="I30" s="31"/>
      <c r="J30" s="31"/>
      <c r="K30" s="31"/>
      <c r="L30" s="31"/>
      <c r="O30" s="9"/>
    </row>
    <row r="31" spans="1:18" x14ac:dyDescent="0.25">
      <c r="A31" s="6" t="s">
        <v>83</v>
      </c>
      <c r="B31" s="12">
        <f>(1/$B$2)*D21</f>
        <v>112766834.25</v>
      </c>
      <c r="C31" s="36"/>
      <c r="D31" s="36"/>
      <c r="E31" s="36"/>
      <c r="F31" s="36"/>
      <c r="G31" s="13">
        <f>(1/$B$2)*E21</f>
        <v>946274.125</v>
      </c>
      <c r="H31" s="32"/>
      <c r="I31" s="32"/>
      <c r="J31" s="32"/>
      <c r="K31" s="32"/>
      <c r="L31" s="32"/>
    </row>
    <row r="32" spans="1:18" ht="30" customHeight="1" x14ac:dyDescent="0.25">
      <c r="A32" s="6" t="s">
        <v>84</v>
      </c>
      <c r="B32" s="12">
        <f>SQRT(B31)</f>
        <v>10619.17295508459</v>
      </c>
      <c r="C32" s="56" t="s">
        <v>156</v>
      </c>
      <c r="D32" s="56"/>
      <c r="E32" s="56"/>
      <c r="F32" s="56"/>
      <c r="G32" s="13">
        <f>SQRT(G31)</f>
        <v>972.76622320062074</v>
      </c>
      <c r="H32" s="57" t="s">
        <v>155</v>
      </c>
      <c r="I32" s="57"/>
      <c r="J32" s="57"/>
      <c r="K32" s="57"/>
      <c r="L32" s="57"/>
    </row>
    <row r="33" spans="1:18" x14ac:dyDescent="0.25">
      <c r="A33" s="6" t="s">
        <v>85</v>
      </c>
      <c r="B33" s="14">
        <f>B32/B26</f>
        <v>0.72399338367714949</v>
      </c>
      <c r="C33" s="36" t="s">
        <v>86</v>
      </c>
      <c r="D33" s="36"/>
      <c r="E33" s="36"/>
      <c r="F33" s="36"/>
      <c r="G33" s="14">
        <f>G32/G26</f>
        <v>0.15634301240768575</v>
      </c>
      <c r="H33" s="32" t="s">
        <v>87</v>
      </c>
      <c r="I33" s="32"/>
      <c r="J33" s="32"/>
      <c r="K33" s="32"/>
      <c r="L33" s="32"/>
    </row>
    <row r="34" spans="1:18" x14ac:dyDescent="0.25">
      <c r="A34" s="31" t="s">
        <v>88</v>
      </c>
      <c r="B34" s="31"/>
      <c r="C34" s="31"/>
      <c r="D34" s="31"/>
      <c r="E34" s="31"/>
      <c r="F34" s="31"/>
      <c r="G34" s="31"/>
      <c r="H34" s="31"/>
      <c r="I34" s="31"/>
      <c r="J34" s="31"/>
      <c r="K34" s="31"/>
      <c r="L34" s="31"/>
    </row>
    <row r="35" spans="1:18" x14ac:dyDescent="0.25">
      <c r="A35" s="6" t="s">
        <v>133</v>
      </c>
      <c r="B35" s="13">
        <f>((1/$B$2)*F$21)/(B$32^3)</f>
        <v>1.3119301959052168</v>
      </c>
      <c r="C35" s="32" t="s">
        <v>134</v>
      </c>
      <c r="D35" s="32"/>
      <c r="E35" s="32"/>
      <c r="F35" s="32"/>
      <c r="G35" s="13">
        <f>((1/$B$2)*G21)/(G$32^3)</f>
        <v>0.49577624833462391</v>
      </c>
      <c r="H35" s="32" t="s">
        <v>137</v>
      </c>
      <c r="I35" s="32"/>
      <c r="J35" s="32"/>
      <c r="K35" s="32"/>
      <c r="L35" s="32"/>
    </row>
    <row r="36" spans="1:18" ht="30" customHeight="1" x14ac:dyDescent="0.25">
      <c r="A36" s="6" t="s">
        <v>135</v>
      </c>
      <c r="B36" s="13">
        <f>((1/$B$2)*H$21)/(B$32^4)</f>
        <v>4.2577696959839137</v>
      </c>
      <c r="C36" s="57" t="s">
        <v>136</v>
      </c>
      <c r="D36" s="57"/>
      <c r="E36" s="57"/>
      <c r="F36" s="57"/>
      <c r="G36" s="13">
        <f>((1/$B$2)*I21)/(G$32^4)</f>
        <v>2.2640524415104331</v>
      </c>
      <c r="H36" s="57" t="s">
        <v>138</v>
      </c>
      <c r="I36" s="57"/>
      <c r="J36" s="57"/>
      <c r="K36" s="57"/>
      <c r="L36" s="57"/>
    </row>
    <row r="37" spans="1:18" ht="30" customHeight="1" x14ac:dyDescent="0.25">
      <c r="A37" s="6" t="s">
        <v>143</v>
      </c>
      <c r="B37" s="13">
        <f>$K$21/(($B$2^2)*$B$26)</f>
        <v>0.37709434123061192</v>
      </c>
      <c r="C37" s="67" t="s">
        <v>95</v>
      </c>
      <c r="D37" s="67"/>
      <c r="E37" s="67"/>
      <c r="F37" s="67"/>
      <c r="G37" s="13">
        <f>$L$21/(($B$2^2)*$G$26)</f>
        <v>8.6435983204757316E-2</v>
      </c>
      <c r="H37" s="57" t="s">
        <v>96</v>
      </c>
      <c r="I37" s="57"/>
      <c r="J37" s="57"/>
      <c r="K37" s="57"/>
      <c r="L37" s="57"/>
    </row>
    <row r="38" spans="1:18" x14ac:dyDescent="0.25">
      <c r="A38" s="31" t="s">
        <v>89</v>
      </c>
      <c r="B38" s="31"/>
      <c r="C38" s="31"/>
      <c r="D38" s="31"/>
      <c r="E38" s="31"/>
      <c r="F38" s="31"/>
      <c r="G38" s="31"/>
      <c r="H38" s="31"/>
      <c r="I38" s="31"/>
      <c r="J38" s="31"/>
      <c r="K38" s="31"/>
      <c r="L38" s="31"/>
    </row>
    <row r="39" spans="1:18" x14ac:dyDescent="0.25">
      <c r="A39" s="27" t="s">
        <v>62</v>
      </c>
      <c r="B39" s="28" t="s">
        <v>90</v>
      </c>
      <c r="C39" s="55" t="s">
        <v>91</v>
      </c>
      <c r="D39" s="55"/>
      <c r="E39" s="55"/>
      <c r="F39" s="55"/>
      <c r="G39" s="55"/>
      <c r="H39" s="55"/>
      <c r="I39" s="55"/>
      <c r="J39" s="55"/>
      <c r="K39" s="55"/>
      <c r="L39" s="55"/>
    </row>
    <row r="40" spans="1:18" ht="30" customHeight="1" x14ac:dyDescent="0.25">
      <c r="A40" s="6" t="s">
        <v>92</v>
      </c>
      <c r="B40" s="13">
        <f>J21/(SQRT(D21)*SQRT(E21))</f>
        <v>0.94645356586127238</v>
      </c>
      <c r="C40" s="57" t="s">
        <v>147</v>
      </c>
      <c r="D40" s="57"/>
      <c r="E40" s="57"/>
      <c r="F40" s="57"/>
      <c r="G40" s="57"/>
      <c r="H40" s="57"/>
      <c r="I40" s="57"/>
      <c r="J40" s="57"/>
      <c r="K40" s="57"/>
      <c r="L40" s="57"/>
      <c r="O40" s="66" t="s">
        <v>142</v>
      </c>
      <c r="P40" s="66"/>
      <c r="Q40" s="66"/>
      <c r="R40" s="66"/>
    </row>
    <row r="41" spans="1:18" x14ac:dyDescent="0.25">
      <c r="A41" s="6" t="s">
        <v>93</v>
      </c>
      <c r="B41" s="13">
        <f>1-((6*R21)/($B$2*($B$2^2-1)))</f>
        <v>0.74705882352941178</v>
      </c>
      <c r="C41" s="32" t="s">
        <v>94</v>
      </c>
      <c r="D41" s="32"/>
      <c r="E41" s="32"/>
      <c r="F41" s="32"/>
      <c r="G41" s="32"/>
      <c r="H41" s="32"/>
      <c r="I41" s="32"/>
      <c r="J41" s="32"/>
      <c r="K41" s="32"/>
      <c r="L41" s="32"/>
      <c r="O41" s="66"/>
      <c r="P41" s="66"/>
      <c r="Q41" s="66"/>
      <c r="R41" s="66"/>
    </row>
    <row r="42" spans="1:18" x14ac:dyDescent="0.25">
      <c r="C42" s="2"/>
      <c r="D42" s="2"/>
      <c r="E42" s="2"/>
      <c r="F42" s="2"/>
      <c r="H42" s="17"/>
      <c r="I42" s="17"/>
      <c r="J42" s="17"/>
      <c r="K42" s="17"/>
    </row>
    <row r="45" spans="1:18" x14ac:dyDescent="0.25">
      <c r="A45" s="38" t="s">
        <v>97</v>
      </c>
      <c r="B45" s="38"/>
      <c r="C45" s="38"/>
    </row>
    <row r="46" spans="1:18" x14ac:dyDescent="0.25">
      <c r="A46" s="34" t="s">
        <v>98</v>
      </c>
      <c r="B46" s="34"/>
      <c r="C46">
        <f>SQRT(B2)</f>
        <v>4</v>
      </c>
    </row>
    <row r="47" spans="1:18" x14ac:dyDescent="0.25">
      <c r="A47" s="71" t="s">
        <v>101</v>
      </c>
      <c r="B47" s="72"/>
      <c r="C47" s="6" t="s">
        <v>99</v>
      </c>
      <c r="D47" s="6" t="s">
        <v>100</v>
      </c>
    </row>
    <row r="48" spans="1:18" x14ac:dyDescent="0.25">
      <c r="A48" s="71"/>
      <c r="B48" s="72"/>
      <c r="C48" s="12">
        <f>(B20-B5)/$C$46</f>
        <v>10243.75</v>
      </c>
      <c r="D48" s="12">
        <f>(C20-C5)/$C$46</f>
        <v>883.75</v>
      </c>
    </row>
    <row r="49" spans="1:19" x14ac:dyDescent="0.25">
      <c r="A49" s="2"/>
      <c r="B49" s="2"/>
      <c r="C49" s="9"/>
      <c r="D49" s="9"/>
    </row>
    <row r="50" spans="1:19" x14ac:dyDescent="0.25">
      <c r="A50" s="30" t="s">
        <v>46</v>
      </c>
      <c r="B50" s="30" t="s">
        <v>47</v>
      </c>
      <c r="C50" s="30"/>
      <c r="D50" s="30" t="s">
        <v>102</v>
      </c>
      <c r="E50" s="30" t="s">
        <v>103</v>
      </c>
      <c r="F50" s="30" t="s">
        <v>48</v>
      </c>
      <c r="G50" s="30"/>
      <c r="H50" s="30" t="s">
        <v>104</v>
      </c>
      <c r="I50" s="30" t="s">
        <v>105</v>
      </c>
      <c r="J50" s="30" t="s">
        <v>106</v>
      </c>
      <c r="K50" s="30" t="s">
        <v>107</v>
      </c>
      <c r="L50" s="30" t="s">
        <v>108</v>
      </c>
      <c r="M50" s="30" t="s">
        <v>109</v>
      </c>
      <c r="N50" s="30" t="s">
        <v>110</v>
      </c>
      <c r="O50" s="30" t="s">
        <v>111</v>
      </c>
      <c r="P50" s="30" t="s">
        <v>112</v>
      </c>
      <c r="Q50" s="30" t="s">
        <v>113</v>
      </c>
    </row>
    <row r="51" spans="1:19" ht="30" x14ac:dyDescent="0.25">
      <c r="A51" s="30"/>
      <c r="B51" s="15" t="s">
        <v>114</v>
      </c>
      <c r="C51" s="16" t="s">
        <v>115</v>
      </c>
      <c r="D51" s="30"/>
      <c r="E51" s="30"/>
      <c r="F51" s="15" t="s">
        <v>114</v>
      </c>
      <c r="G51" s="16" t="s">
        <v>115</v>
      </c>
      <c r="H51" s="30"/>
      <c r="I51" s="30"/>
      <c r="J51" s="30"/>
      <c r="K51" s="30"/>
      <c r="L51" s="30"/>
      <c r="M51" s="30"/>
      <c r="N51" s="30"/>
      <c r="O51" s="30"/>
      <c r="P51" s="30"/>
      <c r="Q51" s="30"/>
    </row>
    <row r="52" spans="1:19" x14ac:dyDescent="0.25">
      <c r="A52" s="6">
        <v>1</v>
      </c>
      <c r="B52" s="10">
        <f>B5</f>
        <v>3410</v>
      </c>
      <c r="C52" s="10">
        <f>B52+$C$48</f>
        <v>13653.75</v>
      </c>
      <c r="D52" s="6">
        <v>10</v>
      </c>
      <c r="E52" s="12">
        <f>B52+0.5*C$48</f>
        <v>8531.875</v>
      </c>
      <c r="F52" s="10">
        <f>C5</f>
        <v>4588</v>
      </c>
      <c r="G52" s="10">
        <f>F52+$D$48</f>
        <v>5471.75</v>
      </c>
      <c r="H52" s="6">
        <v>3</v>
      </c>
      <c r="I52" s="12">
        <f>F52+0.5*D$48</f>
        <v>5029.875</v>
      </c>
      <c r="J52" s="6">
        <f>E52*D52</f>
        <v>85318.75</v>
      </c>
      <c r="K52" s="6">
        <f>I52*H52</f>
        <v>15089.625</v>
      </c>
      <c r="L52" s="6">
        <f>$D52*($E52-$B$61)^2</f>
        <v>409900054.93164063</v>
      </c>
      <c r="M52" s="6">
        <f>$H52*($I52-$G$61)^2</f>
        <v>4036256.2683105469</v>
      </c>
      <c r="N52" s="6">
        <f>$D52*($E52-$B$61)^3</f>
        <v>-2624321054816.2461</v>
      </c>
      <c r="O52" s="6">
        <f>$H52*($I52-$G$61)^3</f>
        <v>-4681741938.7192726</v>
      </c>
      <c r="P52" s="6">
        <f>$D52*($E52-$B$61)^4</f>
        <v>1.68018055032962E+16</v>
      </c>
      <c r="Q52" s="6">
        <f>$H52*($I52-$G$61)^4</f>
        <v>5430454887825.3945</v>
      </c>
      <c r="R52" s="9"/>
      <c r="S52" s="9"/>
    </row>
    <row r="53" spans="1:19" x14ac:dyDescent="0.25">
      <c r="A53" s="6">
        <v>2</v>
      </c>
      <c r="B53" s="10">
        <f>C52</f>
        <v>13653.75</v>
      </c>
      <c r="C53" s="10">
        <f t="shared" ref="C53:C55" si="11">B53+$C$48</f>
        <v>23897.5</v>
      </c>
      <c r="D53" s="6">
        <v>3</v>
      </c>
      <c r="E53" s="12">
        <f t="shared" ref="E53:E55" si="12">B53+0.5*C$48</f>
        <v>18775.625</v>
      </c>
      <c r="F53" s="10">
        <f>G52</f>
        <v>5471.75</v>
      </c>
      <c r="G53" s="10">
        <f t="shared" ref="G53:G55" si="13">F53+$D$48</f>
        <v>6355.5</v>
      </c>
      <c r="H53" s="6">
        <v>8</v>
      </c>
      <c r="I53" s="12">
        <f t="shared" ref="I53:I55" si="14">F53+0.5*D$48</f>
        <v>5913.625</v>
      </c>
      <c r="J53" s="6">
        <f t="shared" ref="J53:J55" si="15">E53*D53</f>
        <v>56326.875</v>
      </c>
      <c r="K53" s="6">
        <f t="shared" ref="K53:K55" si="16">I53*H53</f>
        <v>47309</v>
      </c>
      <c r="L53" s="6">
        <f t="shared" ref="L53:L55" si="17">$D53*($E53-$B$61)^2</f>
        <v>44269205.932617188</v>
      </c>
      <c r="M53" s="6">
        <f t="shared" ref="M53:M55" si="18">$H53*($I53-$G$61)^2</f>
        <v>610167.236328125</v>
      </c>
      <c r="N53" s="6">
        <f t="shared" ref="N53:N55" si="19">$D53*($E53-$B$61)^3</f>
        <v>170056004352.09274</v>
      </c>
      <c r="O53" s="6">
        <f t="shared" ref="O53:O55" si="20">$H53*($I53-$G$61)^3</f>
        <v>-168511029.7203064</v>
      </c>
      <c r="P53" s="6">
        <f t="shared" ref="P53:P55" si="21">$D53*($E53-$B$61)^4</f>
        <v>653254197968156.25</v>
      </c>
      <c r="Q53" s="6">
        <f t="shared" ref="Q53:Q55" si="22">$H53*($I53-$G$61)^4</f>
        <v>46538007036.037743</v>
      </c>
      <c r="R53" s="9"/>
      <c r="S53" s="9"/>
    </row>
    <row r="54" spans="1:19" x14ac:dyDescent="0.25">
      <c r="A54" s="6">
        <v>3</v>
      </c>
      <c r="B54" s="10">
        <f t="shared" ref="B54:B55" si="23">C53</f>
        <v>23897.5</v>
      </c>
      <c r="C54" s="10">
        <f t="shared" si="11"/>
        <v>34141.25</v>
      </c>
      <c r="D54" s="6">
        <v>2</v>
      </c>
      <c r="E54" s="12">
        <f t="shared" si="12"/>
        <v>29019.375</v>
      </c>
      <c r="F54" s="10">
        <f t="shared" ref="F54:F55" si="24">G53</f>
        <v>6355.5</v>
      </c>
      <c r="G54" s="10">
        <f t="shared" si="13"/>
        <v>7239.25</v>
      </c>
      <c r="H54" s="6">
        <v>2</v>
      </c>
      <c r="I54" s="12">
        <f t="shared" si="14"/>
        <v>6797.375</v>
      </c>
      <c r="J54" s="6">
        <f t="shared" si="15"/>
        <v>58038.75</v>
      </c>
      <c r="K54" s="6">
        <f t="shared" si="16"/>
        <v>13594.75</v>
      </c>
      <c r="L54" s="6">
        <f t="shared" si="17"/>
        <v>396783253.17382813</v>
      </c>
      <c r="M54" s="6">
        <f t="shared" si="18"/>
        <v>738302.35595703125</v>
      </c>
      <c r="N54" s="6">
        <f t="shared" si="19"/>
        <v>5588754118336.6777</v>
      </c>
      <c r="O54" s="6">
        <f t="shared" si="20"/>
        <v>448576361.11545563</v>
      </c>
      <c r="P54" s="6">
        <f t="shared" si="21"/>
        <v>7.8718474999603088E+16</v>
      </c>
      <c r="Q54" s="6">
        <f t="shared" si="22"/>
        <v>272545184405.85144</v>
      </c>
      <c r="R54" s="9"/>
      <c r="S54" s="9"/>
    </row>
    <row r="55" spans="1:19" ht="15.75" thickBot="1" x14ac:dyDescent="0.3">
      <c r="A55" s="51">
        <v>4</v>
      </c>
      <c r="B55" s="49">
        <f t="shared" si="23"/>
        <v>34141.25</v>
      </c>
      <c r="C55" s="49">
        <f t="shared" si="11"/>
        <v>44385</v>
      </c>
      <c r="D55" s="51">
        <v>1</v>
      </c>
      <c r="E55" s="62">
        <f t="shared" si="12"/>
        <v>39263.125</v>
      </c>
      <c r="F55" s="49">
        <f t="shared" si="24"/>
        <v>7239.25</v>
      </c>
      <c r="G55" s="49">
        <f t="shared" si="13"/>
        <v>8123</v>
      </c>
      <c r="H55" s="51">
        <v>3</v>
      </c>
      <c r="I55" s="62">
        <f t="shared" si="14"/>
        <v>7681.125</v>
      </c>
      <c r="J55" s="51">
        <f t="shared" si="15"/>
        <v>39263.125</v>
      </c>
      <c r="K55" s="51">
        <f t="shared" si="16"/>
        <v>23043.375</v>
      </c>
      <c r="L55" s="51">
        <f t="shared" si="17"/>
        <v>591895679.32128906</v>
      </c>
      <c r="M55" s="51">
        <f t="shared" si="18"/>
        <v>6672178.7292480469</v>
      </c>
      <c r="N55" s="51">
        <f t="shared" si="19"/>
        <v>14400174491987.705</v>
      </c>
      <c r="O55" s="51">
        <f t="shared" si="20"/>
        <v>9950407793.9543724</v>
      </c>
      <c r="P55" s="51">
        <f t="shared" si="21"/>
        <v>3.5034049519921024E+17</v>
      </c>
      <c r="Q55" s="51">
        <f t="shared" si="22"/>
        <v>14839322998343.361</v>
      </c>
      <c r="R55" s="9"/>
      <c r="S55" s="9"/>
    </row>
    <row r="56" spans="1:19" x14ac:dyDescent="0.25">
      <c r="A56" s="60" t="s">
        <v>61</v>
      </c>
      <c r="B56" s="5"/>
      <c r="C56" s="5"/>
      <c r="E56" s="9"/>
      <c r="F56" s="5"/>
      <c r="G56" s="5"/>
      <c r="I56" s="9"/>
      <c r="J56" s="61">
        <f>SUM(J52:J55)</f>
        <v>238947.5</v>
      </c>
      <c r="K56" s="61">
        <f>SUM(K52:K55)</f>
        <v>99036.75</v>
      </c>
      <c r="L56" s="61">
        <f t="shared" ref="L56:M56" si="25">SUM(L52:L55)</f>
        <v>1442848193.359375</v>
      </c>
      <c r="M56" s="61">
        <f t="shared" si="25"/>
        <v>12056904.58984375</v>
      </c>
      <c r="N56" s="61">
        <f t="shared" ref="N56" si="26">SUM(N52:N55)</f>
        <v>17534663559860.23</v>
      </c>
      <c r="O56" s="61">
        <f t="shared" ref="O56" si="27">SUM(O52:O55)</f>
        <v>5548731186.630249</v>
      </c>
      <c r="P56" s="61">
        <f t="shared" ref="P56" si="28">SUM(P52:P55)</f>
        <v>4.465140299000777E+17</v>
      </c>
      <c r="Q56" s="61">
        <f t="shared" ref="Q56" si="29">SUM(Q52:Q55)</f>
        <v>20588861077610.645</v>
      </c>
    </row>
    <row r="57" spans="1:19" x14ac:dyDescent="0.25">
      <c r="B57" s="5"/>
      <c r="C57" s="5"/>
      <c r="E57" s="9"/>
      <c r="F57" s="5"/>
      <c r="G57" s="5"/>
      <c r="I57" s="9"/>
    </row>
    <row r="59" spans="1:19" x14ac:dyDescent="0.25">
      <c r="A59" s="27" t="s">
        <v>62</v>
      </c>
      <c r="B59" s="25" t="s">
        <v>63</v>
      </c>
      <c r="C59" s="39" t="s">
        <v>64</v>
      </c>
      <c r="D59" s="39"/>
      <c r="E59" s="39"/>
      <c r="F59" s="39"/>
      <c r="G59" s="26" t="s">
        <v>65</v>
      </c>
      <c r="H59" s="54" t="s">
        <v>66</v>
      </c>
      <c r="I59" s="54"/>
      <c r="J59" s="54"/>
      <c r="K59" s="54"/>
      <c r="L59" s="54"/>
    </row>
    <row r="60" spans="1:19" x14ac:dyDescent="0.25">
      <c r="A60" s="31" t="s">
        <v>67</v>
      </c>
      <c r="B60" s="31"/>
      <c r="C60" s="31"/>
      <c r="D60" s="31"/>
      <c r="E60" s="31"/>
      <c r="F60" s="31"/>
      <c r="G60" s="31"/>
      <c r="H60" s="31"/>
      <c r="I60" s="31"/>
      <c r="J60" s="31"/>
      <c r="K60" s="31"/>
      <c r="L60" s="31"/>
    </row>
    <row r="61" spans="1:19" ht="30" customHeight="1" x14ac:dyDescent="0.25">
      <c r="A61" s="6" t="s">
        <v>68</v>
      </c>
      <c r="B61" s="12">
        <f>(1/$B$2)*J56</f>
        <v>14934.21875</v>
      </c>
      <c r="C61" s="56" t="s">
        <v>116</v>
      </c>
      <c r="D61" s="56"/>
      <c r="E61" s="56"/>
      <c r="F61" s="56"/>
      <c r="G61" s="13">
        <f>(1/$B$2)*K56</f>
        <v>6189.796875</v>
      </c>
      <c r="H61" s="57" t="s">
        <v>117</v>
      </c>
      <c r="I61" s="57"/>
      <c r="J61" s="57"/>
      <c r="K61" s="57"/>
      <c r="L61" s="57"/>
    </row>
    <row r="62" spans="1:19" ht="30" customHeight="1" x14ac:dyDescent="0.25">
      <c r="A62" s="6" t="s">
        <v>71</v>
      </c>
      <c r="B62" s="12">
        <f>B52+(C48/D52)*(0.5*$B$2)</f>
        <v>11605</v>
      </c>
      <c r="C62" s="57" t="s">
        <v>118</v>
      </c>
      <c r="D62" s="57"/>
      <c r="E62" s="57"/>
      <c r="F62" s="57"/>
      <c r="G62" s="12">
        <f>F53+(D48/H53)*(0.5*$B$2-H52)</f>
        <v>6024.09375</v>
      </c>
      <c r="H62" s="57" t="s">
        <v>119</v>
      </c>
      <c r="I62" s="57"/>
      <c r="J62" s="57"/>
      <c r="K62" s="57"/>
      <c r="L62" s="57"/>
    </row>
    <row r="63" spans="1:19" ht="30" customHeight="1" x14ac:dyDescent="0.25">
      <c r="A63" s="6" t="s">
        <v>74</v>
      </c>
      <c r="B63" s="12">
        <f>B52+(C$48/D52)*(0.25*$B$2)</f>
        <v>7507.5</v>
      </c>
      <c r="C63" s="58" t="s">
        <v>120</v>
      </c>
      <c r="D63" s="56"/>
      <c r="E63" s="56"/>
      <c r="F63" s="56"/>
      <c r="G63" s="12">
        <f>F53+(D$48/H53)*(0.25*$B$2-H52)</f>
        <v>5582.21875</v>
      </c>
      <c r="H63" s="57" t="s">
        <v>121</v>
      </c>
      <c r="I63" s="57"/>
      <c r="J63" s="57"/>
      <c r="K63" s="57"/>
      <c r="L63" s="57"/>
    </row>
    <row r="64" spans="1:19" ht="30" customHeight="1" x14ac:dyDescent="0.25">
      <c r="A64" s="6" t="s">
        <v>78</v>
      </c>
      <c r="B64" s="12">
        <f>B53+(C$48/D53)*(0.75*$B$2-D52)</f>
        <v>20482.916666666668</v>
      </c>
      <c r="C64" s="58" t="s">
        <v>122</v>
      </c>
      <c r="D64" s="56"/>
      <c r="E64" s="56"/>
      <c r="F64" s="56"/>
      <c r="G64" s="12">
        <f>F54+(D$48/H54)*(0.75*$B$2-SUM(H52:H53))</f>
        <v>6797.375</v>
      </c>
      <c r="H64" s="57" t="s">
        <v>123</v>
      </c>
      <c r="I64" s="57"/>
      <c r="J64" s="57"/>
      <c r="K64" s="57"/>
      <c r="L64" s="57"/>
    </row>
    <row r="65" spans="1:19" ht="30" customHeight="1" x14ac:dyDescent="0.25">
      <c r="A65" s="6" t="s">
        <v>124</v>
      </c>
      <c r="B65" s="12">
        <f>B52+(D52/(D52+D52-D53))*C48</f>
        <v>9435.7352941176468</v>
      </c>
      <c r="C65" s="56" t="s">
        <v>148</v>
      </c>
      <c r="D65" s="56"/>
      <c r="E65" s="56"/>
      <c r="F65" s="56"/>
      <c r="G65" s="12">
        <f>F53+((H53-H52)/(H53-H52+H53-H54))*D48</f>
        <v>5873.454545454545</v>
      </c>
      <c r="H65" s="57" t="s">
        <v>140</v>
      </c>
      <c r="I65" s="57"/>
      <c r="J65" s="57"/>
      <c r="K65" s="57"/>
      <c r="L65" s="57"/>
    </row>
    <row r="66" spans="1:19" x14ac:dyDescent="0.25">
      <c r="A66" s="31" t="s">
        <v>82</v>
      </c>
      <c r="B66" s="31"/>
      <c r="C66" s="31"/>
      <c r="D66" s="31"/>
      <c r="E66" s="31"/>
      <c r="F66" s="31"/>
      <c r="G66" s="31"/>
      <c r="H66" s="31"/>
      <c r="I66" s="31"/>
      <c r="J66" s="31"/>
      <c r="K66" s="31"/>
      <c r="L66" s="31"/>
    </row>
    <row r="67" spans="1:19" x14ac:dyDescent="0.25">
      <c r="A67" s="6" t="s">
        <v>83</v>
      </c>
      <c r="B67" s="12">
        <f>(1/$B$2)*L56</f>
        <v>90178012.084960938</v>
      </c>
      <c r="C67" s="36"/>
      <c r="D67" s="36"/>
      <c r="E67" s="36"/>
      <c r="F67" s="36"/>
      <c r="G67" s="13">
        <f>(1/$B$2)*M56</f>
        <v>753556.53686523438</v>
      </c>
      <c r="H67" s="32"/>
      <c r="I67" s="32"/>
      <c r="J67" s="32"/>
      <c r="K67" s="32"/>
      <c r="L67" s="32"/>
    </row>
    <row r="68" spans="1:19" ht="30" customHeight="1" x14ac:dyDescent="0.25">
      <c r="A68" s="6" t="s">
        <v>125</v>
      </c>
      <c r="B68" s="12">
        <f>SQRT(B67)</f>
        <v>9496.2104065232743</v>
      </c>
      <c r="C68" s="56" t="s">
        <v>154</v>
      </c>
      <c r="D68" s="56"/>
      <c r="E68" s="56"/>
      <c r="F68" s="56"/>
      <c r="G68" s="13">
        <f>SQRT(G67)</f>
        <v>868.07634276325859</v>
      </c>
      <c r="H68" s="57" t="s">
        <v>157</v>
      </c>
      <c r="I68" s="57"/>
      <c r="J68" s="57"/>
      <c r="K68" s="57"/>
      <c r="L68" s="57"/>
    </row>
    <row r="69" spans="1:19" x14ac:dyDescent="0.25">
      <c r="A69" s="6" t="s">
        <v>85</v>
      </c>
      <c r="B69" s="14">
        <f>B68/B61</f>
        <v>0.6358692453546172</v>
      </c>
      <c r="C69" s="36" t="s">
        <v>86</v>
      </c>
      <c r="D69" s="36"/>
      <c r="E69" s="36"/>
      <c r="F69" s="36"/>
      <c r="G69" s="14">
        <f>G68/G61</f>
        <v>0.14024310656611952</v>
      </c>
      <c r="H69" s="32" t="s">
        <v>87</v>
      </c>
      <c r="I69" s="32"/>
      <c r="J69" s="32"/>
      <c r="K69" s="32"/>
      <c r="L69" s="32"/>
      <c r="N69" s="66" t="s">
        <v>146</v>
      </c>
      <c r="O69" s="66"/>
      <c r="P69" s="66"/>
      <c r="Q69" s="66"/>
      <c r="R69" s="66"/>
      <c r="S69" s="66"/>
    </row>
    <row r="70" spans="1:19" x14ac:dyDescent="0.25">
      <c r="A70" s="31" t="s">
        <v>88</v>
      </c>
      <c r="B70" s="31"/>
      <c r="C70" s="31"/>
      <c r="D70" s="31"/>
      <c r="E70" s="31"/>
      <c r="F70" s="31"/>
      <c r="G70" s="31"/>
      <c r="H70" s="31"/>
      <c r="I70" s="31"/>
      <c r="J70" s="31"/>
      <c r="K70" s="31"/>
      <c r="L70" s="31"/>
      <c r="N70" s="66"/>
      <c r="O70" s="66"/>
      <c r="P70" s="66"/>
      <c r="Q70" s="66"/>
      <c r="R70" s="66"/>
      <c r="S70" s="66"/>
    </row>
    <row r="71" spans="1:19" x14ac:dyDescent="0.25">
      <c r="A71" s="6" t="s">
        <v>133</v>
      </c>
      <c r="B71" s="13">
        <f>((1/$B$2)*N$56)/(B$68^3)</f>
        <v>1.2797539207484088</v>
      </c>
      <c r="C71" s="32" t="s">
        <v>134</v>
      </c>
      <c r="D71" s="32"/>
      <c r="E71" s="32"/>
      <c r="F71" s="32"/>
      <c r="G71" s="13">
        <f>((1/$B$2)*O$56)/(G$68^3)</f>
        <v>0.53015143409074927</v>
      </c>
      <c r="H71" s="32" t="s">
        <v>137</v>
      </c>
      <c r="I71" s="32"/>
      <c r="J71" s="32"/>
      <c r="K71" s="32"/>
      <c r="L71" s="32"/>
    </row>
    <row r="72" spans="1:19" ht="30" customHeight="1" x14ac:dyDescent="0.25">
      <c r="A72" s="6" t="s">
        <v>135</v>
      </c>
      <c r="B72" s="13">
        <f>((1/$B$2)*P$56)/(B$68^4)</f>
        <v>3.4317355371900824</v>
      </c>
      <c r="C72" s="57" t="s">
        <v>139</v>
      </c>
      <c r="D72" s="57"/>
      <c r="E72" s="57"/>
      <c r="F72" s="57"/>
      <c r="G72" s="13">
        <f>((1/$B$2)*Q$56)/(G$68^4)</f>
        <v>2.2661082791063616</v>
      </c>
      <c r="H72" s="57" t="s">
        <v>138</v>
      </c>
      <c r="I72" s="57"/>
      <c r="J72" s="57"/>
      <c r="K72" s="57"/>
      <c r="L72" s="57"/>
    </row>
    <row r="76" spans="1:19" x14ac:dyDescent="0.25">
      <c r="B76" s="30" t="s">
        <v>102</v>
      </c>
      <c r="C76" s="30" t="s">
        <v>103</v>
      </c>
      <c r="D76" s="59" t="s">
        <v>144</v>
      </c>
      <c r="F76" s="30" t="s">
        <v>104</v>
      </c>
      <c r="G76" s="30" t="s">
        <v>105</v>
      </c>
      <c r="H76" s="59" t="s">
        <v>145</v>
      </c>
    </row>
    <row r="77" spans="1:19" x14ac:dyDescent="0.25">
      <c r="B77" s="30"/>
      <c r="C77" s="30"/>
      <c r="D77" s="59"/>
      <c r="F77" s="30"/>
      <c r="G77" s="30"/>
      <c r="H77" s="59"/>
    </row>
    <row r="78" spans="1:19" x14ac:dyDescent="0.25">
      <c r="B78" s="6">
        <v>10</v>
      </c>
      <c r="C78" s="12">
        <v>8531.875</v>
      </c>
      <c r="D78" s="6">
        <f>B78/$B$2</f>
        <v>0.625</v>
      </c>
      <c r="F78" s="6">
        <v>3</v>
      </c>
      <c r="G78" s="12">
        <v>5029.875</v>
      </c>
      <c r="H78" s="6">
        <f>F78/$B$2</f>
        <v>0.1875</v>
      </c>
    </row>
    <row r="79" spans="1:19" x14ac:dyDescent="0.25">
      <c r="B79" s="6">
        <v>3</v>
      </c>
      <c r="C79" s="12">
        <v>18775.625</v>
      </c>
      <c r="D79" s="6">
        <f>D78+B79/$B$2</f>
        <v>0.8125</v>
      </c>
      <c r="F79" s="6">
        <v>8</v>
      </c>
      <c r="G79" s="12">
        <v>5913.625</v>
      </c>
      <c r="H79" s="6">
        <f>H78+F79/$B$2</f>
        <v>0.6875</v>
      </c>
    </row>
    <row r="80" spans="1:19" x14ac:dyDescent="0.25">
      <c r="B80" s="6">
        <v>2</v>
      </c>
      <c r="C80" s="12">
        <v>29019.375</v>
      </c>
      <c r="D80" s="6">
        <f t="shared" ref="D80:D81" si="30">D79+B80/$B$2</f>
        <v>0.9375</v>
      </c>
      <c r="F80" s="6">
        <v>2</v>
      </c>
      <c r="G80" s="12">
        <v>6797.375</v>
      </c>
      <c r="H80" s="6">
        <f t="shared" ref="H80:H81" si="31">H79+F80/$B$2</f>
        <v>0.8125</v>
      </c>
    </row>
    <row r="81" spans="1:8" x14ac:dyDescent="0.25">
      <c r="B81" s="6">
        <v>1</v>
      </c>
      <c r="C81" s="12">
        <v>39263.125</v>
      </c>
      <c r="D81" s="6">
        <f t="shared" si="30"/>
        <v>1</v>
      </c>
      <c r="F81" s="6">
        <v>3</v>
      </c>
      <c r="G81" s="12">
        <v>7681.125</v>
      </c>
      <c r="H81" s="6">
        <f t="shared" si="31"/>
        <v>1</v>
      </c>
    </row>
    <row r="92" spans="1:8" x14ac:dyDescent="0.25">
      <c r="A92" s="38" t="s">
        <v>149</v>
      </c>
      <c r="B92" s="38"/>
    </row>
    <row r="93" spans="1:8" x14ac:dyDescent="0.25">
      <c r="A93" s="68" t="s">
        <v>150</v>
      </c>
      <c r="B93" s="20"/>
    </row>
    <row r="94" spans="1:8" x14ac:dyDescent="0.25">
      <c r="A94" s="73"/>
      <c r="B94" s="30" t="s">
        <v>151</v>
      </c>
      <c r="C94" s="30"/>
      <c r="D94" s="30" t="s">
        <v>152</v>
      </c>
      <c r="E94" s="30"/>
      <c r="F94" s="30" t="s">
        <v>153</v>
      </c>
      <c r="G94" s="30"/>
    </row>
    <row r="95" spans="1:8" x14ac:dyDescent="0.25">
      <c r="A95" s="74"/>
      <c r="B95" s="25" t="s">
        <v>63</v>
      </c>
      <c r="C95" s="26" t="s">
        <v>65</v>
      </c>
      <c r="D95" s="25" t="s">
        <v>63</v>
      </c>
      <c r="E95" s="26" t="s">
        <v>65</v>
      </c>
      <c r="F95" s="25" t="s">
        <v>40</v>
      </c>
      <c r="G95" s="26" t="s">
        <v>41</v>
      </c>
    </row>
    <row r="96" spans="1:8" x14ac:dyDescent="0.25">
      <c r="A96" s="6" t="s">
        <v>68</v>
      </c>
      <c r="B96" s="12">
        <f>B26</f>
        <v>14667.5</v>
      </c>
      <c r="C96" s="13">
        <f>G26</f>
        <v>6222</v>
      </c>
      <c r="D96" s="12">
        <f>B61</f>
        <v>14934.21875</v>
      </c>
      <c r="E96" s="13">
        <f>G61</f>
        <v>6189.796875</v>
      </c>
      <c r="F96" s="69">
        <f>(ABS(B96-D96))/B96</f>
        <v>1.8184336117266064E-2</v>
      </c>
      <c r="G96" s="69">
        <f>(ABS(C96-E96))/C96</f>
        <v>5.1756870781099326E-3</v>
      </c>
    </row>
    <row r="97" spans="1:7" x14ac:dyDescent="0.25">
      <c r="A97" s="6" t="s">
        <v>71</v>
      </c>
      <c r="B97" s="12">
        <f t="shared" ref="B97:B99" si="32">B27</f>
        <v>10007</v>
      </c>
      <c r="C97" s="13">
        <f t="shared" ref="C97:C99" si="33">G27</f>
        <v>5925.5</v>
      </c>
      <c r="D97" s="12">
        <f t="shared" ref="D97:D99" si="34">B62</f>
        <v>11605</v>
      </c>
      <c r="E97" s="13">
        <f t="shared" ref="E97:E99" si="35">G62</f>
        <v>6024.09375</v>
      </c>
      <c r="F97" s="69">
        <f t="shared" ref="F97:F104" si="36">(ABS(B97-D97))/B97</f>
        <v>0.15968821824722695</v>
      </c>
      <c r="G97" s="69">
        <f t="shared" ref="G97:G104" si="37">(ABS(C97-E97))/C97</f>
        <v>1.663889123280736E-2</v>
      </c>
    </row>
    <row r="98" spans="1:7" x14ac:dyDescent="0.25">
      <c r="A98" s="6" t="s">
        <v>74</v>
      </c>
      <c r="B98" s="12">
        <f t="shared" si="32"/>
        <v>5884</v>
      </c>
      <c r="C98" s="13">
        <f t="shared" si="33"/>
        <v>5553</v>
      </c>
      <c r="D98" s="12">
        <f t="shared" si="34"/>
        <v>7507.5</v>
      </c>
      <c r="E98" s="13">
        <f t="shared" si="35"/>
        <v>5582.21875</v>
      </c>
      <c r="F98" s="69">
        <f t="shared" si="36"/>
        <v>0.27591774303195105</v>
      </c>
      <c r="G98" s="69">
        <f t="shared" si="37"/>
        <v>5.261795425895912E-3</v>
      </c>
    </row>
    <row r="99" spans="1:7" x14ac:dyDescent="0.25">
      <c r="A99" s="6" t="s">
        <v>78</v>
      </c>
      <c r="B99" s="12">
        <f t="shared" si="32"/>
        <v>21923</v>
      </c>
      <c r="C99" s="13">
        <f t="shared" si="33"/>
        <v>7118</v>
      </c>
      <c r="D99" s="12">
        <f t="shared" si="34"/>
        <v>20482.916666666668</v>
      </c>
      <c r="E99" s="13">
        <f t="shared" si="35"/>
        <v>6797.375</v>
      </c>
      <c r="F99" s="69">
        <f t="shared" si="36"/>
        <v>6.5688242180966666E-2</v>
      </c>
      <c r="G99" s="69">
        <f t="shared" si="37"/>
        <v>4.5044254003933692E-2</v>
      </c>
    </row>
    <row r="100" spans="1:7" x14ac:dyDescent="0.25">
      <c r="A100" s="6" t="s">
        <v>83</v>
      </c>
      <c r="B100" s="12">
        <f>B31</f>
        <v>112766834.25</v>
      </c>
      <c r="C100" s="12">
        <f>G31</f>
        <v>946274.125</v>
      </c>
      <c r="D100" s="12">
        <f>B67</f>
        <v>90178012.084960938</v>
      </c>
      <c r="E100" s="13">
        <f>G67</f>
        <v>753556.53686523438</v>
      </c>
      <c r="F100" s="69">
        <f t="shared" si="36"/>
        <v>0.20031441261320204</v>
      </c>
      <c r="G100" s="69">
        <f t="shared" si="37"/>
        <v>0.20365936576228968</v>
      </c>
    </row>
    <row r="101" spans="1:7" x14ac:dyDescent="0.25">
      <c r="A101" s="6" t="s">
        <v>125</v>
      </c>
      <c r="B101" s="12">
        <f t="shared" ref="B101:B102" si="38">B32</f>
        <v>10619.17295508459</v>
      </c>
      <c r="C101" s="12">
        <f t="shared" ref="C101:C102" si="39">G32</f>
        <v>972.76622320062074</v>
      </c>
      <c r="D101" s="12">
        <f t="shared" ref="D101:D102" si="40">B68</f>
        <v>9496.2104065232743</v>
      </c>
      <c r="E101" s="13">
        <f t="shared" ref="E101:E102" si="41">G68</f>
        <v>868.07634276325859</v>
      </c>
      <c r="F101" s="69">
        <f t="shared" si="36"/>
        <v>0.10574858826681298</v>
      </c>
      <c r="G101" s="69">
        <f t="shared" si="37"/>
        <v>0.10762080131946684</v>
      </c>
    </row>
    <row r="102" spans="1:7" x14ac:dyDescent="0.25">
      <c r="A102" s="6" t="s">
        <v>85</v>
      </c>
      <c r="B102" s="69">
        <f t="shared" si="38"/>
        <v>0.72399338367714949</v>
      </c>
      <c r="C102" s="69">
        <f t="shared" si="39"/>
        <v>0.15634301240768575</v>
      </c>
      <c r="D102" s="69">
        <f t="shared" si="40"/>
        <v>0.6358692453546172</v>
      </c>
      <c r="E102" s="69">
        <f t="shared" si="41"/>
        <v>0.14024310656611952</v>
      </c>
      <c r="F102" s="69">
        <f t="shared" si="36"/>
        <v>0.1217195354396077</v>
      </c>
      <c r="G102" s="69">
        <f t="shared" si="37"/>
        <v>0.10297809664549336</v>
      </c>
    </row>
    <row r="103" spans="1:7" x14ac:dyDescent="0.25">
      <c r="A103" s="6" t="s">
        <v>133</v>
      </c>
      <c r="B103" s="13">
        <f>B35</f>
        <v>1.3119301959052168</v>
      </c>
      <c r="C103" s="13">
        <f>G35</f>
        <v>0.49577624833462391</v>
      </c>
      <c r="D103" s="13">
        <f>B71</f>
        <v>1.2797539207484088</v>
      </c>
      <c r="E103" s="13">
        <f>G71</f>
        <v>0.53015143409074927</v>
      </c>
      <c r="F103" s="69">
        <f t="shared" si="36"/>
        <v>2.4525904851672942E-2</v>
      </c>
      <c r="G103" s="69">
        <f t="shared" si="37"/>
        <v>6.9336088349524649E-2</v>
      </c>
    </row>
    <row r="104" spans="1:7" x14ac:dyDescent="0.25">
      <c r="A104" s="6" t="s">
        <v>135</v>
      </c>
      <c r="B104" s="13">
        <f>B36</f>
        <v>4.2577696959839137</v>
      </c>
      <c r="C104" s="13">
        <f>G36</f>
        <v>2.2640524415104331</v>
      </c>
      <c r="D104" s="13">
        <f>B72</f>
        <v>3.4317355371900824</v>
      </c>
      <c r="E104" s="13">
        <f>G72</f>
        <v>2.2661082791063616</v>
      </c>
      <c r="F104" s="69">
        <f t="shared" si="36"/>
        <v>0.19400630324673912</v>
      </c>
      <c r="G104" s="69">
        <f t="shared" si="37"/>
        <v>9.0803444223977795E-4</v>
      </c>
    </row>
  </sheetData>
  <sortState xmlns:xlrd2="http://schemas.microsoft.com/office/spreadsheetml/2017/richdata2" ref="C5:C20">
    <sortCondition ref="C5:C20"/>
  </sortState>
  <mergeCells count="90">
    <mergeCell ref="H76:H77"/>
    <mergeCell ref="N69:S70"/>
    <mergeCell ref="A92:B92"/>
    <mergeCell ref="B94:C94"/>
    <mergeCell ref="D94:E94"/>
    <mergeCell ref="F94:G94"/>
    <mergeCell ref="A94:A95"/>
    <mergeCell ref="B76:B77"/>
    <mergeCell ref="C76:C77"/>
    <mergeCell ref="D76:D77"/>
    <mergeCell ref="F76:F77"/>
    <mergeCell ref="G76:G77"/>
    <mergeCell ref="R3:R4"/>
    <mergeCell ref="O40:R41"/>
    <mergeCell ref="C37:F37"/>
    <mergeCell ref="H37:L37"/>
    <mergeCell ref="H72:L72"/>
    <mergeCell ref="P3:Q3"/>
    <mergeCell ref="H67:L67"/>
    <mergeCell ref="H68:L68"/>
    <mergeCell ref="H69:L69"/>
    <mergeCell ref="A70:L70"/>
    <mergeCell ref="H71:L71"/>
    <mergeCell ref="H62:L62"/>
    <mergeCell ref="H63:L63"/>
    <mergeCell ref="H64:L64"/>
    <mergeCell ref="H65:L65"/>
    <mergeCell ref="A66:L66"/>
    <mergeCell ref="C40:L40"/>
    <mergeCell ref="C41:L41"/>
    <mergeCell ref="H59:L59"/>
    <mergeCell ref="A60:L60"/>
    <mergeCell ref="H61:L61"/>
    <mergeCell ref="A47:B48"/>
    <mergeCell ref="A34:L34"/>
    <mergeCell ref="H35:L35"/>
    <mergeCell ref="H36:L36"/>
    <mergeCell ref="A38:L38"/>
    <mergeCell ref="C39:L39"/>
    <mergeCell ref="N3:O3"/>
    <mergeCell ref="C27:F27"/>
    <mergeCell ref="C72:F72"/>
    <mergeCell ref="C64:F64"/>
    <mergeCell ref="C67:F67"/>
    <mergeCell ref="C68:F68"/>
    <mergeCell ref="C69:F69"/>
    <mergeCell ref="C71:F71"/>
    <mergeCell ref="E50:E51"/>
    <mergeCell ref="F50:G50"/>
    <mergeCell ref="H50:H51"/>
    <mergeCell ref="I50:I51"/>
    <mergeCell ref="C59:F59"/>
    <mergeCell ref="J50:J51"/>
    <mergeCell ref="K50:K51"/>
    <mergeCell ref="D50:D51"/>
    <mergeCell ref="C61:F61"/>
    <mergeCell ref="C62:F62"/>
    <mergeCell ref="A1:C1"/>
    <mergeCell ref="A45:C45"/>
    <mergeCell ref="A46:B46"/>
    <mergeCell ref="B50:C50"/>
    <mergeCell ref="A50:A51"/>
    <mergeCell ref="A3:C3"/>
    <mergeCell ref="C35:F35"/>
    <mergeCell ref="C36:F36"/>
    <mergeCell ref="C24:F24"/>
    <mergeCell ref="H24:L24"/>
    <mergeCell ref="A25:L25"/>
    <mergeCell ref="H26:L26"/>
    <mergeCell ref="H27:L27"/>
    <mergeCell ref="H28:L28"/>
    <mergeCell ref="H29:L29"/>
    <mergeCell ref="C31:F31"/>
    <mergeCell ref="C32:F32"/>
    <mergeCell ref="C33:F33"/>
    <mergeCell ref="C26:F26"/>
    <mergeCell ref="C28:F28"/>
    <mergeCell ref="C29:F29"/>
    <mergeCell ref="A30:L30"/>
    <mergeCell ref="H31:L31"/>
    <mergeCell ref="H32:L32"/>
    <mergeCell ref="H33:L33"/>
    <mergeCell ref="Q50:Q51"/>
    <mergeCell ref="C65:F65"/>
    <mergeCell ref="L50:L51"/>
    <mergeCell ref="M50:M51"/>
    <mergeCell ref="N50:N51"/>
    <mergeCell ref="O50:O51"/>
    <mergeCell ref="P50:P51"/>
    <mergeCell ref="C63:F63"/>
  </mergeCells>
  <phoneticPr fontId="4"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D3E0C5E92C274499576E1B13C8ED110" ma:contentTypeVersion="6" ma:contentTypeDescription="Utwórz nowy dokument." ma:contentTypeScope="" ma:versionID="c38ea4cbb5ff0b629c73b2458bbc38c8">
  <xsd:schema xmlns:xsd="http://www.w3.org/2001/XMLSchema" xmlns:xs="http://www.w3.org/2001/XMLSchema" xmlns:p="http://schemas.microsoft.com/office/2006/metadata/properties" xmlns:ns3="e0324670-5a30-4a82-9f4a-3ec047b6efa7" targetNamespace="http://schemas.microsoft.com/office/2006/metadata/properties" ma:root="true" ma:fieldsID="9f986568d20e9fb966759a2ce1fb9991" ns3:_="">
    <xsd:import namespace="e0324670-5a30-4a82-9f4a-3ec047b6efa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324670-5a30-4a82-9f4a-3ec047b6ef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D91E01-7644-4A30-90C0-D9D6A7EA3662}">
  <ds:schemaRefs>
    <ds:schemaRef ds:uri="http://schemas.microsoft.com/sharepoint/v3/contenttype/forms"/>
  </ds:schemaRefs>
</ds:datastoreItem>
</file>

<file path=customXml/itemProps2.xml><?xml version="1.0" encoding="utf-8"?>
<ds:datastoreItem xmlns:ds="http://schemas.openxmlformats.org/officeDocument/2006/customXml" ds:itemID="{3C4C3859-862E-49FD-8E3E-6BB8A6F94E44}">
  <ds:schemaRefs>
    <ds:schemaRef ds:uri="http://purl.org/dc/dcmitype/"/>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e0324670-5a30-4a82-9f4a-3ec047b6efa7"/>
    <ds:schemaRef ds:uri="http://purl.org/dc/terms/"/>
  </ds:schemaRefs>
</ds:datastoreItem>
</file>

<file path=customXml/itemProps3.xml><?xml version="1.0" encoding="utf-8"?>
<ds:datastoreItem xmlns:ds="http://schemas.openxmlformats.org/officeDocument/2006/customXml" ds:itemID="{E016E607-F8AE-4D2E-81FF-BBEBA8794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324670-5a30-4a82-9f4a-3ec047b6ef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Dane</vt:lpstr>
      <vt:lpstr>Część zasadnicza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2023-05-10T18:48:39Z</dcterms:created>
  <dcterms:modified xsi:type="dcterms:W3CDTF">2023-05-11T22:24:26Z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0x0101000D3E0C5E92C274499576E1B13C8ED110</vt:lpwstr>
  </property>
</Properties>
</file>